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DieseArbeitsmappe"/>
  <mc:AlternateContent xmlns:mc="http://schemas.openxmlformats.org/markup-compatibility/2006">
    <mc:Choice Requires="x15">
      <x15ac:absPath xmlns:x15ac="http://schemas.microsoft.com/office/spreadsheetml/2010/11/ac" url="W:\00_POOL\14 Core products\Model\data\"/>
    </mc:Choice>
  </mc:AlternateContent>
  <xr:revisionPtr revIDLastSave="0" documentId="8_{136BB125-A0C0-4EC4-9B8C-2885E5D560B2}" xr6:coauthVersionLast="47" xr6:coauthVersionMax="47" xr10:uidLastSave="{00000000-0000-0000-0000-000000000000}"/>
  <bookViews>
    <workbookView xWindow="-108" yWindow="-108" windowWidth="23256" windowHeight="12456" tabRatio="996" firstSheet="13" activeTab="22" xr2:uid="{2C57A475-A9A1-4C5F-AACC-DBA57BCA303F}"/>
  </bookViews>
  <sheets>
    <sheet name="HR_with macros" sheetId="22" r:id="rId1"/>
    <sheet name="EE_with macros" sheetId="29" r:id="rId2"/>
    <sheet name="LT_with macros" sheetId="26" r:id="rId3"/>
    <sheet name="LV_with macros" sheetId="27" r:id="rId4"/>
    <sheet name="SK_with macros" sheetId="30" r:id="rId5"/>
    <sheet name="SI_with macros" sheetId="23" r:id="rId6"/>
    <sheet name="BG_with macros" sheetId="19" r:id="rId7"/>
    <sheet name="HU_with macros" sheetId="28" r:id="rId8"/>
    <sheet name="PL_with macros" sheetId="25" r:id="rId9"/>
    <sheet name="RO_with macros" sheetId="24" r:id="rId10"/>
    <sheet name="CZ_with macros" sheetId="12" r:id="rId11"/>
    <sheet name="AL_with macros" sheetId="33" r:id="rId12"/>
    <sheet name="BA_with macros" sheetId="32" r:id="rId13"/>
    <sheet name="ME_with macros" sheetId="39" r:id="rId14"/>
    <sheet name="MK_with macros" sheetId="21" r:id="rId15"/>
    <sheet name="RS_with macros" sheetId="3" r:id="rId16"/>
    <sheet name="XK_with macros" sheetId="34" r:id="rId17"/>
    <sheet name="TR_with macros" sheetId="13" r:id="rId18"/>
    <sheet name="BY_with macros" sheetId="35" r:id="rId19"/>
    <sheet name="RU_with macros" sheetId="14" r:id="rId20"/>
    <sheet name="MD_with macros" sheetId="36" r:id="rId21"/>
    <sheet name="KZ_with macros" sheetId="37" r:id="rId22"/>
    <sheet name="UA_with macros" sheetId="38" r:id="rId2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G12" i="38" l="1"/>
  <c r="AF12" i="38"/>
  <c r="AE12" i="38"/>
  <c r="AD12" i="38"/>
  <c r="AC12" i="38"/>
  <c r="AB12" i="38"/>
  <c r="AA12" i="38"/>
  <c r="Z12" i="38"/>
  <c r="Y12" i="38"/>
  <c r="X12" i="38"/>
  <c r="W12" i="38"/>
  <c r="V12" i="38"/>
  <c r="U12" i="38"/>
  <c r="T12" i="38"/>
  <c r="S12" i="38"/>
  <c r="R12" i="38"/>
  <c r="Q12" i="38"/>
  <c r="P12" i="38"/>
  <c r="O12" i="38"/>
  <c r="N12" i="38"/>
  <c r="M12" i="38"/>
  <c r="L12" i="38"/>
  <c r="K12" i="38"/>
  <c r="J12" i="38"/>
  <c r="I12" i="38"/>
  <c r="H12" i="38"/>
  <c r="G12" i="38"/>
  <c r="F12" i="38"/>
  <c r="E12" i="38"/>
  <c r="D12" i="38"/>
  <c r="C12" i="38"/>
  <c r="B12" i="38"/>
  <c r="AG12" i="37"/>
  <c r="AF12" i="37"/>
  <c r="AE12" i="37"/>
  <c r="AD12" i="37"/>
  <c r="AC12" i="37"/>
  <c r="AB12" i="37"/>
  <c r="AA12" i="37"/>
  <c r="Z12" i="37"/>
  <c r="Y12" i="37"/>
  <c r="X12" i="37"/>
  <c r="W12" i="37"/>
  <c r="V12" i="37"/>
  <c r="U12" i="37"/>
  <c r="T12" i="37"/>
  <c r="S12" i="37"/>
  <c r="R12" i="37"/>
  <c r="Q12" i="37"/>
  <c r="P12" i="37"/>
  <c r="O12" i="37"/>
  <c r="N12" i="37"/>
  <c r="M12" i="37"/>
  <c r="L12" i="37"/>
  <c r="K12" i="37"/>
  <c r="J12" i="37"/>
  <c r="I12" i="37"/>
  <c r="H12" i="37"/>
  <c r="G12" i="37"/>
  <c r="F12" i="37"/>
  <c r="E12" i="37"/>
  <c r="D12" i="37"/>
  <c r="C12" i="37"/>
  <c r="B12" i="37"/>
  <c r="AG12" i="36"/>
  <c r="AF12" i="36"/>
  <c r="AE12" i="36"/>
  <c r="AD12" i="36"/>
  <c r="AC12" i="36"/>
  <c r="AB12" i="36"/>
  <c r="AA12" i="36"/>
  <c r="Z12" i="36"/>
  <c r="Y12" i="36"/>
  <c r="X12" i="36"/>
  <c r="W12" i="36"/>
  <c r="V12" i="36"/>
  <c r="U12" i="36"/>
  <c r="T12" i="36"/>
  <c r="S12" i="36"/>
  <c r="R12" i="36"/>
  <c r="Q12" i="36"/>
  <c r="P12" i="36"/>
  <c r="O12" i="36"/>
  <c r="N12" i="36"/>
  <c r="M12" i="36"/>
  <c r="L12" i="36"/>
  <c r="K12" i="36"/>
  <c r="J12" i="36"/>
  <c r="I12" i="36"/>
  <c r="H12" i="36"/>
  <c r="G12" i="36"/>
  <c r="F12" i="36"/>
  <c r="E12" i="36"/>
  <c r="D12" i="36"/>
  <c r="C12" i="36"/>
  <c r="B12" i="36"/>
  <c r="AG12" i="14"/>
  <c r="AF12" i="14"/>
  <c r="AE12" i="14"/>
  <c r="AD12" i="14"/>
  <c r="AC12" i="14"/>
  <c r="AB12" i="14"/>
  <c r="AA12" i="14"/>
  <c r="Z12" i="14"/>
  <c r="Y12" i="14"/>
  <c r="X12" i="14"/>
  <c r="W12" i="14"/>
  <c r="V12" i="14"/>
  <c r="U12" i="14"/>
  <c r="T12" i="14"/>
  <c r="S12" i="14"/>
  <c r="R12" i="14"/>
  <c r="Q12" i="14"/>
  <c r="P12" i="14"/>
  <c r="O12" i="14"/>
  <c r="N12" i="14"/>
  <c r="M12" i="14"/>
  <c r="L12" i="14"/>
  <c r="K12" i="14"/>
  <c r="J12" i="14"/>
  <c r="I12" i="14"/>
  <c r="H12" i="14"/>
  <c r="G12" i="14"/>
  <c r="F12" i="14"/>
  <c r="E12" i="14"/>
  <c r="D12" i="14"/>
  <c r="C12" i="14"/>
  <c r="B12" i="14"/>
  <c r="AG12" i="35"/>
  <c r="AF12" i="35"/>
  <c r="AE12" i="35"/>
  <c r="AD12" i="35"/>
  <c r="AC12" i="35"/>
  <c r="AB12" i="35"/>
  <c r="AA12" i="35"/>
  <c r="Z12" i="35"/>
  <c r="Y12" i="35"/>
  <c r="X12" i="35"/>
  <c r="W12" i="35"/>
  <c r="V12" i="35"/>
  <c r="U12" i="35"/>
  <c r="T12" i="35"/>
  <c r="S12" i="35"/>
  <c r="R12" i="35"/>
  <c r="Q12" i="35"/>
  <c r="P12" i="35"/>
  <c r="O12" i="35"/>
  <c r="N12" i="35"/>
  <c r="M12" i="35"/>
  <c r="L12" i="35"/>
  <c r="K12" i="35"/>
  <c r="J12" i="35"/>
  <c r="I12" i="35"/>
  <c r="H12" i="35"/>
  <c r="G12" i="35"/>
  <c r="F12" i="35"/>
  <c r="E12" i="35"/>
  <c r="D12" i="35"/>
  <c r="C12" i="35"/>
  <c r="B12" i="35"/>
  <c r="AG12" i="13"/>
  <c r="AF12" i="13"/>
  <c r="AE12" i="13"/>
  <c r="AD12" i="13"/>
  <c r="AC12" i="13"/>
  <c r="AB12" i="13"/>
  <c r="AA12" i="13"/>
  <c r="Z12" i="13"/>
  <c r="Y12" i="13"/>
  <c r="X12" i="13"/>
  <c r="W12" i="13"/>
  <c r="V12" i="13"/>
  <c r="U12" i="13"/>
  <c r="T12" i="13"/>
  <c r="S12" i="13"/>
  <c r="R12" i="13"/>
  <c r="Q12" i="13"/>
  <c r="P12" i="13"/>
  <c r="O12" i="13"/>
  <c r="N12" i="13"/>
  <c r="M12" i="13"/>
  <c r="L12" i="13"/>
  <c r="K12" i="13"/>
  <c r="J12" i="13"/>
  <c r="I12" i="13"/>
  <c r="H12" i="13"/>
  <c r="G12" i="13"/>
  <c r="F12" i="13"/>
  <c r="E12" i="13"/>
  <c r="D12" i="13"/>
  <c r="C12" i="13"/>
  <c r="B12" i="13"/>
  <c r="AG12" i="34"/>
  <c r="AF12" i="34"/>
  <c r="AE12" i="34"/>
  <c r="AD12" i="34"/>
  <c r="AC12" i="34"/>
  <c r="AB12" i="34"/>
  <c r="AA12" i="34"/>
  <c r="Z12" i="34"/>
  <c r="Y12" i="34"/>
  <c r="X12" i="34"/>
  <c r="W12" i="34"/>
  <c r="V12" i="34"/>
  <c r="U12" i="34"/>
  <c r="T12" i="34"/>
  <c r="S12" i="34"/>
  <c r="R12" i="34"/>
  <c r="Q12" i="34"/>
  <c r="P12" i="34"/>
  <c r="O12" i="34"/>
  <c r="N12" i="34"/>
  <c r="M12" i="34"/>
  <c r="L12" i="34"/>
  <c r="K12" i="34"/>
  <c r="J12" i="34"/>
  <c r="I12" i="34"/>
  <c r="H12" i="34"/>
  <c r="G12" i="34"/>
  <c r="F12" i="34"/>
  <c r="E12" i="34"/>
  <c r="D12" i="34"/>
  <c r="C12" i="34"/>
  <c r="B12" i="34"/>
  <c r="AG12" i="3"/>
  <c r="AF12" i="3"/>
  <c r="AE12" i="3"/>
  <c r="AD12" i="3"/>
  <c r="AC12" i="3"/>
  <c r="AB12" i="3"/>
  <c r="AA12" i="3"/>
  <c r="Z12" i="3"/>
  <c r="Y12" i="3"/>
  <c r="X12" i="3"/>
  <c r="W12" i="3"/>
  <c r="V12" i="3"/>
  <c r="U12" i="3"/>
  <c r="T12" i="3"/>
  <c r="S12" i="3"/>
  <c r="R12" i="3"/>
  <c r="Q12" i="3"/>
  <c r="P12" i="3"/>
  <c r="O12" i="3"/>
  <c r="N12" i="3"/>
  <c r="M12" i="3"/>
  <c r="L12" i="3"/>
  <c r="K12" i="3"/>
  <c r="J12" i="3"/>
  <c r="I12" i="3"/>
  <c r="H12" i="3"/>
  <c r="G12" i="3"/>
  <c r="F12" i="3"/>
  <c r="E12" i="3"/>
  <c r="D12" i="3"/>
  <c r="C12" i="3"/>
  <c r="B12" i="3"/>
  <c r="AG12" i="21"/>
  <c r="AF12" i="21"/>
  <c r="AE12" i="21"/>
  <c r="AD12" i="21"/>
  <c r="AC12" i="21"/>
  <c r="AB12" i="21"/>
  <c r="AA12" i="21"/>
  <c r="Z12" i="21"/>
  <c r="Y12" i="21"/>
  <c r="X12" i="21"/>
  <c r="W12" i="21"/>
  <c r="V12" i="21"/>
  <c r="U12" i="21"/>
  <c r="T12" i="21"/>
  <c r="S12" i="21"/>
  <c r="R12" i="21"/>
  <c r="Q12" i="21"/>
  <c r="P12" i="21"/>
  <c r="O12" i="21"/>
  <c r="N12" i="21"/>
  <c r="M12" i="21"/>
  <c r="L12" i="21"/>
  <c r="K12" i="21"/>
  <c r="J12" i="21"/>
  <c r="I12" i="21"/>
  <c r="H12" i="21"/>
  <c r="G12" i="21"/>
  <c r="F12" i="21"/>
  <c r="E12" i="21"/>
  <c r="D12" i="21"/>
  <c r="C12" i="21"/>
  <c r="B12" i="21"/>
  <c r="AG12" i="39"/>
  <c r="AF12" i="39"/>
  <c r="AE12" i="39"/>
  <c r="AD12" i="39"/>
  <c r="AC12" i="39"/>
  <c r="AB12" i="39"/>
  <c r="AA12" i="39"/>
  <c r="Z12" i="39"/>
  <c r="Y12" i="39"/>
  <c r="X12" i="39"/>
  <c r="W12" i="39"/>
  <c r="V12" i="39"/>
  <c r="U12" i="39"/>
  <c r="T12" i="39"/>
  <c r="S12" i="39"/>
  <c r="R12" i="39"/>
  <c r="Q12" i="39"/>
  <c r="P12" i="39"/>
  <c r="O12" i="39"/>
  <c r="N12" i="39"/>
  <c r="M12" i="39"/>
  <c r="L12" i="39"/>
  <c r="K12" i="39"/>
  <c r="J12" i="39"/>
  <c r="I12" i="39"/>
  <c r="H12" i="39"/>
  <c r="G12" i="39"/>
  <c r="F12" i="39"/>
  <c r="E12" i="39"/>
  <c r="D12" i="39"/>
  <c r="C12" i="39"/>
  <c r="B12" i="39"/>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C12" i="32"/>
  <c r="B12" i="32"/>
  <c r="AG12" i="33"/>
  <c r="AF12" i="33"/>
  <c r="AE12" i="33"/>
  <c r="AD12" i="33"/>
  <c r="AC12" i="33"/>
  <c r="AB12" i="33"/>
  <c r="AA12" i="33"/>
  <c r="Z12" i="33"/>
  <c r="Y12" i="33"/>
  <c r="X12" i="33"/>
  <c r="W12" i="33"/>
  <c r="V12" i="33"/>
  <c r="U12" i="33"/>
  <c r="T12" i="33"/>
  <c r="S12" i="33"/>
  <c r="R12" i="33"/>
  <c r="Q12" i="33"/>
  <c r="P12" i="33"/>
  <c r="O12" i="33"/>
  <c r="N12" i="33"/>
  <c r="M12" i="33"/>
  <c r="L12" i="33"/>
  <c r="K12" i="33"/>
  <c r="J12" i="33"/>
  <c r="I12" i="33"/>
  <c r="H12" i="33"/>
  <c r="G12" i="33"/>
  <c r="F12" i="33"/>
  <c r="E12" i="33"/>
  <c r="D12" i="33"/>
  <c r="C12" i="33"/>
  <c r="B12" i="33"/>
  <c r="AG12" i="12"/>
  <c r="AF12" i="12"/>
  <c r="AE12" i="12"/>
  <c r="AD12" i="12"/>
  <c r="AC12" i="12"/>
  <c r="AB12" i="12"/>
  <c r="AA12" i="12"/>
  <c r="Z12" i="12"/>
  <c r="Y12" i="12"/>
  <c r="X12" i="12"/>
  <c r="W12" i="12"/>
  <c r="V12" i="12"/>
  <c r="U12" i="12"/>
  <c r="T12" i="12"/>
  <c r="S12" i="12"/>
  <c r="R12" i="12"/>
  <c r="Q12" i="12"/>
  <c r="P12" i="12"/>
  <c r="O12" i="12"/>
  <c r="N12" i="12"/>
  <c r="M12" i="12"/>
  <c r="L12" i="12"/>
  <c r="K12" i="12"/>
  <c r="J12" i="12"/>
  <c r="I12" i="12"/>
  <c r="H12" i="12"/>
  <c r="G12" i="12"/>
  <c r="F12" i="12"/>
  <c r="E12" i="12"/>
  <c r="D12" i="12"/>
  <c r="C12" i="12"/>
  <c r="B12" i="12"/>
  <c r="AG12" i="24"/>
  <c r="AF12" i="24"/>
  <c r="AE12" i="24"/>
  <c r="AD12" i="24"/>
  <c r="AC12" i="24"/>
  <c r="AB12" i="24"/>
  <c r="AA12" i="24"/>
  <c r="Z12" i="24"/>
  <c r="Y12" i="24"/>
  <c r="X12" i="24"/>
  <c r="W12" i="24"/>
  <c r="V12" i="24"/>
  <c r="U12" i="24"/>
  <c r="T12" i="24"/>
  <c r="S12" i="24"/>
  <c r="R12" i="24"/>
  <c r="Q12" i="24"/>
  <c r="P12" i="24"/>
  <c r="O12" i="24"/>
  <c r="N12" i="24"/>
  <c r="M12" i="24"/>
  <c r="L12" i="24"/>
  <c r="K12" i="24"/>
  <c r="J12" i="24"/>
  <c r="I12" i="24"/>
  <c r="H12" i="24"/>
  <c r="G12" i="24"/>
  <c r="F12" i="24"/>
  <c r="E12" i="24"/>
  <c r="D12" i="24"/>
  <c r="C12" i="24"/>
  <c r="B12" i="24"/>
  <c r="AG12" i="25"/>
  <c r="AF12" i="25"/>
  <c r="AE12" i="25"/>
  <c r="AD12" i="25"/>
  <c r="AC12" i="25"/>
  <c r="AB12" i="25"/>
  <c r="AA12" i="25"/>
  <c r="Z12" i="25"/>
  <c r="Y12" i="25"/>
  <c r="X12" i="25"/>
  <c r="W12" i="25"/>
  <c r="V12" i="25"/>
  <c r="U12" i="25"/>
  <c r="T12" i="25"/>
  <c r="S12" i="25"/>
  <c r="R12" i="25"/>
  <c r="Q12" i="25"/>
  <c r="P12" i="25"/>
  <c r="O12" i="25"/>
  <c r="N12" i="25"/>
  <c r="M12" i="25"/>
  <c r="L12" i="25"/>
  <c r="K12" i="25"/>
  <c r="J12" i="25"/>
  <c r="I12" i="25"/>
  <c r="H12" i="25"/>
  <c r="G12" i="25"/>
  <c r="F12" i="25"/>
  <c r="E12" i="25"/>
  <c r="D12" i="25"/>
  <c r="C12" i="25"/>
  <c r="B12" i="25"/>
  <c r="AG12" i="28"/>
  <c r="AF12" i="28"/>
  <c r="AE12" i="28"/>
  <c r="AD12" i="28"/>
  <c r="AC12" i="28"/>
  <c r="AB12" i="28"/>
  <c r="AA12" i="28"/>
  <c r="Z12" i="28"/>
  <c r="Y12" i="28"/>
  <c r="X12" i="28"/>
  <c r="W12" i="28"/>
  <c r="V12" i="28"/>
  <c r="U12" i="28"/>
  <c r="T12" i="28"/>
  <c r="S12" i="28"/>
  <c r="R12" i="28"/>
  <c r="Q12" i="28"/>
  <c r="P12" i="28"/>
  <c r="O12" i="28"/>
  <c r="N12" i="28"/>
  <c r="M12" i="28"/>
  <c r="L12" i="28"/>
  <c r="K12" i="28"/>
  <c r="J12" i="28"/>
  <c r="I12" i="28"/>
  <c r="H12" i="28"/>
  <c r="G12" i="28"/>
  <c r="F12" i="28"/>
  <c r="E12" i="28"/>
  <c r="D12" i="28"/>
  <c r="C12" i="28"/>
  <c r="B12" i="28"/>
  <c r="AG12" i="19"/>
  <c r="AF12" i="19"/>
  <c r="AE12" i="19"/>
  <c r="AD12" i="19"/>
  <c r="AC12" i="19"/>
  <c r="AB12" i="19"/>
  <c r="AA12" i="19"/>
  <c r="Z12" i="19"/>
  <c r="Y12" i="19"/>
  <c r="X12" i="19"/>
  <c r="W12" i="19"/>
  <c r="V12" i="19"/>
  <c r="U12" i="19"/>
  <c r="T12" i="19"/>
  <c r="S12" i="19"/>
  <c r="R12" i="19"/>
  <c r="Q12" i="19"/>
  <c r="P12" i="19"/>
  <c r="O12" i="19"/>
  <c r="N12" i="19"/>
  <c r="M12" i="19"/>
  <c r="L12" i="19"/>
  <c r="K12" i="19"/>
  <c r="J12" i="19"/>
  <c r="I12" i="19"/>
  <c r="H12" i="19"/>
  <c r="G12" i="19"/>
  <c r="F12" i="19"/>
  <c r="E12" i="19"/>
  <c r="D12" i="19"/>
  <c r="C12" i="19"/>
  <c r="B12" i="19"/>
  <c r="AG12" i="23"/>
  <c r="AF12" i="23"/>
  <c r="AE12" i="23"/>
  <c r="AD12" i="23"/>
  <c r="AC12" i="23"/>
  <c r="AB12" i="23"/>
  <c r="AA12" i="23"/>
  <c r="Z12" i="23"/>
  <c r="Y12" i="23"/>
  <c r="X12" i="23"/>
  <c r="W12" i="23"/>
  <c r="V12" i="23"/>
  <c r="U12" i="23"/>
  <c r="T12" i="23"/>
  <c r="S12" i="23"/>
  <c r="R12" i="23"/>
  <c r="Q12" i="23"/>
  <c r="P12" i="23"/>
  <c r="O12" i="23"/>
  <c r="N12" i="23"/>
  <c r="M12" i="23"/>
  <c r="L12" i="23"/>
  <c r="K12" i="23"/>
  <c r="J12" i="23"/>
  <c r="I12" i="23"/>
  <c r="H12" i="23"/>
  <c r="G12" i="23"/>
  <c r="F12" i="23"/>
  <c r="E12" i="23"/>
  <c r="D12" i="23"/>
  <c r="C12" i="23"/>
  <c r="B12" i="23"/>
  <c r="AG12" i="30"/>
  <c r="AF12" i="30"/>
  <c r="AE12" i="30"/>
  <c r="AD12" i="30"/>
  <c r="AC12" i="30"/>
  <c r="AB12" i="30"/>
  <c r="AA12" i="30"/>
  <c r="Z12" i="30"/>
  <c r="Y12" i="30"/>
  <c r="X12" i="30"/>
  <c r="W12" i="30"/>
  <c r="V12" i="30"/>
  <c r="U12" i="30"/>
  <c r="T12" i="30"/>
  <c r="S12" i="30"/>
  <c r="R12" i="30"/>
  <c r="Q12" i="30"/>
  <c r="P12" i="30"/>
  <c r="O12" i="30"/>
  <c r="N12" i="30"/>
  <c r="M12" i="30"/>
  <c r="L12" i="30"/>
  <c r="K12" i="30"/>
  <c r="J12" i="30"/>
  <c r="I12" i="30"/>
  <c r="H12" i="30"/>
  <c r="G12" i="30"/>
  <c r="F12" i="30"/>
  <c r="E12" i="30"/>
  <c r="D12" i="30"/>
  <c r="C12" i="30"/>
  <c r="B12" i="30"/>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B12" i="27"/>
  <c r="AG12" i="26"/>
  <c r="AF12" i="26"/>
  <c r="AE12" i="26"/>
  <c r="AD12" i="26"/>
  <c r="AC12" i="26"/>
  <c r="AB12" i="26"/>
  <c r="AA12" i="26"/>
  <c r="Z12" i="26"/>
  <c r="Y12" i="26"/>
  <c r="X12" i="26"/>
  <c r="W12" i="26"/>
  <c r="V12" i="26"/>
  <c r="U12" i="26"/>
  <c r="T12" i="26"/>
  <c r="S12" i="26"/>
  <c r="R12" i="26"/>
  <c r="Q12" i="26"/>
  <c r="P12" i="26"/>
  <c r="O12" i="26"/>
  <c r="N12" i="26"/>
  <c r="M12" i="26"/>
  <c r="L12" i="26"/>
  <c r="K12" i="26"/>
  <c r="J12" i="26"/>
  <c r="I12" i="26"/>
  <c r="H12" i="26"/>
  <c r="G12" i="26"/>
  <c r="F12" i="26"/>
  <c r="E12" i="26"/>
  <c r="D12" i="26"/>
  <c r="C12" i="26"/>
  <c r="B12" i="26"/>
  <c r="AG12" i="29"/>
  <c r="AF12" i="29"/>
  <c r="AE12" i="29"/>
  <c r="AD12" i="29"/>
  <c r="AC12" i="29"/>
  <c r="AB12" i="29"/>
  <c r="AA12" i="29"/>
  <c r="Z12" i="29"/>
  <c r="Y12" i="29"/>
  <c r="X12" i="29"/>
  <c r="W12" i="29"/>
  <c r="V12" i="29"/>
  <c r="U12" i="29"/>
  <c r="T12" i="29"/>
  <c r="S12" i="29"/>
  <c r="R12" i="29"/>
  <c r="Q12" i="29"/>
  <c r="P12" i="29"/>
  <c r="O12" i="29"/>
  <c r="N12" i="29"/>
  <c r="M12" i="29"/>
  <c r="L12" i="29"/>
  <c r="K12" i="29"/>
  <c r="J12" i="29"/>
  <c r="I12" i="29"/>
  <c r="H12" i="29"/>
  <c r="G12" i="29"/>
  <c r="F12" i="29"/>
  <c r="E12" i="29"/>
  <c r="D12" i="29"/>
  <c r="C12" i="29"/>
  <c r="B12" i="29"/>
  <c r="AG12" i="22"/>
  <c r="AF12" i="22"/>
  <c r="AE12" i="22"/>
  <c r="AD12" i="22"/>
  <c r="AC12" i="22"/>
  <c r="AB12" i="22"/>
  <c r="AA12" i="22"/>
  <c r="Z12" i="22"/>
  <c r="Y12" i="22"/>
  <c r="X12" i="22"/>
  <c r="W12" i="22"/>
  <c r="V12" i="22"/>
  <c r="U12" i="22"/>
  <c r="T12" i="22"/>
  <c r="S12" i="22"/>
  <c r="R12" i="22"/>
  <c r="Q12" i="22"/>
  <c r="P12" i="22"/>
  <c r="O12" i="22"/>
  <c r="N12" i="22"/>
  <c r="M12" i="22"/>
  <c r="L12" i="22"/>
  <c r="K12" i="22"/>
  <c r="J12" i="22"/>
  <c r="I12" i="22"/>
  <c r="H12" i="22"/>
  <c r="G12" i="22"/>
  <c r="F12" i="22"/>
  <c r="E12" i="22"/>
  <c r="D12" i="22"/>
  <c r="C12" i="22"/>
  <c r="B12"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BJ</author>
    <author>Alexandra Bykova</author>
  </authors>
  <commentList>
    <comment ref="B1" authorId="0" shapeId="0" xr:uid="{708C00AB-B18C-4A46-9A09-81977FD1E298}">
      <text>
        <r>
          <rPr>
            <b/>
            <sz val="9"/>
            <color indexed="81"/>
            <rFont val="Tahoma"/>
            <family val="2"/>
          </rPr>
          <t>BJ:</t>
        </r>
        <r>
          <rPr>
            <sz val="9"/>
            <color indexed="81"/>
            <rFont val="Tahoma"/>
            <family val="2"/>
          </rPr>
          <t xml:space="preserve">
EU 27, seasonally and calendar adjusted
Eurostat</t>
        </r>
      </text>
    </comment>
    <comment ref="C1" authorId="0" shapeId="0" xr:uid="{ABF72BD4-C72A-4DEE-A9E1-ED5BABA34088}">
      <text>
        <r>
          <rPr>
            <b/>
            <sz val="9"/>
            <color indexed="81"/>
            <rFont val="Tahoma"/>
            <family val="2"/>
          </rPr>
          <t>BJ:</t>
        </r>
        <r>
          <rPr>
            <sz val="9"/>
            <color indexed="81"/>
            <rFont val="Tahoma"/>
            <family val="2"/>
          </rPr>
          <t xml:space="preserve">
Eurostat</t>
        </r>
      </text>
    </comment>
    <comment ref="D1" authorId="0" shapeId="0" xr:uid="{646B6478-BB39-4BE0-89F9-04404C09C14A}">
      <text>
        <r>
          <rPr>
            <b/>
            <sz val="9"/>
            <color indexed="81"/>
            <rFont val="Tahoma"/>
            <family val="2"/>
          </rPr>
          <t>BJ:</t>
        </r>
        <r>
          <rPr>
            <sz val="9"/>
            <color indexed="81"/>
            <rFont val="Tahoma"/>
            <family val="2"/>
          </rPr>
          <t xml:space="preserve">
EU changing composition
Eurostat</t>
        </r>
      </text>
    </comment>
    <comment ref="E1" authorId="0" shapeId="0" xr:uid="{719B2B4F-1C5E-40B8-B6C1-1F986FF4EEE1}">
      <text>
        <r>
          <rPr>
            <b/>
            <sz val="9"/>
            <color indexed="81"/>
            <rFont val="Tahoma"/>
            <family val="2"/>
          </rPr>
          <t>BJ:</t>
        </r>
        <r>
          <rPr>
            <sz val="9"/>
            <color indexed="81"/>
            <rFont val="Tahoma"/>
            <family val="2"/>
          </rPr>
          <t xml:space="preserve">
ECB</t>
        </r>
      </text>
    </comment>
    <comment ref="F1" authorId="0" shapeId="0" xr:uid="{629BE7AF-4EF7-4046-B00B-69B164AEBFB9}">
      <text>
        <r>
          <rPr>
            <b/>
            <sz val="9"/>
            <color indexed="81"/>
            <rFont val="Tahoma"/>
            <family val="2"/>
          </rPr>
          <t>BJ:</t>
        </r>
        <r>
          <rPr>
            <sz val="9"/>
            <color indexed="81"/>
            <rFont val="Tahoma"/>
            <family val="2"/>
          </rPr>
          <t xml:space="preserve">
Crude oil, average, from WB pink sheets</t>
        </r>
      </text>
    </comment>
    <comment ref="G1" authorId="0" shapeId="0" xr:uid="{39269741-7B19-4413-A3F9-9B2001255D05}">
      <text>
        <r>
          <rPr>
            <sz val="9"/>
            <color indexed="81"/>
            <rFont val="Tahoma"/>
            <family val="2"/>
          </rPr>
          <t>General gov, nominal yoy growth, in NCU
wiiw</t>
        </r>
      </text>
    </comment>
    <comment ref="H1" authorId="0" shapeId="0" xr:uid="{28D43E3D-2320-439D-A2E0-6758C51A264A}">
      <text>
        <r>
          <rPr>
            <b/>
            <sz val="9"/>
            <color indexed="81"/>
            <rFont val="Tahoma"/>
            <family val="2"/>
          </rPr>
          <t>BJ:</t>
        </r>
        <r>
          <rPr>
            <sz val="9"/>
            <color indexed="81"/>
            <rFont val="Tahoma"/>
            <family val="2"/>
          </rPr>
          <t xml:space="preserve">
General gov. budget - revenues NCU m (incl. 'euro fixed' series)
wiiw</t>
        </r>
      </text>
    </comment>
    <comment ref="I1" authorId="0" shapeId="0" xr:uid="{A0F8C19D-118F-428D-BD08-A5E2CA6FD66C}">
      <text>
        <r>
          <rPr>
            <b/>
            <sz val="9"/>
            <color indexed="81"/>
            <rFont val="Tahoma"/>
            <family val="2"/>
          </rPr>
          <t>BJ:</t>
        </r>
        <r>
          <rPr>
            <sz val="9"/>
            <color indexed="81"/>
            <rFont val="Tahoma"/>
            <family val="2"/>
          </rPr>
          <t xml:space="preserve">
General gov. budget - balance
 in % of GDP
wiiw</t>
        </r>
      </text>
    </comment>
    <comment ref="J1" authorId="0" shapeId="0" xr:uid="{E596AF49-C47D-4A20-8015-03C5934386C7}">
      <text>
        <r>
          <rPr>
            <b/>
            <sz val="9"/>
            <color indexed="81"/>
            <rFont val="Tahoma"/>
            <family val="2"/>
          </rPr>
          <t>BJ:</t>
        </r>
        <r>
          <rPr>
            <sz val="9"/>
            <color indexed="81"/>
            <rFont val="Tahoma"/>
            <family val="2"/>
          </rPr>
          <t xml:space="preserve">
For all GDP: 
NCU m, 2015 reference prices (prev. year prices, incl. 'euro fixed' series)
wiiw</t>
        </r>
      </text>
    </comment>
    <comment ref="K1" authorId="0" shapeId="0" xr:uid="{9AF4AB63-0C62-4436-890F-58907BC3F616}">
      <text>
        <r>
          <rPr>
            <b/>
            <sz val="9"/>
            <color indexed="81"/>
            <rFont val="Tahoma"/>
            <family val="2"/>
          </rPr>
          <t>BJ:</t>
        </r>
        <r>
          <rPr>
            <sz val="9"/>
            <color indexed="81"/>
            <rFont val="Tahoma"/>
            <family val="2"/>
          </rPr>
          <t xml:space="preserve">
Households + NPISH
Only Households</t>
        </r>
      </text>
    </comment>
    <comment ref="M1" authorId="0" shapeId="0" xr:uid="{5156F617-98A6-4106-BF60-0189F4C2A291}">
      <text>
        <r>
          <rPr>
            <b/>
            <sz val="9"/>
            <color indexed="81"/>
            <rFont val="Tahoma"/>
            <family val="2"/>
          </rPr>
          <t>BJ:</t>
        </r>
        <r>
          <rPr>
            <sz val="9"/>
            <color indexed="81"/>
            <rFont val="Tahoma"/>
            <family val="2"/>
          </rPr>
          <t xml:space="preserve">
Gross capital formation</t>
        </r>
      </text>
    </comment>
    <comment ref="P1" authorId="0" shapeId="0" xr:uid="{DF7B72B2-5916-4E64-AB89-FF314C435014}">
      <text>
        <r>
          <rPr>
            <b/>
            <sz val="9"/>
            <color indexed="81"/>
            <rFont val="Tahoma"/>
            <family val="2"/>
          </rPr>
          <t>Employment, LFS, thousand persons
wiiw</t>
        </r>
      </text>
    </comment>
    <comment ref="Q1" authorId="0" shapeId="0" xr:uid="{B0A3818D-00BE-4E2C-BB2F-1F720642EC83}">
      <text>
        <r>
          <rPr>
            <b/>
            <sz val="9"/>
            <color indexed="81"/>
            <rFont val="Tahoma"/>
            <family val="2"/>
          </rPr>
          <t>Unemployment, LFS, thousand persons
wiiw</t>
        </r>
      </text>
    </comment>
    <comment ref="R1" authorId="0" shapeId="0" xr:uid="{9A86D609-FBFC-4CCB-A1F7-A9CFF0B85C0F}">
      <text>
        <r>
          <rPr>
            <b/>
            <sz val="9"/>
            <color indexed="81"/>
            <rFont val="Tahoma"/>
            <family val="2"/>
          </rPr>
          <t>Unemployment, LFS, in %
wiiw</t>
        </r>
      </text>
    </comment>
    <comment ref="S1" authorId="0" shapeId="0" xr:uid="{68812632-157D-43F1-A861-6CBDF451BE4F}">
      <text>
        <r>
          <rPr>
            <sz val="9"/>
            <color indexed="81"/>
            <rFont val="Tahoma"/>
            <family val="2"/>
          </rPr>
          <t>Average monthly gross wages total, 
national currency (incl. 'euro fixed' series), yoy growth
wiiw</t>
        </r>
      </text>
    </comment>
    <comment ref="T1" authorId="0" shapeId="0" xr:uid="{F0FDB2F1-1C68-43A7-82F6-A491D7693638}">
      <text>
        <r>
          <rPr>
            <b/>
            <sz val="9"/>
            <color indexed="81"/>
            <rFont val="Tahoma"/>
            <family val="2"/>
          </rPr>
          <t>BJ:</t>
        </r>
        <r>
          <rPr>
            <sz val="9"/>
            <color indexed="81"/>
            <rFont val="Tahoma"/>
            <family val="2"/>
          </rPr>
          <t xml:space="preserve">
Central bank policy rate, nominal
wiiw</t>
        </r>
      </text>
    </comment>
    <comment ref="U1" authorId="0" shapeId="0" xr:uid="{597E37C4-6364-41EB-9347-C0273B2E824F}">
      <text>
        <r>
          <rPr>
            <b/>
            <sz val="9"/>
            <color indexed="81"/>
            <rFont val="Tahoma"/>
            <family val="2"/>
          </rPr>
          <t>BJ:</t>
        </r>
        <r>
          <rPr>
            <sz val="9"/>
            <color indexed="81"/>
            <rFont val="Tahoma"/>
            <family val="2"/>
          </rPr>
          <t xml:space="preserve">
Consumer prices index, monthly average, 2015 = 100
wiiw</t>
        </r>
      </text>
    </comment>
    <comment ref="V1" authorId="0" shapeId="0" xr:uid="{D2ECBABE-1156-4FA0-8CF6-D46519A01A9B}">
      <text>
        <r>
          <rPr>
            <b/>
            <sz val="9"/>
            <color indexed="81"/>
            <rFont val="Tahoma"/>
            <family val="2"/>
          </rPr>
          <t>BJ:</t>
        </r>
        <r>
          <rPr>
            <sz val="9"/>
            <color indexed="81"/>
            <rFont val="Tahoma"/>
            <family val="2"/>
          </rPr>
          <t xml:space="preserve">
Exchange rate nominal NCU/EUR, period average
wiiw</t>
        </r>
      </text>
    </comment>
    <comment ref="W1" authorId="0" shapeId="0" xr:uid="{2644E2AF-3F1E-428C-8772-CD4976007163}">
      <text>
        <r>
          <rPr>
            <b/>
            <sz val="9"/>
            <color indexed="81"/>
            <rFont val="Tahoma"/>
            <family val="2"/>
          </rPr>
          <t>BJ:</t>
        </r>
        <r>
          <rPr>
            <sz val="9"/>
            <color indexed="81"/>
            <rFont val="Tahoma"/>
            <family val="2"/>
          </rPr>
          <t xml:space="preserve">
 Industrial output (BCD - NACE Rev. 2), index real, monthly average, 2015 = 100, yoy growth
wiiw</t>
        </r>
      </text>
    </comment>
    <comment ref="X1" authorId="0" shapeId="0" xr:uid="{460FB2B1-E911-4047-BCFE-527032C0CD6B}">
      <text>
        <r>
          <rPr>
            <b/>
            <sz val="9"/>
            <color indexed="81"/>
            <rFont val="Tahoma"/>
            <family val="2"/>
          </rPr>
          <t>BJ:</t>
        </r>
        <r>
          <rPr>
            <sz val="9"/>
            <color indexed="81"/>
            <rFont val="Tahoma"/>
            <family val="2"/>
          </rPr>
          <t xml:space="preserve">
Exports total, fob EUR m, yoy growth
wiiw
Alexandra: changed to BOP: exports of goods and services</t>
        </r>
      </text>
    </comment>
    <comment ref="Y1" authorId="0" shapeId="0" xr:uid="{10A4C185-0E25-445B-A6DB-A2AECDC1B29B}">
      <text>
        <r>
          <rPr>
            <b/>
            <sz val="9"/>
            <color indexed="81"/>
            <rFont val="Tahoma"/>
            <family val="2"/>
          </rPr>
          <t>BJ:</t>
        </r>
        <r>
          <rPr>
            <sz val="9"/>
            <color indexed="81"/>
            <rFont val="Tahoma"/>
            <family val="2"/>
          </rPr>
          <t xml:space="preserve">
 Imports total, cif EUR m
wiiw
Alexandra: changed to BOP: imports of goods and services</t>
        </r>
      </text>
    </comment>
    <comment ref="Z1" authorId="0" shapeId="0" xr:uid="{2CB40E91-1AD2-4693-B2E2-0333CAB22A85}">
      <text>
        <r>
          <rPr>
            <b/>
            <sz val="9"/>
            <color indexed="81"/>
            <rFont val="Tahoma"/>
            <family val="2"/>
          </rPr>
          <t>BJ:</t>
        </r>
        <r>
          <rPr>
            <sz val="9"/>
            <color indexed="81"/>
            <rFont val="Tahoma"/>
            <family val="2"/>
          </rPr>
          <t xml:space="preserve">
Current account in % of GDP
wiiw</t>
        </r>
      </text>
    </comment>
    <comment ref="AA1" authorId="0" shapeId="0" xr:uid="{A9970FD7-EAA3-460F-BFD7-D0136CBFC31B}">
      <text>
        <r>
          <rPr>
            <b/>
            <sz val="9"/>
            <color indexed="81"/>
            <rFont val="Tahoma"/>
            <family val="2"/>
          </rPr>
          <t>BJ:</t>
        </r>
        <r>
          <rPr>
            <sz val="9"/>
            <color indexed="81"/>
            <rFont val="Tahoma"/>
            <family val="2"/>
          </rPr>
          <t xml:space="preserve">
Households + NPISH</t>
        </r>
      </text>
    </comment>
    <comment ref="AC1" authorId="0" shapeId="0" xr:uid="{0527F104-2AEE-4D84-AD63-77EA8D2BA614}">
      <text>
        <r>
          <rPr>
            <b/>
            <sz val="9"/>
            <color indexed="81"/>
            <rFont val="Tahoma"/>
            <family val="2"/>
          </rPr>
          <t>BJ:</t>
        </r>
        <r>
          <rPr>
            <sz val="9"/>
            <color indexed="81"/>
            <rFont val="Tahoma"/>
            <family val="2"/>
          </rPr>
          <t xml:space="preserve">
Gross capital formation</t>
        </r>
      </text>
    </comment>
    <comment ref="AF1" authorId="0" shapeId="0" xr:uid="{E9623463-1A50-41E1-B803-2B9E63B6B2BA}">
      <text>
        <r>
          <rPr>
            <b/>
            <sz val="9"/>
            <color indexed="81"/>
            <rFont val="Tahoma"/>
            <family val="2"/>
          </rPr>
          <t>BJ:</t>
        </r>
        <r>
          <rPr>
            <sz val="9"/>
            <color indexed="81"/>
            <rFont val="Tahoma"/>
            <family val="2"/>
          </rPr>
          <t xml:space="preserve">
loans to households, nominal, yoy growth rates</t>
        </r>
      </text>
    </comment>
    <comment ref="B8" authorId="1" shapeId="0" xr:uid="{83EE209F-8374-45AA-A14A-1061138FAE7B}">
      <text>
        <r>
          <rPr>
            <sz val="9"/>
            <color indexed="81"/>
            <rFont val="Segoe UI"/>
            <family val="2"/>
          </rPr>
          <t xml:space="preserve">ID: 144396
Label: eug11tscrx_q
Database: wiiw Monthly Database - Hidden
Status: active
Calculation: 
Calculation_M: SubScal(L_eug11tscx_q&gt;mdb,100)
Calculation_Q: SubScal(L_eug11tscx_q&gt;mdb,100)
Calculation_A: SubScal(L_eug11tscx_q&gt;mdb,100)
Periodicity: Q
Data available M: 1996m3 - 2023m9
Data available Q: 1996q1 - 2023q3
Data available A: 1996 - 2022
Text 99: 
Automatic update period: 1999|2015
Time shift: 
Note: 
Reporter: EU27_2020 - EU - 27 countries (from 2020)
Chapter 1: 02_NA - National accounts
Indicator: SC0201 - Gross domestic product total
Unit: 05_Ireal_36 - real growth rate to corresponding period of previous year in %
Footnote 1: FZZ05 - According to ESA'10.
Footnote 2:  - 
Footnote 3:  - 
Footnote 4:  - 
Source 1: Z_ESTAT - Eurostat
Source 2: Z_wiiw - wiiw
Source 3:  - 
</t>
        </r>
      </text>
    </comment>
    <comment ref="C8" authorId="1" shapeId="0" xr:uid="{66EBC6E3-CC19-4E49-8924-59D4CC570B03}">
      <text>
        <r>
          <rPr>
            <sz val="9"/>
            <color indexed="81"/>
            <rFont val="Segoe UI"/>
            <family val="2"/>
          </rPr>
          <t xml:space="preserve">ID: 77811
Label: eup1p1tsa
Database: wiiw Monthly Database - Hidden
Status: active
Calculation: 
Calculation_M: 
Calculation_Q: m-&gt;q AVG(L_eup1p1tsa&gt;mdb)
Calculation_A: q-&gt;a AVG(L_eup1p1tsa&gt;mdb)
Periodicity: Q
Data available M: 1999m1 - 2023m12
Data available Q: 1999q1 - 2023q4
Data available A: 1999 - 2023
Text 99: 
Automatic update period: 1999|2015
Time shift: 
Note: 
Reporter: EU - European Union evolutionary
Chapter 1: 07_PRC - Prices
Indicator: SC0701 - Consumer prices
Unit: 03_I_1_085_15avg - index, monthly average, 2015 = 100
Footnote 1: FZZ40 - Based on HICP (Harmonized Index of Consumer Prices).
Footnote 2:  - 
Footnote 3:  - 
Footnote 4:  - 
Source 1: Z_ESTAT - Eurostat
Source 2:  - 
Source 3:  - 
</t>
        </r>
      </text>
    </comment>
    <comment ref="D8" authorId="1" shapeId="0" xr:uid="{EA55848D-812E-41D3-BBC7-55884CF03751}">
      <text>
        <r>
          <rPr>
            <sz val="9"/>
            <color indexed="81"/>
            <rFont val="Segoe UI"/>
            <family val="2"/>
          </rPr>
          <t xml:space="preserve">ID: 77812
Label: eup1p1tscx
Database: wiiw Monthly Database - Hidden
Status: active
Calculation: SubScal(L_eup1p1tscx&gt;mdb,100)
Calculation_M: CPPY=100(L_eup1p1tsa&gt;mdb)
Calculation_Q: CPPY=100(L_eup1p1tsa&gt;mdb)
Calculation_A: CPPY=100(L_eup1p1tsa&gt;mdb)
Periodicity: Q
Data available M: 1992m1 - 2023m12
Data available Q: 1992q1 - 2023q4
Data available A: 1992 - 2023
Text 99: 
Automatic update period: 1999|2015
Time shift: 
Note: 
Reporter: EU - European Union evolutionary
Chapter 1: 07_PRC - Prices
Indicator: SC0701 - Consumer prices
Unit: 03_I_32 - index, corresponding period of previous year = 100
Footnote 1: FZZ40 - Based on HICP (Harmonized Index of Consumer Prices).
Footnote 2:  - 
Footnote 3:  - 
Footnote 4:  - 
Source 1: Z_ESTAT - Eurostat
Source 2: Z_wiiw - wiiw
Source 3:  - 
</t>
        </r>
      </text>
    </comment>
    <comment ref="E8" authorId="1" shapeId="0" xr:uid="{CE11B9EF-A2B8-4B1F-948D-25961F64129C}">
      <text>
        <r>
          <rPr>
            <sz val="9"/>
            <color indexed="81"/>
            <rFont val="Segoe UI"/>
            <family val="2"/>
          </rPr>
          <t xml:space="preserve">ID: 91417
Label: eafrr1tp
Database: wiiw Monthly Database - Hidden
Status: active
Calculation: 
Calculation_M: 
Calculation_Q: m-&gt;q EOP(L_eafrr1tp&gt;mdb)
Calculation_A: q-&gt;a EOP(L_eafrr1tp&gt;mdb)
Periodicity: Q
Data available M: 1999m1 - 2023m12
Data available Q: 1999q1 - 2023q4
Data available A: 1999 - 2023
Text 99: 
Automatic update period: 1999|2015
Time shift: 
Note: 
Reporter: EA - Euro area evolutionary
Chapter 1: 10_DF - Domestic finance
Indicator: SC1050 - Central bank policy rate
Unit: 06_IntR_1 - % p.a., end of period
Footnote 1: FZZ50 - Official refinancing operation rates for euro area (ECB), rate in fixed rate tenders (between June 2000 and September 2008 the minimum bid rate in variable rate tenders was applied).
Footnote 2:  - 
Footnote 3:  - 
Footnote 4:  - 
Source 1: Z_ECB - European Central Bank
Source 2:  - 
Source 3:  - 
</t>
        </r>
      </text>
    </comment>
    <comment ref="F8" authorId="1" shapeId="0" xr:uid="{3E8E6BD1-807D-4D76-9FB4-B36AEDB32870}">
      <text>
        <r>
          <rPr>
            <sz val="9"/>
            <color indexed="81"/>
            <rFont val="Segoe UI"/>
            <family val="2"/>
          </rPr>
          <t xml:space="preserve">ID: 101874
Label: usp2oila
Database: wiiw Monthly Database - Hidden
Status: active
Calculation: 
Calculation_M: 
Calculation_Q: M-&gt;Q AVG(L_usp2oila&gt;mdb)
Calculation_A: Q-&gt;A AVG(L_usp2oila&gt;mdb)
Periodicity: Q
Data available M: 1990m1 - 2023m12
Data available Q: 1990q1 - 2023q4
Data available A: 1990 - 2023
Text 99: 
Automatic update period: 1999|2015
Time shift: 
Note: Oil prices  &amp; Europe Brent Spot Price FOB (Dollars per Barrel) &amp; EIA (US) Source of the data. Gespeichert auf die EU&amp;US Karten.
Reporter: US - United States
Chapter 1: 11_FF - Foreign finance
Indicator:  - 
Unit:  - 
Footnote 1:  - 
Footnote 2:  - 
Footnote 3:  - 
Footnote 4:  - 
Source 1:  - 
Source 2:  - 
Source 3:  - 
</t>
        </r>
      </text>
    </comment>
    <comment ref="G8" authorId="1" shapeId="0" xr:uid="{52CC5095-E0B6-486F-88E9-929A78E4E59D}">
      <text>
        <r>
          <rPr>
            <sz val="9"/>
            <color indexed="81"/>
            <rFont val="Segoe UI"/>
            <family val="2"/>
          </rPr>
          <t xml:space="preserve">ID: 74548
Label: hrbg21n_q
Database: wiiw Monthly Database - Public
Status: active
Calculation: SubScal(CPPY=100(L_hrbg21n_q&gt;mdb),100)
Calculation_M: q-&gt;m EOP(L_hrbg21n_q&gt;mdb)
Calculation_Q: 
Calculation_A: Q-&gt;A CUMPER(L_hrbg21n_q&gt;mdb)
Periodicity: Q
Data available M: 1999m3 - 2023m9
Data available Q: 1999q1 - 2023q3
Data available A: 1999 - 2022
Text 99: 
Automatic update period: 1999|2015
Time shift: 
Note: 
Reporter: HR - Croatia
Chapter 1: 10_DF - Domestic finance
Indicator: SC1011 - General gov. budget (ESA'10, EDP) - expenditures
Unit: 01_Curr_12 - NCU m (incl. 'euro fixed' series)
Footnote 1: FZZ42 - According to ESA'10 excessive deficit procedure.
Footnote 2: FHR16 - Until December 2022 time series in HRK have been divided by the conversion factor 7.5345 (HRK per EUR) to EUR-HRK.
Footnote 3:  - 
Footnote 4:  - 
Source 1: Z_ESTAT - Eurostat
Source 2:  - 
Source 3:  - 
</t>
        </r>
      </text>
    </comment>
    <comment ref="H8" authorId="1" shapeId="0" xr:uid="{33C2B690-E06C-42D1-B758-D8424CA51464}">
      <text>
        <r>
          <rPr>
            <sz val="9"/>
            <color indexed="81"/>
            <rFont val="Segoe UI"/>
            <family val="2"/>
          </rPr>
          <t xml:space="preserve">ID: 74547
Label: hrbg11n_q
Database: wiiw Monthly Database - Public
Status: active
Calculation: SubScal(CPPY=100(L_hrbg11n_q&gt;mdb),100)
Calculation_M: q-&gt;m EOP(L_hrbg11n_q&gt;mdb)
Calculation_Q: 
Calculation_A: Q-&gt;A CUMPER(L_hrbg11n_q&gt;mdb)
Periodicity: Q
Data available M: 1999m3 - 2023m9
Data available Q: 1999q1 - 2023q3
Data available A: 1999 - 2022
Text 99: 
Automatic update period: 1999|2015
Time shift: 
Note: 
Reporter: HR - Croatia
Chapter 1: 10_DF - Domestic finance
Indicator: SC1010 - General gov. budget (ESA'10, EDP) - revenues
Unit: 01_Curr_12 - NCU m (incl. 'euro fixed' series)
Footnote 1: FZZ42 - According to ESA'10 excessive deficit procedure.
Footnote 2: FHR16 - Until December 2022 time series in HRK have been divided by the conversion factor 7.5345 (HRK per EUR) to EUR-HRK.
Footnote 3:  - 
Footnote 4:  - 
Source 1: Z_ESTAT - Eurostat
Source 2:  - 
Source 3:  - 
</t>
        </r>
      </text>
    </comment>
    <comment ref="I8" authorId="1" shapeId="0" xr:uid="{2816432D-50F1-438A-BEF1-2EA1C58EAA6C}">
      <text>
        <r>
          <rPr>
            <sz val="9"/>
            <color indexed="81"/>
            <rFont val="Segoe UI"/>
            <family val="2"/>
          </rPr>
          <t xml:space="preserve">ID: 89165
Label: hrbg31px_q
Database: wiiw Monthly Database - Public
Status: active
Calculation: 
Calculation_M: Q-&gt;M EOP(L_hrbg31px_q&gt;mdb)
Calculation_Q: Share(L_hrbg31nx_q&gt;mdb,L_hrg11tn_q&gt;mdb)
Calculation_A: Share(L_hrbg31nx_q&gt;mdb,L_hrg11tn_q&gt;mdb)
Periodicity: Q
Data available M: 1999m3 - 2023m9
Data available Q: 1999q1 - 2023q3
Data available A: 1999 - 2022
Text 99: 
Automatic update period: 1999|2015
Time shift: 
Note: 
Reporter: HR - Croatia
Chapter 1: 10_DF - Domestic finance
Indicator: SC1012 - General gov. budget (ESA'10, EDP) - balance
Unit: 09_Share_%gdp - in % of GDP
Footnote 1: FZZ42 - According to ESA'10 excessive deficit procedure.
Footnote 2:  - 
Footnote 3:  - 
Footnote 4:  - 
Source 1: Z_ESTAT - Eurostat
Source 2: Z_wiiw - wiiw
Source 3:  - 
</t>
        </r>
      </text>
    </comment>
    <comment ref="J8" authorId="1" shapeId="0" xr:uid="{D873E001-0397-4270-9C11-1A7DCC05DB68}">
      <text>
        <r>
          <rPr>
            <sz val="9"/>
            <color indexed="81"/>
            <rFont val="Segoe UI"/>
            <family val="2"/>
          </rPr>
          <t xml:space="preserve">ID: 88628
Label: hrg11tr15_q
Database: wiiw Monthly Database - Public
Status: active
Calculation: SubScal(CPPY=100(L_hrg11tr15_q&gt;mdb),100)
Calculation_M: q-&gt;m EOP(L_hrg11tr15_q&gt;mdb)
Calculation_Q: 
Calculation_A: q-&gt;a CumPer(L_hrg11tr15_q&gt;mdb)
Periodicity: Q
Data available M: 1995m3 - 2023m9
Data available Q: 1995q1 - 2023q3
Data available A: 1995 - 2022
Text 99: 
Automatic update period: 1999|2015
Time shift: 
Note: 
Reporter: HR - Croatia
Chapter 1: 02_NA - National accounts
Indicator: SC0201 - Gross domestic product total
Unit: 01_Curr_15_085_15_r - NCU m, 2015 reference prices (prev. year prices, incl. 'euro fixed' series)
Footnote 1: FZZ05 - According to ESA'10.
Footnote 2: FHR16 - Until December 2022 time series in HRK have been divided by the conversion factor 7.5345 (HRK per EUR) to EUR-HRK.
Footnote 3:  - 
Footnote 4:  - 
Source 1: Z_ESTAT - Eurostat
Source 2:  - 
Source 3:  - 
</t>
        </r>
      </text>
    </comment>
    <comment ref="K8" authorId="1" shapeId="0" xr:uid="{C6D9C54F-B318-4628-AC5A-24327B544C90}">
      <text>
        <r>
          <rPr>
            <sz val="9"/>
            <color indexed="81"/>
            <rFont val="Segoe UI"/>
            <family val="2"/>
          </rPr>
          <t xml:space="preserve">ID: 90868
Label: hrg222r15_q
Database: wiiw Monthly Database - Public
Status: active
Calculation: SubScal(CPPY=100(L_hrg222r15_q&gt;mdb),100)
Calculation_M: q-&gt;m EOP(L_hrg222r15_q&gt;mdb)
Calculation_Q: 
Calculation_A: q-&gt;a CumPer(L_hrg222r15_q&gt;mdb)
Periodicity: Q
Data available M: 1995m3 - 2023m9
Data available Q: 1995q1 - 2023q3
Data available A: 1995 - 2022
Text 99: 
Automatic update period: 1999|2015
Time shift: 
Note: 
Reporter: HR - Croatia
Chapter 1: 02_NA - National accounts
Indicator: SC0212 - Household final consumption expenditure
Unit: 01_Curr_15_085_15_r - NCU m, 2015 reference prices (prev. year prices, incl. 'euro fixed' series)
Footnote 1: FHR16 - Until December 2022 time series in HRK have been divided by the conversion factor 7.5345 (HRK per EUR) to EUR-HRK.
Footnote 2:  - 
Footnote 3:  - 
Footnote 4:  - 
Source 1: Z_ESTAT - Eurostat
Source 2:  - 
Source 3:  - 
</t>
        </r>
      </text>
    </comment>
    <comment ref="L8" authorId="1" shapeId="0" xr:uid="{781503B9-2EF7-4EA8-A450-FAE16571F7E4}">
      <text>
        <r>
          <rPr>
            <sz val="9"/>
            <color indexed="81"/>
            <rFont val="Segoe UI"/>
            <family val="2"/>
          </rPr>
          <t xml:space="preserve">ID: 90912
Label: hrg223r15_q
Database: wiiw Monthly Database - Public
Status: active
Calculation: SubScal(CPPY=100(L_hrg223r15_q&gt;mdb),100)
Calculation_M: q-&gt;m EOP(L_hrg223r15_q&gt;mdb)
Calculation_Q: 
Calculation_A: q-&gt;a CumPer(L_hrg223r15_q&gt;mdb)
Periodicity: Q
Data available M: 1995m3 - 2023m9
Data available Q: 1995q1 - 2023q3
Data available A: 1995 - 2022
Text 99: 
Automatic update period: 1999|2015
Time shift: 
Note: 
Reporter: HR - Croatia
Chapter 1: 02_NA - National accounts
Indicator: SC0214 - Government final consumption expenditure
Unit: 01_Curr_15_085_15_r - NCU m, 2015 reference prices (prev. year prices, incl. 'euro fixed' series)
Footnote 1: FHR16 - Until December 2022 time series in HRK have been divided by the conversion factor 7.5345 (HRK per EUR) to EUR-HRK.
Footnote 2:  - 
Footnote 3:  - 
Footnote 4:  - 
Source 1: Z_ESTAT - Eurostat
Source 2:  - 
Source 3:  - 
</t>
        </r>
      </text>
    </comment>
    <comment ref="M8" authorId="1" shapeId="0" xr:uid="{562766EB-D44D-4DB3-8F70-4B253DD7D446}">
      <text>
        <r>
          <rPr>
            <sz val="9"/>
            <color indexed="81"/>
            <rFont val="Segoe UI"/>
            <family val="2"/>
          </rPr>
          <t xml:space="preserve">ID: 90934
Label: hrg224r15_q
Database: wiiw Monthly Database - Public
Status: active
Calculation: SubScal(CPPY=100(L_hrg224r15_q&gt;mdb),100)
Calculation_M: q-&gt;m EOP(L_hrg224r15_q&gt;mdb)
Calculation_Q: 
Calculation_A: q-&gt;a CumPer(L_hrg224r15_q&gt;mdb)
Periodicity: Q
Data available M: 1995m3 - 2023m9
Data available Q: 1995q1 - 2023q3
Data available A: 1995 - 2022
Text 99: 
Automatic update period: 1999|2015
Time shift: 
Note: 
Reporter: HR - Croatia
Chapter 1: 02_NA - National accounts
Indicator: SC0217 - Gross capital formation
Unit: 01_Curr_15_085_15_r - NCU m, 2015 reference prices (prev. year prices, incl. 'euro fixed' series)
Footnote 1: FHR16 - Until December 2022 time series in HRK have been divided by the conversion factor 7.5345 (HRK per EUR) to EUR-HRK.
Footnote 2:  - 
Footnote 3:  - 
Footnote 4:  - 
Source 1: Z_ESTAT - Eurostat
Source 2:  - 
Source 3:  - 
</t>
        </r>
      </text>
    </comment>
    <comment ref="N8" authorId="1" shapeId="0" xr:uid="{23105D4D-865B-4141-82AF-27342F826AC1}">
      <text>
        <r>
          <rPr>
            <sz val="9"/>
            <color indexed="81"/>
            <rFont val="Segoe UI"/>
            <family val="2"/>
          </rPr>
          <t xml:space="preserve">ID: 90978
Label: hrg228r15_q
Database: wiiw Monthly Database - Public
Status: active
Calculation: SubScal(CPPY=100(L_hrg228r15_q&gt;mdb),100)
Calculation_M: q-&gt;m EOP(L_hrg228r15_q&gt;mdb)
Calculation_Q: 
Calculation_A: q-&gt;a CumPer(L_hrg228r15_q&gt;mdb)
Periodicity: Q
Data available M: 1995m3 - 2023m9
Data available Q: 1995q1 - 2023q3
Data available A: 1995 - 2022
Text 99: 
Automatic update period: 1999|2015
Time shift: 
Note: 
Reporter: HR - Croatia
Chapter 1: 02_NA - National accounts
Indicator: SC0221 - Exports of goods and services
Unit: 01_Curr_15_085_15_r - NCU m, 2015 reference prices (prev. year prices, incl. 'euro fixed' series)
Footnote 1: FHR16 - Until December 2022 time series in HRK have been divided by the conversion factor 7.5345 (HRK per EUR) to EUR-HRK.
Footnote 2:  - 
Footnote 3:  - 
Footnote 4:  - 
Source 1: Z_ESTAT - Eurostat
Source 2:  - 
Source 3:  - 
</t>
        </r>
      </text>
    </comment>
    <comment ref="O8" authorId="1" shapeId="0" xr:uid="{84D6CC78-3D80-4154-8439-9320385CA822}">
      <text>
        <r>
          <rPr>
            <sz val="9"/>
            <color indexed="81"/>
            <rFont val="Segoe UI"/>
            <family val="2"/>
          </rPr>
          <t xml:space="preserve">ID: 91000
Label: hrg229r15_q
Database: wiiw Monthly Database - Public
Status: active
Calculation: SubScal(CPPY=100(L_hrg229r15_q&gt;mdb),100)
Calculation_M: q-&gt;m EOP(L_hrg229r15_q&gt;mdb)
Calculation_Q: 
Calculation_A: q-&gt;a CumPer(L_hrg229r15_q&gt;mdb)
Periodicity: Q
Data available M: 1995m3 - 2023m9
Data available Q: 1995q1 - 2023q3
Data available A: 1995 - 2022
Text 99: 
Automatic update period: 1999|2015
Time shift: 
Note: 
Reporter: HR - Croatia
Chapter 1: 02_NA - National accounts
Indicator: SC0222 - Imports of goods and services
Unit: 01_Curr_15_085_15_r - NCU m, 2015 reference prices (prev. year prices, incl. 'euro fixed' series)
Footnote 1: FHR16 - Until December 2022 time series in HRK have been divided by the conversion factor 7.5345 (HRK per EUR) to EUR-HRK.
Footnote 2:  - 
Footnote 3:  - 
Footnote 4:  - 
Source 1: Z_ESTAT - Eurostat
Source 2:  - 
Source 3:  - 
</t>
        </r>
      </text>
    </comment>
    <comment ref="P8" authorId="1" shapeId="0" xr:uid="{240A1046-8A6D-4207-B9D0-145113D90E31}">
      <text>
        <r>
          <rPr>
            <sz val="9"/>
            <color indexed="81"/>
            <rFont val="Segoe UI"/>
            <family val="2"/>
          </rPr>
          <t xml:space="preserve">ID: 32654
Label: hre51_ta_q
Database: wiiw Monthly Database - Public
Status: active
Calculation: 
Calculation_M: q-&gt;m EOP(L_hre51_ta_q&gt;mdb)
Calculation_Q: 
Calculation_A: q-&gt;a AVG(L_hre51_ta_q&gt;mdb)
Periodicity: Q
Data available M: 2000m6 - 2023m9
Data available Q: 2000q2 - 2023q3
Data available A: 2000 - 2022
Text 99: 
Automatic update period: 1999|2015
Time shift: 
Note: Accordin to HR CSO methodology change in 2021 caused no breaks in data series. &amp; Annually Grüne Werte als Durchsschnitte von verfügbaren Quartalsdaten gerechnet (AL).
Reporter: HR - Croatia
Chapter 1: 05_LAB - Labour market
Indicator: SC0501 - Employment, LFS
Unit: 02_Pers_11 - th persons, period average
Footnote 1: FHR35 - From 2023 according to census 2021.
Footnote 2: FZZ09 - From 2021 new methodology in line with the Integrated European Social Statistics Regulation (IESS).
Footnote 3: FHR50 - From 2012 according to census April 2011.
Footnote 4: FHR11 - From 2002 according to census 2001.
Source 1: Z_ESTAT - Eurostat
Source 2: QHR1 - Croatian Bureau of Statistics
Source 3:  - 
</t>
        </r>
      </text>
    </comment>
    <comment ref="Q8" authorId="1" shapeId="0" xr:uid="{E4919FB7-1EA6-446E-8325-3BB38E843651}">
      <text>
        <r>
          <rPr>
            <sz val="9"/>
            <color indexed="81"/>
            <rFont val="Segoe UI"/>
            <family val="2"/>
          </rPr>
          <t xml:space="preserve">ID: 32684
Label: hre5u_ta_q
Database: wiiw Monthly Database - Public
Status: active
Calculation: 
Calculation_M: q-&gt;m EOP(L_hre5u_ta_q&gt;mdb)
Calculation_Q: 
Calculation_A: q-&gt;a AVG(L_hre5u_ta_q&gt;mdb)
Periodicity: Q
Data available M: 2000m6 - 2023m9
Data available Q: 2000q2 - 2023q3
Data available A: 2000 - 2022
Text 99: 
Automatic update period: 1999|2015
Time shift: 
Note: Accordin to HR CSO methodology change in 2021 caused no breaks in data series. &amp; Annually Grüne Werte als Durchsschnitte von verfügbaren Quartalsdaten gerechnet (AL).
Reporter: HR - Croatia
Chapter 1: 05_LAB - Labour market
Indicator: SC0507 - Unemployment, LFS
Unit: 02_Pers_11 - th persons, period average
Footnote 1: FHR35 - From 2023 according to census 2021.
Footnote 2: FZZ09 - From 2021 new methodology in line with the Integrated European Social Statistics Regulation (IESS).
Footnote 3: FHR50 - From 2012 according to census April 2011.
Footnote 4: FHR11 - From 2002 according to census 2001.
Source 1: Z_ESTAT - Eurostat
Source 2: QHR1 - Croatian Bureau of Statistics
Source 3:  - 
</t>
        </r>
      </text>
    </comment>
    <comment ref="R8" authorId="1" shapeId="0" xr:uid="{2F96B459-85C6-45A3-900B-EEEB19AB0281}">
      <text>
        <r>
          <rPr>
            <sz val="9"/>
            <color indexed="81"/>
            <rFont val="Segoe UI"/>
            <family val="2"/>
          </rPr>
          <t xml:space="preserve">ID: 32701
Label: hre5u_tp_q
Database: wiiw Monthly Database - Public
Status: active
Calculation: 
Calculation_M: q-&gt;m EOP(L_hre5u_tp_q&gt;mdb)
Calculation_Q: 
Calculation_A: MulScal(Div(L_hre5u_ta_q&gt;mdb,Add(L_hre5u_ta_q&gt;mdb,L_hre51_ta_q&gt;mdb)),100)
Periodicity: Q
Data available M: 2000m6 - 2023m9
Data available Q: 2000q2 - 2023q3
Data available A: 2000 - 2022
Text 99: 
Automatic update period: 1999|2015
Time shift: 
Note: 
Reporter: HR - Croatia
Chapter 1: 05_LAB - Labour market
Indicator: SC0508 - Unemployment rate, LFS
Unit: 02_Pers_21 - in %, period average
Footnote 1: FHR35 - From 2023 according to census 2021.
Footnote 2: FZZ09 - From 2021 new methodology in line with the Integrated European Social Statistics Regulation (IESS).
Footnote 3: FHR50 - From 2012 according to census April 2011.
Footnote 4: FHR11 - From 2002 according to census 2001.
Source 1: Z_ESTAT - Eurostat
Source 2: QHR1 - Croatian Bureau of Statistics
Source 3:  - 
</t>
        </r>
      </text>
    </comment>
    <comment ref="S8" authorId="1" shapeId="0" xr:uid="{D77CCDF6-D449-4830-AFFF-03D7AB8CF866}">
      <text>
        <r>
          <rPr>
            <sz val="9"/>
            <color indexed="81"/>
            <rFont val="Segoe UI"/>
            <family val="2"/>
          </rPr>
          <t xml:space="preserve">ID: 312
Label: hrw11_tccx
Database: wiiw Monthly Database - Public
Status: active
Calculation: SubScal(L_hrw11_tccx&gt;mdb,100)
Calculation_M: CPPY=100(L_hrw11_tn&gt;mdb)
Calculation_Q: CPPY=100(L_hrw11_tn&gt;mdb)
Calculation_A: CPPY=100(L_hrw11_tn&gt;mdb)
Periodicity: Q
Data available M: 1995m1 - 2023m11
Data available Q: 1995q1 - 2023q3
Data available A: 1995 - 2022
Text 99: 
Automatic update period: 1999|2015
Time shift: 
Note: 
Reporter: HR - Croatia
Chapter 1: 06_WS - Wages
Indicator: SC0601 - Average monthly gross wages total
Unit: 04_Inom_32 - index nominal, corresponding period of previous year = 100
Footnote 1: FHR08 - From 2016 based on tax administration data, survey data before.
Footnote 2: FHR12 - From 2020, employees expressed in full-time equivalents (FTE), before that employees receiving compensation, except those working less than 80 hours per month.
Footnote 3:  - 
Footnote 4:  - 
Source 1: QHR1 - Croatian Bureau of Statistics
Source 2: Z_wiiw - wiiw
Source 3:  - 
</t>
        </r>
      </text>
    </comment>
    <comment ref="T8" authorId="1" shapeId="0" xr:uid="{1F9C5E06-B45E-4565-A7C8-CCC9B6209F4C}">
      <text>
        <r>
          <rPr>
            <sz val="9"/>
            <color indexed="81"/>
            <rFont val="Segoe UI"/>
            <family val="2"/>
          </rPr>
          <t xml:space="preserve">ID: 781
Label: hrfrr1tp
Database: wiiw Monthly Database - Public
Status: active
Calculation: 
Calculation_M: TimeSpan(L_eafrr1tp&gt;mdb,2023-)
Calculation_Q: M-&gt;Q EOP(L_hrfrr1tp&gt;mdb)
Calculation_A: Q-&gt;A EOP(L_hrfrr1tp&gt;mdb)
Periodicity: Q
Data available M: 1992m1 - 2023m12
Data available Q: 1992q1 - 2023q4
Data available A: 1992 - 2023
Text 99: 
Automatic update period: 1999|2015
Time shift: 
Note: 
Reporter: HR - Croatia
Chapter 1: 10_DF - Domestic finance
Indicator: SC1050 - Central bank policy rate
Unit: 06_IntR_1 - % p.a., end of period
Footnote 1: FHR25 - From January 2023 euro area official refinancing operation rate, discount rate of the central bank before.
Footnote 2:  - 
Footnote 3:  - 
Footnote 4:  - 
Source 1: QHR2 - Croatian National Bank
Source 2:  - 
Source 3:  - 
</t>
        </r>
      </text>
    </comment>
    <comment ref="U8" authorId="1" shapeId="0" xr:uid="{C8160D40-76F3-449F-9C63-17F0D68D2479}">
      <text>
        <r>
          <rPr>
            <sz val="9"/>
            <color indexed="81"/>
            <rFont val="Segoe UI"/>
            <family val="2"/>
          </rPr>
          <t xml:space="preserve">ID: 74567
Label: hrp1p1tsa
Database: wiiw Monthly Database - Public
Status: active
Calculation: 
Calculation_M: 
Calculation_Q: m-&gt;q AVG(L_hrp1p1tsa&gt;mdb)
Calculation_A: q-&gt;a AVG(L_hrp1p1tsa&gt;mdb)
Periodicity: Q
Data available M: 1999m1 - 2023m12
Data available Q: 1999q1 - 2023q4
Data available A: 1999 - 2023
Text 99: 
Automatic update period: 1999|2015
Time shift: 
Note: 
Reporter: HR - Croatia
Chapter 1: 07_PRC - Prices
Indicator: SC0701 - Consumer prices
Unit: 03_I_1_085_15avg - index, monthly average, 2015 = 100
Footnote 1: FZZ40 - Based on HICP (Harmonized Index of Consumer Prices).
Footnote 2:  - 
Footnote 3:  - 
Footnote 4:  - 
Source 1: Z_ESTAT - Eurostat
Source 2:  - 
Source 3:  - 
</t>
        </r>
      </text>
    </comment>
    <comment ref="V8" authorId="1" shapeId="0" xr:uid="{10C7FA11-2F82-4D6C-B97B-B45E74BED993}">
      <text>
        <r>
          <rPr>
            <sz val="9"/>
            <color indexed="81"/>
            <rFont val="Segoe UI"/>
            <family val="2"/>
          </rPr>
          <t xml:space="preserve">ID: 960
Label: hrp2xea
Database: wiiw Monthly Database - Public
Status: active
Calculation: 
Calculation_M: TimeSpan(L_mep2xea&gt;mdb,2023-)
Calculation_Q: m-&gt;q AVG(L_hrp2xea&gt;mdb)
Calculation_A: q-&gt;a AVG(L_hrp2xea&gt;mdb)
Periodicity: Q
Data available M: 1992m1 - 2024m1
Data available Q: 1992q1 - 2023q4
Data available A: 1992 - 2023
Text 99: 
Automatic update period: 1999|2015
Time shift: 
Note: 
Reporter: HR - Croatia
Chapter 1: 11_FF - Foreign finance
Indicator: SC1107 - Exchange rate nominal
Unit: 07_Exch_12 - NCU/EUR, period average
Footnote 1: FHR31 - Until December 2022 EUR-HRK per EUR.
Footnote 2: FZZ21 - Up to December 1998 ECU.
Footnote 3:  - 
Footnote 4:  - 
Source 1: Z_ESTAT - Eurostat
Source 2: QHR2 - Croatian National Bank
Source 3:  - 
</t>
        </r>
      </text>
    </comment>
    <comment ref="W8" authorId="1" shapeId="0" xr:uid="{46BBE49D-1ACA-46F0-8B95-B76F1E37DEBF}">
      <text>
        <r>
          <rPr>
            <sz val="9"/>
            <color indexed="81"/>
            <rFont val="Segoe UI"/>
            <family val="2"/>
          </rPr>
          <t xml:space="preserve">ID: 32375
Label: hra1211tscx
Database: wiiw Monthly Database - Public
Status: active
Calculation: SubScal(L_hra1211tscx&gt;mdb,100)
Calculation_M: CPPY=100(L_hra1211tsa&gt;mdb)
Calculation_Q: CPPY=100(L_hra1211tsa&gt;mdb)
Calculation_A: CPPY=100(L_hra1211tsa&gt;mdb)
Periodicity: Q
Data available M: 2001m1 - 2023m11
Data available Q: 2001q1 - 2023q3
Data available A: 2001 - 2022
Text 99: 
Automatic update period: 1999|2015
Time shift: 
Note: 
Reporter: HR - Croatia
Chapter 1: 04_PROD - Production
Indicator: SC0401 - Industrial output (BCD - NACE Rev. 2)
Unit: 05_Ireal_32 - index real, corresponding period of previous year = 100
Footnote 1: FZZ11 - Enterprises with 20 and more employees.
Footnote 2:  - 
Footnote 3:  - 
Footnote 4:  - 
Source 1: Z_ESTAT - Eurostat
Source 2: Z_wiiw - wiiw
Source 3:  - 
</t>
        </r>
      </text>
    </comment>
    <comment ref="X8" authorId="1" shapeId="0" xr:uid="{CCD81F83-9064-41AF-87A1-4BFFF9D09DA0}">
      <text>
        <r>
          <rPr>
            <sz val="9"/>
            <color indexed="81"/>
            <rFont val="Segoe UI"/>
            <family val="2"/>
          </rPr>
          <t xml:space="preserve">ID: 87261
Label: hrlago2e_q
Database: wiiw Monthly Database - Hidden
Status: active
Calculation: SubScal(CPPY=100(AddNull(L_hrlago2e_q&gt;mdb,L_hrlase2e_q&gt;mdb)),100)
Calculation_M: q-&gt;m EOP(L_hrlago2e_q&gt;mdb)
Calculation_Q: 
Calculation_A: Q-&gt;A CUMPER(L_hrlago2e_q&gt;mdb)
Periodicity: Q
Data available M: 2008m3 - 2023m9
Data available Q: 2008q1 - 2023q3
Data available A: 2008 - 2022
Text 99: 
Automatic update period: 1999|2015
Time shift: 
Note: 
Reporter: HR - Croatia
Chapter 1: 11_FF - Foreign finance
Indicator: SC1111 - 1.A.a. Goods exports, fob, credit
Unit: 01_Curr_23 - EUR m
Footnote 1: FZZ80 - Based on BPM6.
Footnote 2:  - 
Footnote 3:  - 
Footnote 4:  - 
Source 1: Z_ESTAT - Eurostat
Source 2: QHR2 - Croatian National Bank
Source 3:  - 
</t>
        </r>
      </text>
    </comment>
    <comment ref="Y8" authorId="1" shapeId="0" xr:uid="{058A354C-EBAE-40C4-A159-D9C74B455231}">
      <text>
        <r>
          <rPr>
            <sz val="9"/>
            <color indexed="81"/>
            <rFont val="Segoe UI"/>
            <family val="2"/>
          </rPr>
          <t xml:space="preserve">ID: 87298
Label: hrlago3e_q
Database: wiiw Monthly Database - Hidden
Status: active
Calculation: SubScal(CPPY=100(AddNull(L_hrlago3e_q&gt;mdb,L_hrlase3e_q&gt;mdb)),100)
Calculation_M: q-&gt;m EOP(L_hrlago3e_q&gt;mdb)
Calculation_Q: 
Calculation_A: Q-&gt;A CUMPER(L_hrlago3e_q&gt;mdb)
Periodicity: Q
Data available M: 2008m3 - 2023m9
Data available Q: 2008q1 - 2023q3
Data available A: 2008 - 2022
Text 99: 
Automatic update period: 1999|2015
Time shift: 
Note: 
Reporter: HR - Croatia
Chapter 1: 11_FF - Foreign finance
Indicator: SC1112 - 1.A.a. Goods imports, fob, debit
Unit: 01_Curr_23 - EUR m
Footnote 1: FZZ80 - Based on BPM6.
Footnote 2:  - 
Footnote 3:  - 
Footnote 4:  - 
Source 1: Z_ESTAT - Eurostat
Source 2: QHR2 - Croatian National Bank
Source 3:  - 
</t>
        </r>
      </text>
    </comment>
    <comment ref="Z8" authorId="1" shapeId="0" xr:uid="{471C8221-21B1-464B-BDFF-882EDA44B671}">
      <text>
        <r>
          <rPr>
            <sz val="9"/>
            <color indexed="81"/>
            <rFont val="Segoe UI"/>
            <family val="2"/>
          </rPr>
          <t xml:space="preserve">ID: 88730
Label: hrlacaepx_q
Database: wiiw Monthly Database - Public
Status: active
Calculation: 
Calculation_M: Q-&gt;M EOP(L_hrlacaepx_q&gt;mdb)
Calculation_Q: Share(L_hrlacaen_q&gt;mdb,Div(L_hrg11tn_q&gt;mdb,L_hrp2xea&gt;mdb))
Calculation_A: Share(L_hrlacaen_q&gt;mdb,Div(L_hrg11tn_q&gt;mdb,L_hrp2xea&gt;mdb))
Periodicity: Q
Data available M: 1995m3 - 2023m9
Data available Q: 1995q1 - 2023q3
Data available A: 1995 - 2022
Text 99: 
Automatic update period: 1999|2015
Time shift: 
Note: From 1993 to 1998 calculated from USD to NCU to EUR using the average exchange rates.
Reporter: HR - Croatia
Chapter 1: 11_FF - Foreign finance
Indicator: SC1101 - Current account
Unit: 09_Share_%gdp - in % of GDP
Footnote 1: FZZ55 - From 2008 based on BPM6.
Footnote 2:  - 
Footnote 3:  - 
Footnote 4:  - 
Source 1: Z_ESTAT - Eurostat
Source 2: QHR2 - Croatian National Bank
Source 3: Z_wiiw - wiiw
</t>
        </r>
      </text>
    </comment>
    <comment ref="AA8" authorId="1" shapeId="0" xr:uid="{6147D18B-49D7-4A6C-98DB-C8AC54E6CFD9}">
      <text>
        <r>
          <rPr>
            <sz val="9"/>
            <color indexed="81"/>
            <rFont val="Segoe UI"/>
            <family val="2"/>
          </rPr>
          <t xml:space="preserve">ID: 90340
Label: hrg222px_q
Database: wiiw Monthly Database - Public
Status: active
Calculation: AddNull(L_hrg222px_q&gt;mdb,L_hrg22zpx_q&gt;mdb)
Calculation_M: Q-&gt;M EOP(L_hrg222px_q&gt;mdb)
Calculation_Q: Share(L_hrg222n_q&gt;mdb,L_hrg11tzn_q&gt;mdb)
Calculation_A: Share(L_hrg222n_q&gt;mdb,L_hrg11tzn_q&gt;mdb)
Periodicity: Q
Data available M: 1995m3 - 2023m9
Data available Q: 1995q1 - 2023q3
Data available A: 1995 - 2022
Text 99: 
Automatic update period: 1999|2015
Time shift: 
Note: 
Reporter: HR - Croatia
Chapter 1: 02_NA - National accounts
Indicator: SC0212 - Household final consumption expenditure
Unit: 09_Share_%gdp - in % of GDP
Footnote 1:  - 
Footnote 2:  - 
Footnote 3:  - 
Footnote 4:  - 
Source 1: Z_ESTAT - Eurostat
Source 2: Z_wiiw - wiiw
Source 3:  - 
</t>
        </r>
      </text>
    </comment>
    <comment ref="AB8" authorId="1" shapeId="0" xr:uid="{970ED90A-079B-4943-A43F-FFED74D83805}">
      <text>
        <r>
          <rPr>
            <sz val="9"/>
            <color indexed="81"/>
            <rFont val="Segoe UI"/>
            <family val="2"/>
          </rPr>
          <t xml:space="preserve">ID: 90384
Label: hrg223px_q
Database: wiiw Monthly Database - Public
Status: active
Calculation: 
Calculation_M: Q-&gt;M EOP(L_hrg223px_q&gt;mdb)
Calculation_Q: Share(L_hrg223n_q&gt;mdb,L_hrg11tzn_q&gt;mdb)
Calculation_A: Share(L_hrg223n_q&gt;mdb,L_hrg11tzn_q&gt;mdb)
Periodicity: Q
Data available M: 1995m3 - 2023m9
Data available Q: 1995q1 - 2023q3
Data available A: 1995 - 2022
Text 99: 
Automatic update period: 1999|2015
Time shift: 
Note: 
Reporter: HR - Croatia
Chapter 1: 02_NA - National accounts
Indicator: SC0214 - Government final consumption expenditure
Unit: 09_Share_%gdp - in % of GDP
Footnote 1:  - 
Footnote 2:  - 
Footnote 3:  - 
Footnote 4:  - 
Source 1: Z_ESTAT - Eurostat
Source 2: Z_wiiw - wiiw
Source 3:  - 
</t>
        </r>
      </text>
    </comment>
    <comment ref="AC8" authorId="1" shapeId="0" xr:uid="{9E3F73FB-FD61-43B0-A2C4-D7613555D7D2}">
      <text>
        <r>
          <rPr>
            <sz val="9"/>
            <color indexed="81"/>
            <rFont val="Segoe UI"/>
            <family val="2"/>
          </rPr>
          <t xml:space="preserve">ID: 90406
Label: hrg224px_q
Database: wiiw Monthly Database - Public
Status: active
Calculation: 
Calculation_M: Q-&gt;M EOP(L_hrg224px_q&gt;mdb)
Calculation_Q: Share(L_hrg224n_q&gt;mdb,L_hrg11tzn_q&gt;mdb)
Calculation_A: Share(L_hrg224n_q&gt;mdb,L_hrg11tzn_q&gt;mdb)
Periodicity: Q
Data available M: 1995m3 - 2023m9
Data available Q: 1995q1 - 2023q3
Data available A: 1995 - 2022
Text 99: 
Automatic update period: 1999|2015
Time shift: 
Note: 
Reporter: HR - Croatia
Chapter 1: 02_NA - National accounts
Indicator: SC0217 - Gross capital formation
Unit: 09_Share_%gdp - in % of GDP
Footnote 1:  - 
Footnote 2:  - 
Footnote 3:  - 
Footnote 4:  - 
Source 1: Z_ESTAT - Eurostat
Source 2: Z_wiiw - wiiw
Source 3:  - 
</t>
        </r>
      </text>
    </comment>
    <comment ref="AD8" authorId="1" shapeId="0" xr:uid="{CFCAEFBD-7D2A-4B32-8353-67FA6ED23E9C}">
      <text>
        <r>
          <rPr>
            <sz val="9"/>
            <color indexed="81"/>
            <rFont val="Segoe UI"/>
            <family val="2"/>
          </rPr>
          <t xml:space="preserve">ID: 90494
Label: hrg228px_q
Database: wiiw Monthly Database - Public
Status: active
Calculation: 
Calculation_M: Q-&gt;M EOP(L_hrg228px_q&gt;mdb)
Calculation_Q: Share(L_hrg228n_q&gt;mdb,L_hrg11tzn_q&gt;mdb)
Calculation_A: Share(L_hrg228n_q&gt;mdb,L_hrg11tzn_q&gt;mdb)
Periodicity: Q
Data available M: 1995m3 - 2023m9
Data available Q: 1995q1 - 2023q3
Data available A: 1995 - 2022
Text 99: 
Automatic update period: 1999|2015
Time shift: 
Note: 
Reporter: HR - Croatia
Chapter 1: 02_NA - National accounts
Indicator: SC0221 - Exports of goods and services
Unit: 09_Share_%gdp - in % of GDP
Footnote 1:  - 
Footnote 2:  - 
Footnote 3:  - 
Footnote 4:  - 
Source 1: Z_ESTAT - Eurostat
Source 2: Z_wiiw - wiiw
Source 3:  - 
</t>
        </r>
      </text>
    </comment>
    <comment ref="AE8" authorId="1" shapeId="0" xr:uid="{52435E8A-95B6-438B-93B7-CD88A9F58813}">
      <text>
        <r>
          <rPr>
            <sz val="9"/>
            <color indexed="81"/>
            <rFont val="Segoe UI"/>
            <family val="2"/>
          </rPr>
          <t xml:space="preserve">ID: 90516
Label: hrg229px_q
Database: wiiw Monthly Database - Public
Status: active
Calculation: 
Calculation_M: Q-&gt;M EOP(L_hrg229px_q&gt;mdb)
Calculation_Q: Share(L_hrg229n_q&gt;mdb,L_hrg11tzn_q&gt;mdb)
Calculation_A: Share(L_hrg229n_q&gt;mdb,L_hrg11tzn_q&gt;mdb)
Periodicity: Q
Data available M: 1995m3 - 2023m9
Data available Q: 1995q1 - 2023q3
Data available A: 1995 - 2022
Text 99: 
Automatic update period: 1999|2015
Time shift: 
Note: 
Reporter: HR - Croatia
Chapter 1: 02_NA - National accounts
Indicator: SC0222 - Imports of goods and services
Unit: 09_Share_%gdp - in % of GDP
Footnote 1:  - 
Footnote 2:  - 
Footnote 3:  - 
Footnote 4:  - 
Source 1: Z_ESTAT - Eurostat
Source 2: Z_wiiw - wiiw
Source 3:  - 
</t>
        </r>
      </text>
    </comment>
    <comment ref="AF8" authorId="1" shapeId="0" xr:uid="{387BEC50-59E8-475B-AFB1-2B94CE7E8F0D}">
      <text>
        <r>
          <rPr>
            <sz val="9"/>
            <color indexed="81"/>
            <rFont val="Segoe UI"/>
            <family val="2"/>
          </rPr>
          <t xml:space="preserve">ID: 89614
Label: hrfls14scx
Database: wiiw Monthly Database - Public
Status: active
Calculation: SubScal(L_hrfls14scx&gt;mdb,100)
Calculation_M: CPPY=100(L_hrfls14e&gt;mdb)
Calculation_Q: M-&gt;Q EOP(L_hrfls14scx&gt;mdb)
Calculation_A: Q-&gt;A EOP(L_hrfls14scx&gt;mdb)
Periodicity: Q
Data available M: 2001m1 - 2023m12
Data available Q: 2001q1 - 2023q4
Data available A: 2001 - 2023
Text 99: 
Automatic update period: 1999|2015
Time shift: 
Note: 
Reporter: HR - Croatia
Chapter 1: 10_DF - Domestic finance
Indicator: SC1066 - Loans households (S14)
Unit: 04_Inom_32 - index nominal, corresponding period of previous year = 100
Footnote 1: FHR52 - From December 2010 ESA'10 methodology.
Footnote 2:  - 
Footnote 3:  - 
Footnote 4:  - 
Source 1: QHR2 - Croatian National Bank
Source 2: Z_wiiw - wiiw
Source 3:  - 
</t>
        </r>
      </text>
    </comment>
    <comment ref="AG8" authorId="1" shapeId="0" xr:uid="{3E166DDC-2F08-4648-89A3-B725519D0876}">
      <text>
        <r>
          <rPr>
            <sz val="9"/>
            <color indexed="81"/>
            <rFont val="Segoe UI"/>
            <family val="2"/>
          </rPr>
          <t xml:space="preserve">ID: 144765
Label: hrbgdtpx_help_q
Database: wiiw Monthly Database - Hidden
Status: active
Calculation: 
Calculation_M: q-&gt;m EOP(L_hrbgdtpx_help_q&gt;mdb)
Calculation_Q: Share(L_hrbgdtn_help_q&gt;mdb,L_hrg11tnx_help_q&gt;mdb)
Calculation_A: q-&gt;a EOP(L_hrbgdtpx_help_q&gt;mdb)
Periodicity: Q
Data available M: 1995m12 - 2023m9
Data available Q: 1995q4 - 2023q3
Data available A: 1995 - 2022
Text 99: 
Automatic update period: 1999|2015
Time shift: 
Note: 
Reporter: HR - Croatia
Chapter 1: 10_DF - Domestic finance
Indicator: SC1009 - General government gross debt, total
Unit: 09_Share_%gdp - in % of GDP
Footnote 1:  - 
Footnote 2:  - 
Footnote 3:  - 
Footnote 4:  - 
Source 1: Z_ESTAT - Eurostat
Source 2: Z_wiiw - wiiw
Source 3:  - 
</t>
        </r>
      </text>
    </comment>
    <comment ref="G101" authorId="0" shapeId="0" xr:uid="{25AB9DD5-ACF5-4C3C-939F-2CAD29F05CFE}">
      <text>
        <r>
          <rPr>
            <b/>
            <sz val="9"/>
            <color indexed="81"/>
            <rFont val="Tahoma"/>
            <family val="2"/>
          </rPr>
          <t>BJ:</t>
        </r>
        <r>
          <rPr>
            <sz val="9"/>
            <color indexed="81"/>
            <rFont val="Tahoma"/>
            <family val="2"/>
          </rPr>
          <t xml:space="preserve">
from the budget for 2022</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BJ</author>
    <author>Alexandra Bykova</author>
  </authors>
  <commentList>
    <comment ref="B1" authorId="0" shapeId="0" xr:uid="{9BCB97E3-343A-4588-9B06-B442015514E3}">
      <text>
        <r>
          <rPr>
            <b/>
            <sz val="9"/>
            <color indexed="81"/>
            <rFont val="Tahoma"/>
            <family val="2"/>
          </rPr>
          <t>BJ:</t>
        </r>
        <r>
          <rPr>
            <sz val="9"/>
            <color indexed="81"/>
            <rFont val="Tahoma"/>
            <family val="2"/>
          </rPr>
          <t xml:space="preserve">
EU 27, seasonally and calendar adjusted
Eurostat</t>
        </r>
      </text>
    </comment>
    <comment ref="C1" authorId="0" shapeId="0" xr:uid="{8BA2915A-295F-45E5-9660-289890110A6C}">
      <text>
        <r>
          <rPr>
            <b/>
            <sz val="9"/>
            <color indexed="81"/>
            <rFont val="Tahoma"/>
            <family val="2"/>
          </rPr>
          <t>BJ:</t>
        </r>
        <r>
          <rPr>
            <sz val="9"/>
            <color indexed="81"/>
            <rFont val="Tahoma"/>
            <family val="2"/>
          </rPr>
          <t xml:space="preserve">
Eurostat</t>
        </r>
      </text>
    </comment>
    <comment ref="D1" authorId="0" shapeId="0" xr:uid="{AD471731-B280-4738-9A0E-9CC666DA7F69}">
      <text>
        <r>
          <rPr>
            <b/>
            <sz val="9"/>
            <color indexed="81"/>
            <rFont val="Tahoma"/>
            <family val="2"/>
          </rPr>
          <t>BJ:</t>
        </r>
        <r>
          <rPr>
            <sz val="9"/>
            <color indexed="81"/>
            <rFont val="Tahoma"/>
            <family val="2"/>
          </rPr>
          <t xml:space="preserve">
EU changing composition
Eurostat</t>
        </r>
      </text>
    </comment>
    <comment ref="E1" authorId="0" shapeId="0" xr:uid="{576A8481-B35F-4979-AE0A-6D06B756FA0A}">
      <text>
        <r>
          <rPr>
            <b/>
            <sz val="9"/>
            <color indexed="81"/>
            <rFont val="Tahoma"/>
            <family val="2"/>
          </rPr>
          <t>BJ:</t>
        </r>
        <r>
          <rPr>
            <sz val="9"/>
            <color indexed="81"/>
            <rFont val="Tahoma"/>
            <family val="2"/>
          </rPr>
          <t xml:space="preserve">
ECB</t>
        </r>
      </text>
    </comment>
    <comment ref="F1" authorId="0" shapeId="0" xr:uid="{A2CCD425-6888-49FD-9096-9CD711D55794}">
      <text>
        <r>
          <rPr>
            <b/>
            <sz val="9"/>
            <color indexed="81"/>
            <rFont val="Tahoma"/>
            <family val="2"/>
          </rPr>
          <t>BJ:</t>
        </r>
        <r>
          <rPr>
            <sz val="9"/>
            <color indexed="81"/>
            <rFont val="Tahoma"/>
            <family val="2"/>
          </rPr>
          <t xml:space="preserve">
Crude oil, average, from WB pink sheets</t>
        </r>
      </text>
    </comment>
    <comment ref="G1" authorId="0" shapeId="0" xr:uid="{BAE7A619-B61F-4A01-B43A-6C64BB3AC2ED}">
      <text>
        <r>
          <rPr>
            <sz val="9"/>
            <color indexed="81"/>
            <rFont val="Tahoma"/>
            <family val="2"/>
          </rPr>
          <t>General gov, nominal yoy growth, in NCU
wiiw</t>
        </r>
      </text>
    </comment>
    <comment ref="H1" authorId="0" shapeId="0" xr:uid="{F4C6A5A3-5755-4A48-934C-2B36A810E2BA}">
      <text>
        <r>
          <rPr>
            <b/>
            <sz val="9"/>
            <color indexed="81"/>
            <rFont val="Tahoma"/>
            <family val="2"/>
          </rPr>
          <t>BJ:</t>
        </r>
        <r>
          <rPr>
            <sz val="9"/>
            <color indexed="81"/>
            <rFont val="Tahoma"/>
            <family val="2"/>
          </rPr>
          <t xml:space="preserve">
General gov. budget - revenues NCU m (incl. 'euro fixed' series)
wiiw</t>
        </r>
      </text>
    </comment>
    <comment ref="I1" authorId="0" shapeId="0" xr:uid="{3C6C1A8D-26D7-4D8A-9FA7-467C001F4080}">
      <text>
        <r>
          <rPr>
            <b/>
            <sz val="9"/>
            <color indexed="81"/>
            <rFont val="Tahoma"/>
            <family val="2"/>
          </rPr>
          <t>BJ:</t>
        </r>
        <r>
          <rPr>
            <sz val="9"/>
            <color indexed="81"/>
            <rFont val="Tahoma"/>
            <family val="2"/>
          </rPr>
          <t xml:space="preserve">
General gov. budget - balance
 in % of GDP
wiiw</t>
        </r>
      </text>
    </comment>
    <comment ref="J1" authorId="0" shapeId="0" xr:uid="{ED1ABEF1-3A35-47EF-BED4-D9AA2EA6E0F3}">
      <text>
        <r>
          <rPr>
            <b/>
            <sz val="9"/>
            <color indexed="81"/>
            <rFont val="Tahoma"/>
            <family val="2"/>
          </rPr>
          <t>BJ:</t>
        </r>
        <r>
          <rPr>
            <sz val="9"/>
            <color indexed="81"/>
            <rFont val="Tahoma"/>
            <family val="2"/>
          </rPr>
          <t xml:space="preserve">
For all GDP: 
NCU m, 2015 reference prices (prev. year prices, incl. 'euro fixed' series)
wiiw</t>
        </r>
      </text>
    </comment>
    <comment ref="K1" authorId="0" shapeId="0" xr:uid="{1F528B48-5060-4C0F-B83A-22705DC5B6F7}">
      <text>
        <r>
          <rPr>
            <b/>
            <sz val="9"/>
            <color indexed="81"/>
            <rFont val="Tahoma"/>
            <family val="2"/>
          </rPr>
          <t>BJ:</t>
        </r>
        <r>
          <rPr>
            <sz val="9"/>
            <color indexed="81"/>
            <rFont val="Tahoma"/>
            <family val="2"/>
          </rPr>
          <t xml:space="preserve">
Households + NPISH
Only Households</t>
        </r>
      </text>
    </comment>
    <comment ref="M1" authorId="0" shapeId="0" xr:uid="{16DEBC75-473D-4A34-A913-ADA7C2C07C05}">
      <text>
        <r>
          <rPr>
            <b/>
            <sz val="9"/>
            <color indexed="81"/>
            <rFont val="Tahoma"/>
            <family val="2"/>
          </rPr>
          <t>BJ:</t>
        </r>
        <r>
          <rPr>
            <sz val="9"/>
            <color indexed="81"/>
            <rFont val="Tahoma"/>
            <family val="2"/>
          </rPr>
          <t xml:space="preserve">
Gross capital formation</t>
        </r>
      </text>
    </comment>
    <comment ref="P1" authorId="0" shapeId="0" xr:uid="{D8C35BC7-EC2E-4238-A53E-773CDA6525D4}">
      <text>
        <r>
          <rPr>
            <b/>
            <sz val="9"/>
            <color indexed="81"/>
            <rFont val="Tahoma"/>
            <family val="2"/>
          </rPr>
          <t>Employment, LFS, thousand persons
wiiw</t>
        </r>
      </text>
    </comment>
    <comment ref="Q1" authorId="0" shapeId="0" xr:uid="{4B1DA892-E7F6-4CCF-A6BD-EA4CB2D7A64D}">
      <text>
        <r>
          <rPr>
            <b/>
            <sz val="9"/>
            <color indexed="81"/>
            <rFont val="Tahoma"/>
            <family val="2"/>
          </rPr>
          <t>Unemployment, LFS, thousand persons
wiiw</t>
        </r>
      </text>
    </comment>
    <comment ref="R1" authorId="0" shapeId="0" xr:uid="{D616B4E2-EEDB-4864-9955-174A66B815EF}">
      <text>
        <r>
          <rPr>
            <b/>
            <sz val="9"/>
            <color indexed="81"/>
            <rFont val="Tahoma"/>
            <family val="2"/>
          </rPr>
          <t>Unemployment, LFS, in %
wiiw</t>
        </r>
      </text>
    </comment>
    <comment ref="S1" authorId="0" shapeId="0" xr:uid="{289743BB-DCBA-42F6-9DDB-6E6AB11FB208}">
      <text>
        <r>
          <rPr>
            <sz val="9"/>
            <color indexed="81"/>
            <rFont val="Tahoma"/>
            <family val="2"/>
          </rPr>
          <t>Average monthly gross wages total, 
national currency (incl. 'euro fixed' series), yoy growth
wiiw</t>
        </r>
      </text>
    </comment>
    <comment ref="T1" authorId="0" shapeId="0" xr:uid="{25A50D3D-8186-45DA-B28D-7EB0140665B6}">
      <text>
        <r>
          <rPr>
            <b/>
            <sz val="9"/>
            <color indexed="81"/>
            <rFont val="Tahoma"/>
            <family val="2"/>
          </rPr>
          <t>BJ:</t>
        </r>
        <r>
          <rPr>
            <sz val="9"/>
            <color indexed="81"/>
            <rFont val="Tahoma"/>
            <family val="2"/>
          </rPr>
          <t xml:space="preserve">
Central bank policy rate, nominal
wiiw</t>
        </r>
      </text>
    </comment>
    <comment ref="U1" authorId="0" shapeId="0" xr:uid="{75F79182-7776-41E0-A171-71AA3C759D69}">
      <text>
        <r>
          <rPr>
            <b/>
            <sz val="9"/>
            <color indexed="81"/>
            <rFont val="Tahoma"/>
            <family val="2"/>
          </rPr>
          <t>BJ:</t>
        </r>
        <r>
          <rPr>
            <sz val="9"/>
            <color indexed="81"/>
            <rFont val="Tahoma"/>
            <family val="2"/>
          </rPr>
          <t xml:space="preserve">
Consumer prices index, monthly average, 2015 = 100
wiiw</t>
        </r>
      </text>
    </comment>
    <comment ref="V1" authorId="0" shapeId="0" xr:uid="{A63831DA-A757-41EB-9E79-820ED9CF8BC1}">
      <text>
        <r>
          <rPr>
            <b/>
            <sz val="9"/>
            <color indexed="81"/>
            <rFont val="Tahoma"/>
            <family val="2"/>
          </rPr>
          <t>BJ:</t>
        </r>
        <r>
          <rPr>
            <sz val="9"/>
            <color indexed="81"/>
            <rFont val="Tahoma"/>
            <family val="2"/>
          </rPr>
          <t xml:space="preserve">
Exchange rate nominal NCU/EUR, period average
wiiw</t>
        </r>
      </text>
    </comment>
    <comment ref="W1" authorId="0" shapeId="0" xr:uid="{BD6DDD84-8F3A-46AA-A772-C9D965AA8570}">
      <text>
        <r>
          <rPr>
            <b/>
            <sz val="9"/>
            <color indexed="81"/>
            <rFont val="Tahoma"/>
            <family val="2"/>
          </rPr>
          <t>BJ:</t>
        </r>
        <r>
          <rPr>
            <sz val="9"/>
            <color indexed="81"/>
            <rFont val="Tahoma"/>
            <family val="2"/>
          </rPr>
          <t xml:space="preserve">
 Industrial output (BCD - NACE Rev. 2), index real, monthly average, 2015 = 100, yoy growth
wiiw</t>
        </r>
      </text>
    </comment>
    <comment ref="X1" authorId="0" shapeId="0" xr:uid="{ABB83A5A-2544-406D-A226-2983C928CB7B}">
      <text>
        <r>
          <rPr>
            <b/>
            <sz val="9"/>
            <color indexed="81"/>
            <rFont val="Tahoma"/>
            <family val="2"/>
          </rPr>
          <t>BJ:</t>
        </r>
        <r>
          <rPr>
            <sz val="9"/>
            <color indexed="81"/>
            <rFont val="Tahoma"/>
            <family val="2"/>
          </rPr>
          <t xml:space="preserve">
Exports total, fob EUR m, yoy growth
wiiw
Alexandra: changed to BOP: exports of goods and services</t>
        </r>
      </text>
    </comment>
    <comment ref="Y1" authorId="0" shapeId="0" xr:uid="{A871B3E5-F22E-4ADB-B1A8-125E96EA69D8}">
      <text>
        <r>
          <rPr>
            <b/>
            <sz val="9"/>
            <color indexed="81"/>
            <rFont val="Tahoma"/>
            <family val="2"/>
          </rPr>
          <t>BJ:</t>
        </r>
        <r>
          <rPr>
            <sz val="9"/>
            <color indexed="81"/>
            <rFont val="Tahoma"/>
            <family val="2"/>
          </rPr>
          <t xml:space="preserve">
 Imports total, cif EUR m
wiiw
Alexandra: changed to BOP: imports of goods and services</t>
        </r>
      </text>
    </comment>
    <comment ref="Z1" authorId="0" shapeId="0" xr:uid="{53A62078-AA08-40EB-89FB-6AC621102A28}">
      <text>
        <r>
          <rPr>
            <b/>
            <sz val="9"/>
            <color indexed="81"/>
            <rFont val="Tahoma"/>
            <family val="2"/>
          </rPr>
          <t>BJ:</t>
        </r>
        <r>
          <rPr>
            <sz val="9"/>
            <color indexed="81"/>
            <rFont val="Tahoma"/>
            <family val="2"/>
          </rPr>
          <t xml:space="preserve">
Current account in % of GDP
wiiw</t>
        </r>
      </text>
    </comment>
    <comment ref="AA1" authorId="0" shapeId="0" xr:uid="{9282FDF7-2D09-4184-AB3F-90126DFEEFA0}">
      <text>
        <r>
          <rPr>
            <b/>
            <sz val="9"/>
            <color indexed="81"/>
            <rFont val="Tahoma"/>
            <family val="2"/>
          </rPr>
          <t>BJ:</t>
        </r>
        <r>
          <rPr>
            <sz val="9"/>
            <color indexed="81"/>
            <rFont val="Tahoma"/>
            <family val="2"/>
          </rPr>
          <t xml:space="preserve">
Households + NPISH</t>
        </r>
      </text>
    </comment>
    <comment ref="AC1" authorId="0" shapeId="0" xr:uid="{55A092FC-57FB-492F-833C-4BA1F8E09D52}">
      <text>
        <r>
          <rPr>
            <b/>
            <sz val="9"/>
            <color indexed="81"/>
            <rFont val="Tahoma"/>
            <family val="2"/>
          </rPr>
          <t>BJ:</t>
        </r>
        <r>
          <rPr>
            <sz val="9"/>
            <color indexed="81"/>
            <rFont val="Tahoma"/>
            <family val="2"/>
          </rPr>
          <t xml:space="preserve">
Gross capital formation</t>
        </r>
      </text>
    </comment>
    <comment ref="AF1" authorId="0" shapeId="0" xr:uid="{4109DDD6-9027-453F-BB3F-45B66AA29B02}">
      <text>
        <r>
          <rPr>
            <b/>
            <sz val="9"/>
            <color indexed="81"/>
            <rFont val="Tahoma"/>
            <family val="2"/>
          </rPr>
          <t>BJ:</t>
        </r>
        <r>
          <rPr>
            <sz val="9"/>
            <color indexed="81"/>
            <rFont val="Tahoma"/>
            <family val="2"/>
          </rPr>
          <t xml:space="preserve">
loans to households, nominal, yoy growth rates</t>
        </r>
      </text>
    </comment>
    <comment ref="B8" authorId="1" shapeId="0" xr:uid="{1195199C-2DCF-4AF3-A382-AA9F080DBCAE}">
      <text>
        <r>
          <rPr>
            <sz val="9"/>
            <color indexed="81"/>
            <rFont val="Segoe UI"/>
            <family val="2"/>
          </rPr>
          <t xml:space="preserve">ID: 144396
Label: eug11tscrx_q
Database: wiiw Monthly Database - Hidden
Status: active
Calculation: 
Calculation_M: SubScal(L_eug11tscx_q&gt;mdb,100)
Calculation_Q: SubScal(L_eug11tscx_q&gt;mdb,100)
Calculation_A: SubScal(L_eug11tscx_q&gt;mdb,100)
Periodicity: Q
Data available M: 1996m3 - 2023m9
Data available Q: 1996q1 - 2023q3
Data available A: 1996 - 2022
Text 99: 
Automatic update period: 1999|2015
Time shift: 
Note: 
Reporter: EU27_2020 - EU - 27 countries (from 2020)
Chapter 1: 02_NA - National accounts
Indicator: SC0201 - Gross domestic product total
Unit: 05_Ireal_36 - real growth rate to corresponding period of previous year in %
Footnote 1: FZZ05 - According to ESA'10.
Footnote 2:  - 
Footnote 3:  - 
Footnote 4:  - 
Source 1: Z_ESTAT - Eurostat
Source 2: Z_wiiw - wiiw
Source 3:  - 
</t>
        </r>
      </text>
    </comment>
    <comment ref="C8" authorId="1" shapeId="0" xr:uid="{129AB20A-8580-49E1-8095-9F1E89269897}">
      <text>
        <r>
          <rPr>
            <sz val="9"/>
            <color indexed="81"/>
            <rFont val="Segoe UI"/>
            <family val="2"/>
          </rPr>
          <t xml:space="preserve">ID: 77811
Label: eup1p1tsa
Database: wiiw Monthly Database - Hidden
Status: active
Calculation: 
Calculation_M: 
Calculation_Q: m-&gt;q AVG(L_eup1p1tsa&gt;mdb)
Calculation_A: q-&gt;a AVG(L_eup1p1tsa&gt;mdb)
Periodicity: Q
Data available M: 1999m1 - 2023m12
Data available Q: 1999q1 - 2023q4
Data available A: 1999 - 2023
Text 99: 
Automatic update period: 1999|2015
Time shift: 
Note: 
Reporter: EU - European Union evolutionary
Chapter 1: 07_PRC - Prices
Indicator: SC0701 - Consumer prices
Unit: 03_I_1_085_15avg - index, monthly average, 2015 = 100
Footnote 1: FZZ40 - Based on HICP (Harmonized Index of Consumer Prices).
Footnote 2:  - 
Footnote 3:  - 
Footnote 4:  - 
Source 1: Z_ESTAT - Eurostat
Source 2:  - 
Source 3:  - 
</t>
        </r>
      </text>
    </comment>
    <comment ref="D8" authorId="1" shapeId="0" xr:uid="{FC2198ED-8613-4852-8AC2-534BFED1953B}">
      <text>
        <r>
          <rPr>
            <sz val="9"/>
            <color indexed="81"/>
            <rFont val="Segoe UI"/>
            <family val="2"/>
          </rPr>
          <t xml:space="preserve">ID: 77812
Label: eup1p1tscx
Database: wiiw Monthly Database - Hidden
Status: active
Calculation: SubScal(L_eup1p1tscx&gt;mdb,100)
Calculation_M: CPPY=100(L_eup1p1tsa&gt;mdb)
Calculation_Q: CPPY=100(L_eup1p1tsa&gt;mdb)
Calculation_A: CPPY=100(L_eup1p1tsa&gt;mdb)
Periodicity: Q
Data available M: 1992m1 - 2023m12
Data available Q: 1992q1 - 2023q4
Data available A: 1992 - 2023
Text 99: 
Automatic update period: 1999|2015
Time shift: 
Note: 
Reporter: EU - European Union evolutionary
Chapter 1: 07_PRC - Prices
Indicator: SC0701 - Consumer prices
Unit: 03_I_32 - index, corresponding period of previous year = 100
Footnote 1: FZZ40 - Based on HICP (Harmonized Index of Consumer Prices).
Footnote 2:  - 
Footnote 3:  - 
Footnote 4:  - 
Source 1: Z_ESTAT - Eurostat
Source 2: Z_wiiw - wiiw
Source 3:  - 
</t>
        </r>
      </text>
    </comment>
    <comment ref="E8" authorId="1" shapeId="0" xr:uid="{89F80F01-C813-4E54-95C3-D1C8DE0F304B}">
      <text>
        <r>
          <rPr>
            <sz val="9"/>
            <color indexed="81"/>
            <rFont val="Segoe UI"/>
            <family val="2"/>
          </rPr>
          <t xml:space="preserve">ID: 144399
Label: eafrr1tp_help
Database: wiiw Monthly Database - Hidden
Status: active
Calculation: 
Calculation_M: L_eafrr1tp&gt;mdb
Calculation_Q: m-&gt;q AVG(L_eafrr1tp&gt;mdb)
Calculation_A: q-&gt;a AVG(L_eafrr1tp&gt;mdb)
Periodicity: Q
Data available M: 1999m1 - 2023m12
Data available Q: 1999q1 - 2023q4
Data available A: 1999 - 2023
Text 99: 
Automatic update period: 1999|2015
Time shift: 
Note: 
Reporter: EA - Euro area evolutionary
Chapter 1: 10_DF - Domestic finance
Indicator: SC1050 - Central bank policy rate
Unit: 06_IntR_6 - % p.a., period average
Footnote 1: FZZ50 - Official refinancing operation rates for euro area (ECB), rate in fixed rate tenders (between June 2000 and September 2008 the minimum bid rate in variable rate tenders was applied).
Footnote 2:  - 
Footnote 3:  - 
Footnote 4:  - 
Source 1: Z_ECB - European Central Bank
Source 2:  - 
Source 3:  - 
</t>
        </r>
      </text>
    </comment>
    <comment ref="F8" authorId="1" shapeId="0" xr:uid="{6A14D761-A75F-4461-A680-05889E02F91A}">
      <text>
        <r>
          <rPr>
            <sz val="9"/>
            <color indexed="81"/>
            <rFont val="Segoe UI"/>
            <family val="2"/>
          </rPr>
          <t xml:space="preserve">ID: 101874
Label: usp2oila
Database: wiiw Monthly Database - Hidden
Status: active
Calculation: 
Calculation_M: 
Calculation_Q: M-&gt;Q AVG(L_usp2oila&gt;mdb)
Calculation_A: Q-&gt;A AVG(L_usp2oila&gt;mdb)
Periodicity: Q
Data available M: 1990m1 - 2023m12
Data available Q: 1990q1 - 2023q4
Data available A: 1990 - 2023
Text 99: 
Automatic update period: 1999|2015
Time shift: 
Note: Oil prices  &amp; Europe Brent Spot Price FOB (Dollars per Barrel) &amp; EIA (US) Source of the data. Gespeichert auf die EU&amp;US Karten.
Reporter: US - United States
Chapter 1: 11_FF - Foreign finance
Indicator:  - 
Unit:  - 
Footnote 1:  - 
Footnote 2:  - 
Footnote 3:  - 
Footnote 4:  - 
Source 1:  - 
Source 2:  - 
Source 3:  - 
</t>
        </r>
      </text>
    </comment>
    <comment ref="G8" authorId="1" shapeId="0" xr:uid="{935C83E5-9F8F-4FD6-8B69-7D804AA6871B}">
      <text>
        <r>
          <rPr>
            <sz val="9"/>
            <color indexed="81"/>
            <rFont val="Segoe UI"/>
            <family val="2"/>
          </rPr>
          <t xml:space="preserve">ID: 32806
Label: robg21n_q
Database: wiiw Monthly Database - Public
Status: active
Calculation: SubScal(CPPY=100(L_robg21n_q&gt;mdb),100)
Calculation_M: q-&gt;m EOP(L_robg21n_q&gt;mdb)
Calculation_Q: 
Calculation_A: Q-&gt;A CUMPER(L_robg21n_q&gt;mdb)
Periodicity: Q
Data available M: 1999m3 - 2023m9
Data available Q: 1999q1 - 2023q3
Data available A: 1999 - 2022
Text 99: 
Automatic update period: 1999|2015
Time shift: 
Note: 
Reporter: RO - Romania
Chapter 1: 10_DF - Domestic finance
Indicator: SC1011 - General gov. budget (ESA'10, EDP) - expenditures
Unit: 01_Curr_12 - NCU m (incl. 'euro fixed' series)
Footnote 1: FZZ42 - According to ESA'10 excessive deficit procedure.
Footnote 2:  - 
Footnote 3:  - 
Footnote 4:  - 
Source 1: Z_ESTAT - Eurostat
Source 2:  - 
Source 3:  - 
</t>
        </r>
      </text>
    </comment>
    <comment ref="H8" authorId="1" shapeId="0" xr:uid="{D6997CD3-DA5F-45CB-BA6B-D6C761BB4C28}">
      <text>
        <r>
          <rPr>
            <sz val="9"/>
            <color indexed="81"/>
            <rFont val="Segoe UI"/>
            <family val="2"/>
          </rPr>
          <t xml:space="preserve">ID: 32805
Label: robg11n_q
Database: wiiw Monthly Database - Public
Status: active
Calculation: SubScal(CPPY=100(L_robg11n_q&gt;mdb),100)
Calculation_M: q-&gt;m EOP(L_robg11n_q&gt;mdb)
Calculation_Q: 
Calculation_A: Q-&gt;A CUMPER(L_robg11n_q&gt;mdb)
Periodicity: Q
Data available M: 1999m3 - 2023m9
Data available Q: 1999q1 - 2023q3
Data available A: 1999 - 2022
Text 99: 
Automatic update period: 1999|2015
Time shift: 
Note: 
Reporter: RO - Romania
Chapter 1: 10_DF - Domestic finance
Indicator: SC1010 - General gov. budget (ESA'10, EDP) - revenues
Unit: 01_Curr_12 - NCU m (incl. 'euro fixed' series)
Footnote 1: FZZ42 - According to ESA'10 excessive deficit procedure.
Footnote 2:  - 
Footnote 3:  - 
Footnote 4:  - 
Source 1: Z_ESTAT - Eurostat
Source 2:  - 
Source 3:  - 
</t>
        </r>
      </text>
    </comment>
    <comment ref="I8" authorId="1" shapeId="0" xr:uid="{0FF10A31-44B8-438D-8ECA-5ABDB3113165}">
      <text>
        <r>
          <rPr>
            <sz val="9"/>
            <color indexed="81"/>
            <rFont val="Segoe UI"/>
            <family val="2"/>
          </rPr>
          <t xml:space="preserve">ID: 89170
Label: robg31px_q
Database: wiiw Monthly Database - Public
Status: active
Calculation: 
Calculation_M: Q-&gt;M EOP(L_robg31px_q&gt;mdb)
Calculation_Q: Share(L_robg31nx_q&gt;mdb,L_rog11tn_q&gt;mdb)
Calculation_A: Share(L_robg31nx_q&gt;mdb,L_rog11tn_q&gt;mdb)
Periodicity: Q
Data available M: 1999m3 - 2023m9
Data available Q: 1999q1 - 2023q3
Data available A: 1999 - 2022
Text 99: 
Automatic update period: 1999|2015
Time shift: 
Note: 
Reporter: RO - Romania
Chapter 1: 10_DF - Domestic finance
Indicator: SC1012 - General gov. budget (ESA'10, EDP) - balance
Unit: 09_Share_%gdp - in % of GDP
Footnote 1: FZZ42 - According to ESA'10 excessive deficit procedure.
Footnote 2:  - 
Footnote 3:  - 
Footnote 4:  - 
Source 1: Z_ESTAT - Eurostat
Source 2: Z_wiiw - wiiw
Source 3:  - 
</t>
        </r>
      </text>
    </comment>
    <comment ref="J8" authorId="1" shapeId="0" xr:uid="{6E7F6010-C830-4786-9036-F576FE80CCDE}">
      <text>
        <r>
          <rPr>
            <sz val="9"/>
            <color indexed="81"/>
            <rFont val="Segoe UI"/>
            <family val="2"/>
          </rPr>
          <t xml:space="preserve">ID: 88668
Label: rog11tr15_q
Database: wiiw Monthly Database - Public
Status: active
Calculation: SubScal(CPPY=100(L_rog11tr15_q&gt;mdb),100)
Calculation_M: q-&gt;m EOP(L_rog11tr15_q&gt;mdb)
Calculation_Q: 
Calculation_A: q-&gt;a CumPer(L_rog11tr15_q&gt;mdb)
Periodicity: Q
Data available M: 1995m3 - 2023m9
Data available Q: 1995q1 - 2023q3
Data available A: 1995 - 2022
Text 99: 
Automatic update period: 1999|2015
Time shift: 
Note: 
Reporter: RO - Romania
Chapter 1: 02_NA - National accounts
Indicator: SC0201 - Gross domestic product total
Unit: 01_Curr_15_085_15_r - NCU m, 2015 reference prices (prev. year prices, incl. 'euro fixed' series)
Footnote 1: FZZ05 - According to ESA'10.
Footnote 2:  - 
Footnote 3:  - 
Footnote 4:  - 
Source 1: Z_ESTAT - Eurostat
Source 2:  - 
Source 3:  - 
</t>
        </r>
      </text>
    </comment>
    <comment ref="K8" authorId="1" shapeId="0" xr:uid="{C83BB8F6-C50C-4C97-B982-FD8B9EA8D126}">
      <text>
        <r>
          <rPr>
            <sz val="9"/>
            <color indexed="81"/>
            <rFont val="Segoe UI"/>
            <family val="2"/>
          </rPr>
          <t xml:space="preserve">ID: 90876
Label: rog222r15_q
Database: wiiw Monthly Database - Public
Status: active
Calculation: SubScal(CPPY=100(L_rog222r15_q&gt;mdb),100)
Calculation_M: q-&gt;m EOP(L_rog222r15_q&gt;mdb)
Calculation_Q: 
Calculation_A: q-&gt;a CumPer(L_rog222r15_q&gt;mdb)
Periodicity: Q
Data available M: 1995m3 - 2023m9
Data available Q: 1995q1 - 2023q3
Data available A: 1995 - 2022
Text 99: 
Automatic update period: 1999|2015
Time shift: 
Note: 
Reporter: RO - Romania
Chapter 1: 02_NA - National accounts
Indicator: SC0212 - Household final consumption expenditure
Unit: 01_Curr_15_085_15_r - NCU m, 2015 reference prices (prev. year prices, incl. 'euro fixed' series)
Footnote 1:  - 
Footnote 2:  - 
Footnote 3:  - 
Footnote 4:  - 
Source 1: Z_ESTAT - Eurostat
Source 2:  - 
Source 3:  - 
</t>
        </r>
      </text>
    </comment>
    <comment ref="L8" authorId="1" shapeId="0" xr:uid="{5A94CD77-2DA9-42ED-9ED0-61D31402FAA7}">
      <text>
        <r>
          <rPr>
            <sz val="9"/>
            <color indexed="81"/>
            <rFont val="Segoe UI"/>
            <family val="2"/>
          </rPr>
          <t xml:space="preserve">ID: 90920
Label: rog223r15_q
Database: wiiw Monthly Database - Public
Status: active
Calculation: SubScal(CPPY=100(L_rog223r15_q&gt;mdb),100)
Calculation_M: q-&gt;m EOP(L_rog223r15_q&gt;mdb)
Calculation_Q: 
Calculation_A: q-&gt;a CumPer(L_rog223r15_q&gt;mdb)
Periodicity: Q
Data available M: 1995m3 - 2023m9
Data available Q: 1995q1 - 2023q3
Data available A: 1995 - 2022
Text 99: 
Automatic update period: 1999|2015
Time shift: 
Note: 
Reporter: RO - Romania
Chapter 1: 02_NA - National accounts
Indicator: SC0214 - Government final consumption expenditure
Unit: 01_Curr_15_085_15_r - NCU m, 2015 reference prices (prev. year prices, incl. 'euro fixed' series)
Footnote 1:  - 
Footnote 2:  - 
Footnote 3:  - 
Footnote 4:  - 
Source 1: Z_ESTAT - Eurostat
Source 2:  - 
Source 3:  - 
</t>
        </r>
      </text>
    </comment>
    <comment ref="M8" authorId="1" shapeId="0" xr:uid="{A85120E4-4E46-45AE-A074-28396423144D}">
      <text>
        <r>
          <rPr>
            <sz val="9"/>
            <color indexed="81"/>
            <rFont val="Segoe UI"/>
            <family val="2"/>
          </rPr>
          <t xml:space="preserve">ID: 90942
Label: rog224r15_q
Database: wiiw Monthly Database - Public
Status: active
Calculation: SubScal(CPPY=100(L_rog224r15_q&gt;mdb),100)
Calculation_M: q-&gt;m EOP(L_rog224r15_q&gt;mdb)
Calculation_Q: 
Calculation_A: q-&gt;a CumPer(L_rog224r15_q&gt;mdb)
Periodicity: Q
Data available M: 1995m3 - 2023m9
Data available Q: 1995q1 - 2023q3
Data available A: 1995 - 2022
Text 99: 
Automatic update period: 1999|2015
Time shift: 
Note: 
Reporter: RO - Romania
Chapter 1: 02_NA - National accounts
Indicator: SC0217 - Gross capital formation
Unit: 01_Curr_15_085_15_r - NCU m, 2015 reference prices (prev. year prices, incl. 'euro fixed' series)
Footnote 1:  - 
Footnote 2:  - 
Footnote 3:  - 
Footnote 4:  - 
Source 1: Z_ESTAT - Eurostat
Source 2:  - 
Source 3:  - 
</t>
        </r>
      </text>
    </comment>
    <comment ref="N8" authorId="1" shapeId="0" xr:uid="{E36093A5-66AA-492A-A86B-9897EA240800}">
      <text>
        <r>
          <rPr>
            <sz val="9"/>
            <color indexed="81"/>
            <rFont val="Segoe UI"/>
            <family val="2"/>
          </rPr>
          <t xml:space="preserve">ID: 90986
Label: rog228r15_q
Database: wiiw Monthly Database - Public
Status: active
Calculation: SubScal(CPPY=100(L_rog228r15_q&gt;mdb),100)
Calculation_M: q-&gt;m EOP(L_rog228r15_q&gt;mdb)
Calculation_Q: 
Calculation_A: q-&gt;a CumPer(L_rog228r15_q&gt;mdb)
Periodicity: Q
Data available M: 1995m3 - 2023m9
Data available Q: 1995q1 - 2023q3
Data available A: 1995 - 2022
Text 99: 
Automatic update period: 1999|2015
Time shift: 
Note: 
Reporter: RO - Romania
Chapter 1: 02_NA - National accounts
Indicator: SC0221 - Exports of goods and services
Unit: 01_Curr_15_085_15_r - NCU m, 2015 reference prices (prev. year prices, incl. 'euro fixed' series)
Footnote 1:  - 
Footnote 2:  - 
Footnote 3:  - 
Footnote 4:  - 
Source 1: Z_ESTAT - Eurostat
Source 2:  - 
Source 3:  - 
</t>
        </r>
      </text>
    </comment>
    <comment ref="O8" authorId="1" shapeId="0" xr:uid="{F4DB7BAC-304A-4164-99C2-D162323F7196}">
      <text>
        <r>
          <rPr>
            <sz val="9"/>
            <color indexed="81"/>
            <rFont val="Segoe UI"/>
            <family val="2"/>
          </rPr>
          <t xml:space="preserve">ID: 91008
Label: rog229r15_q
Database: wiiw Monthly Database - Public
Status: active
Calculation: SubScal(CPPY=100(L_rog229r15_q&gt;mdb),100)
Calculation_M: q-&gt;m EOP(L_rog229r15_q&gt;mdb)
Calculation_Q: 
Calculation_A: q-&gt;a CumPer(L_rog229r15_q&gt;mdb)
Periodicity: Q
Data available M: 1995m3 - 2023m9
Data available Q: 1995q1 - 2023q3
Data available A: 1995 - 2022
Text 99: 
Automatic update period: 1999|2015
Time shift: 
Note: 
Reporter: RO - Romania
Chapter 1: 02_NA - National accounts
Indicator: SC0222 - Imports of goods and services
Unit: 01_Curr_15_085_15_r - NCU m, 2015 reference prices (prev. year prices, incl. 'euro fixed' series)
Footnote 1:  - 
Footnote 2:  - 
Footnote 3:  - 
Footnote 4:  - 
Source 1: Z_ESTAT - Eurostat
Source 2:  - 
Source 3:  - 
</t>
        </r>
      </text>
    </comment>
    <comment ref="P8" authorId="1" shapeId="0" xr:uid="{35918B40-4776-4C4E-B74C-6EE4CF413DBF}">
      <text>
        <r>
          <rPr>
            <sz val="9"/>
            <color indexed="81"/>
            <rFont val="Segoe UI"/>
            <family val="2"/>
          </rPr>
          <t xml:space="preserve">ID: 32651
Label: roe51_ta_q
Database: wiiw Monthly Database - Public
Status: active
Calculation: 
Calculation_M: q-&gt;m EOP(L_roe51_ta_q&gt;mdb)
Calculation_Q: 
Calculation_A: q-&gt;a AVG(L_roe51_ta_q&gt;mdb)
Periodicity: Q
Data available M: 1996m3 - 2023m9
Data available Q: 1996q1 - 2023q3
Data available A: 1996 - 2022
Text 99: 
Automatic update period: 1999|2015
Time shift: 
Note: 2002: no comparable growth rates possible.
Reporter: RO - Romania
Chapter 1: 05_LAB - Labour market
Indicator: SC0501 - Employment, LFS
Unit: 02_Pers_11 - th persons, period average
Footnote 1: FZZ09 - From 2021 new methodology in line with the Integrated European Social Statistics Regulation (IESS).
Footnote 2: FRO40 - From 2012 according to census October 2011.
Footnote 3: FRO30 - From 2002 according to EU and ILO methodology.
Footnote 4:  - 
Source 1: Z_ESTAT - Eurostat
Source 2: QRO1 - Romanian National Institute of Statistics
Source 3:  - 
</t>
        </r>
      </text>
    </comment>
    <comment ref="Q8" authorId="1" shapeId="0" xr:uid="{A854DF8F-6D94-48B3-8D59-58D0A79BD549}">
      <text>
        <r>
          <rPr>
            <sz val="9"/>
            <color indexed="81"/>
            <rFont val="Segoe UI"/>
            <family val="2"/>
          </rPr>
          <t xml:space="preserve">ID: 32681
Label: roe5u_ta_q
Database: wiiw Monthly Database - Public
Status: active
Calculation: 
Calculation_M: q-&gt;m EOP(L_roe5u_ta_q&gt;mdb)
Calculation_Q: 
Calculation_A: q-&gt;a AVG(L_roe5u_ta_q&gt;mdb)
Periodicity: Q
Data available M: 1996m3 - 2023m9
Data available Q: 1996q1 - 2023q3
Data available A: 1996 - 2022
Text 99: 
Automatic update period: 1999|2015
Time shift: 
Note: 
Reporter: RO - Romania
Chapter 1: 05_LAB - Labour market
Indicator: SC0507 - Unemployment, LFS
Unit: 02_Pers_11 - th persons, period average
Footnote 1: FZZ09 - From 2021 new methodology in line with the Integrated European Social Statistics Regulation (IESS).
Footnote 2: FRO40 - From 2012 according to census October 2011.
Footnote 3: FRO30 - From 2002 according to EU and ILO methodology.
Footnote 4:  - 
Source 1: Z_ESTAT - Eurostat
Source 2: QRO1 - Romanian National Institute of Statistics
Source 3:  - 
</t>
        </r>
      </text>
    </comment>
    <comment ref="R8" authorId="1" shapeId="0" xr:uid="{0F24057C-BF3B-4AD1-8768-BC3D289F57FE}">
      <text>
        <r>
          <rPr>
            <sz val="9"/>
            <color indexed="81"/>
            <rFont val="Segoe UI"/>
            <family val="2"/>
          </rPr>
          <t xml:space="preserve">ID: 32698
Label: roe5u_tp_q
Database: wiiw Monthly Database - Public
Status: active
Calculation: 
Calculation_M: q-&gt;m EOP(L_roe5u_tp_q&gt;mdb)
Calculation_Q: 
Calculation_A: MulScal(Div(L_roe5u_ta_q&gt;mdb,Add(L_roe5u_ta_q&gt;mdb,L_roe51_ta_q&gt;mdb)),100)
Periodicity: Q
Data available M: 1996m3 - 2023m9
Data available Q: 1996q1 - 2023q3
Data available A: 1996 - 2022
Text 99: 
Automatic update period: 1999|2015
Time shift: 
Note: 
Reporter: RO - Romania
Chapter 1: 05_LAB - Labour market
Indicator: SC0508 - Unemployment rate, LFS
Unit: 02_Pers_21 - in %, period average
Footnote 1: FZZ09 - From 2021 new methodology in line with the Integrated European Social Statistics Regulation (IESS).
Footnote 2: FRO40 - From 2012 according to census October 2011.
Footnote 3: FRO30 - From 2002 according to EU and ILO methodology.
Footnote 4:  - 
Source 1: Z_ESTAT - Eurostat
Source 2: QRO1 - Romanian National Institute of Statistics
Source 3:  - 
</t>
        </r>
      </text>
    </comment>
    <comment ref="S8" authorId="1" shapeId="0" xr:uid="{67C40924-DF1B-434D-949C-E715291CC9A6}">
      <text>
        <r>
          <rPr>
            <sz val="9"/>
            <color indexed="81"/>
            <rFont val="Segoe UI"/>
            <family val="2"/>
          </rPr>
          <t xml:space="preserve">ID: 315
Label: row11_tccx
Database: wiiw Monthly Database - Public
Status: active
Calculation: SubScal(L_row11_tccx&gt;mdb,100)
Calculation_M: CPPY=100(L_row11_tn&gt;mdb)
Calculation_Q: CPPY=100(L_row11_tn&gt;mdb)
Calculation_A: CPPY=100(L_row11_tn&gt;mdb)
Periodicity: Q
Data available M: 1992m1 - 2023m10
Data available Q: 1992q1 - 2023q3
Data available A: 1992 - 2022
Text 99: 
Automatic update period: 1999|2015
Time shift: 
Note: 2009 NACE Rev. 2: no break, data identical, growth rates ok
Reporter: RO - Romania
Chapter 1: 06_WS - Wages
Indicator: SC0601 - Average monthly gross wages total
Unit: 04_Inom_32 - index nominal, corresponding period of previous year = 100
Footnote 1: FRO10 - From January 2002 enterprises with 4 and more employees.
Footnote 2: FRO12 - From 2018 the employer's social security contribution was transferred to the employees. Growth rates refer to net wages.
Footnote 3:  - 
Footnote 4:  - 
Source 1: QRO1 - Romanian National Institute of Statistics
Source 2: Z_wiiw - wiiw
Source 3:  - 
</t>
        </r>
      </text>
    </comment>
    <comment ref="T8" authorId="1" shapeId="0" xr:uid="{1979D71A-2E00-41B0-9C37-CE99E98A311D}">
      <text>
        <r>
          <rPr>
            <sz val="9"/>
            <color indexed="81"/>
            <rFont val="Segoe UI"/>
            <family val="2"/>
          </rPr>
          <t xml:space="preserve">ID: 784
Label: rofrr1tp
Database: wiiw Monthly Database - Public
Status: active
Calculation: 
Calculation_M: 
Calculation_Q: m-&gt;q EOP(L_rofrr1tp&gt;mdb)
Calculation_A: q-&gt;a EOP(L_rofrr1tp&gt;mdb)
Periodicity: Q
Data available M: 1990m1 - 2023m12
Data available Q: 1990q1 - 2023q4
Data available A: 1990 - 2023
Text 99: 
Automatic update period: 1999|2015
Time shift: 
Note: Jan 2011: Umstieg auf policy rate ab 1M2003-* (= currently one-week repo rate). Reference rate (= arithm.mean of interest rates on deposits, reverse repo and repo transactions) in 2M2002-12M2002, discount rate before (etwas geschummelt, weil 1M91-7M95 = credit lines - nicht genannt). &amp; kann nicht mehr durch E-Stat ersetzt werden, weil 'off.lending rate' = reference rate lt. RNB.
Reporter: RO - Romania
Chapter 1: 10_DF - Domestic finance
Indicator: SC1050 - Central bank policy rate
Unit: 06_IntR_1 - % p.a., end of period
Footnote 1: FRO06 - One-week repo rate, Feb 2002-Dec 2002 reference rate, discount rate before.
Footnote 2:  - 
Footnote 3:  - 
Footnote 4:  - 
Source 1: QRO2 - National Bank of Romania
Source 2:  - 
Source 3:  - 
</t>
        </r>
      </text>
    </comment>
    <comment ref="U8" authorId="1" shapeId="0" xr:uid="{BD7DA089-EEE8-43FD-9883-8CF1C15B0C5D}">
      <text>
        <r>
          <rPr>
            <sz val="9"/>
            <color indexed="81"/>
            <rFont val="Segoe UI"/>
            <family val="2"/>
          </rPr>
          <t xml:space="preserve">ID: 572
Label: rop1p1tsa
Database: wiiw Monthly Database - Public
Status: active
Calculation: 
Calculation_M: 
Calculation_Q: m-&gt;q AVG(L_rop1p1tsa&gt;mdb)
Calculation_A: q-&gt;a AVG(L_rop1p1tsa&gt;mdb)
Periodicity: Q
Data available M: 1999m1 - 2023m12
Data available Q: 1999q1 - 2023q4
Data available A: 1999 - 2023
Text 99: 
Automatic update period: 1999|2015
Time shift: 
Note: 
Reporter: RO - Romania
Chapter 1: 07_PRC - Prices
Indicator: SC0701 - Consumer prices
Unit: 03_I_1_085_15avg - index, monthly average, 2015 = 100
Footnote 1: FZZ40 - Based on HICP (Harmonized Index of Consumer Prices).
Footnote 2:  - 
Footnote 3:  - 
Footnote 4:  - 
Source 1: Z_ESTAT - Eurostat
Source 2:  - 
Source 3:  - 
</t>
        </r>
      </text>
    </comment>
    <comment ref="V8" authorId="1" shapeId="0" xr:uid="{C2B83C23-BC97-4470-9FDE-DAD7D3D1483D}">
      <text>
        <r>
          <rPr>
            <sz val="9"/>
            <color indexed="81"/>
            <rFont val="Segoe UI"/>
            <family val="2"/>
          </rPr>
          <t xml:space="preserve">ID: 964
Label: rop2xea
Database: wiiw Monthly Database - Public
Status: active
Calculation: 
Calculation_M: 
Calculation_Q: m-&gt;q AVG(L_rop2xea&gt;mdb)
Calculation_A: q-&gt;a AVG(L_rop2xea&gt;mdb)
Periodicity: Q
Data available M: 1991m1 - 2023m12
Data available Q: 1991q1 - 2023q4
Data available A: 1991 - 2023
Text 99: 
Automatic update period: 1999|2015
Time shift: 
Note: 
Reporter: RO - Romania
Chapter 1: 11_FF - Foreign finance
Indicator: SC1107 - Exchange rate nominal
Unit: 07_Exch_12 - NCU/EUR, period average
Footnote 1: FZZ21 - Up to December 1998 ECU.
Footnote 2: FRO05 - wiiw calculated up to November 1993.
Footnote 3: FRO26 - Data are presented in the new Romanian leu (1 RON = 10000 ROL).
Footnote 4:  - 
Source 1: Z_ESTAT - Eurostat
Source 2: QRO2 - National Bank of Romania
Source 3:  - 
</t>
        </r>
      </text>
    </comment>
    <comment ref="W8" authorId="1" shapeId="0" xr:uid="{7C285272-4C00-4FD6-AE50-E036F0AF4351}">
      <text>
        <r>
          <rPr>
            <sz val="9"/>
            <color indexed="81"/>
            <rFont val="Segoe UI"/>
            <family val="2"/>
          </rPr>
          <t xml:space="preserve">ID: 32210
Label: roa1211tscx
Database: wiiw Monthly Database - Public
Status: active
Calculation: SubScal(L_roa1211tscx&gt;mdb,100)
Calculation_M: CPPY=100(L_roa1211tsa&gt;mdb)
Calculation_Q: CPPY=100(L_roa1211tsa&gt;mdb)
Calculation_A: CPPY=100(L_roa1211tsa&gt;mdb)
Periodicity: Q
Data available M: 2001m1 - 2023m11
Data available Q: 2001q1 - 2023q3
Data available A: 2001 - 2022
Text 99: 
Automatic update period: 1999|2015
Time shift: 
Note: 
Reporter: RO - Romania
Chapter 1: 04_PROD - Production
Indicator: SC0401 - Industrial output (BCD - NACE Rev. 2)
Unit: 05_Ireal_32 - index real, corresponding period of previous year = 100
Footnote 1: FRO28 - Enterprises with 4 and more employees.
Footnote 2:  - 
Footnote 3:  - 
Footnote 4:  - 
Source 1: Z_ESTAT - Eurostat
Source 2: Z_wiiw - wiiw
Source 3:  - 
</t>
        </r>
      </text>
    </comment>
    <comment ref="X8" authorId="1" shapeId="0" xr:uid="{EFA153BF-4ED1-4917-B9F9-FF763A753ADC}">
      <text>
        <r>
          <rPr>
            <sz val="9"/>
            <color indexed="81"/>
            <rFont val="Segoe UI"/>
            <family val="2"/>
          </rPr>
          <t xml:space="preserve">ID: 87275
Label: rolago2e_q
Database: wiiw Monthly Database - Hidden
Status: active
Calculation: SubScal(CPPY=100(AddNull(L_rolago2e_q&gt;mdb,L_rolase2e_q&gt;mdb)),100)
Calculation_M: q-&gt;m EOP(L_rolago2e_q&gt;mdb)
Calculation_Q: 
Calculation_A: Q-&gt;A CUMPER(L_rolago2e_q&gt;mdb)
Periodicity: Q
Data available M: 2008m3 - 2023m9
Data available Q: 2008q1 - 2023q3
Data available A: 2008 - 2022
Text 99: 
Automatic update period: 1999|2015
Time shift: 
Note: 
Reporter: RO - Romania
Chapter 1: 11_FF - Foreign finance
Indicator: SC1111 - 1.A.a. Goods exports, fob, credit
Unit: 01_Curr_23 - EUR m
Footnote 1: FZZ80 - Based on BPM6.
Footnote 2:  - 
Footnote 3:  - 
Footnote 4:  - 
Source 1: Z_ESTAT - Eurostat
Source 2: QRO2 - National Bank of Romania
Source 3:  - 
</t>
        </r>
      </text>
    </comment>
    <comment ref="Y8" authorId="1" shapeId="0" xr:uid="{6D227857-5AB8-410D-93FC-7F90F68C93C6}">
      <text>
        <r>
          <rPr>
            <sz val="9"/>
            <color indexed="81"/>
            <rFont val="Segoe UI"/>
            <family val="2"/>
          </rPr>
          <t xml:space="preserve">ID: 87312
Label: rolago3e_q
Database: wiiw Monthly Database - Hidden
Status: active
Calculation: SubScal(CPPY=100(AddNull(L_rolago3e_q&gt;mdb,L_rolase3e_q&gt;mdb)),100)
Calculation_M: q-&gt;m EOP(L_rolago3e_q&gt;mdb)
Calculation_Q: 
Calculation_A: Q-&gt;A CUMPER(L_rolago3e_q&gt;mdb)
Periodicity: Q
Data available M: 2008m3 - 2023m9
Data available Q: 2008q1 - 2023q3
Data available A: 2008 - 2022
Text 99: 
Automatic update period: 1999|2015
Time shift: 
Note: 
Reporter: RO - Romania
Chapter 1: 11_FF - Foreign finance
Indicator: SC1112 - 1.A.a. Goods imports, fob, debit
Unit: 01_Curr_23 - EUR m
Footnote 1: FZZ80 - Based on BPM6.
Footnote 2:  - 
Footnote 3:  - 
Footnote 4:  - 
Source 1: Z_ESTAT - Eurostat
Source 2: QRO2 - National Bank of Romania
Source 3:  - 
</t>
        </r>
      </text>
    </comment>
    <comment ref="Z8" authorId="1" shapeId="0" xr:uid="{EDC2F6A7-52FD-4590-AC23-C0A41A492F73}">
      <text>
        <r>
          <rPr>
            <sz val="9"/>
            <color indexed="81"/>
            <rFont val="Segoe UI"/>
            <family val="2"/>
          </rPr>
          <t xml:space="preserve">ID: 88745
Label: rolacaepx_q
Database: wiiw Monthly Database - Public
Status: active
Calculation: 
Calculation_M: Q-&gt;M EOP(L_rolacaepx_q&gt;mdb)
Calculation_Q: Share(L_rolacaen_q&gt;mdb,Div(L_rog11tn_q&gt;mdb,L_rop2xea&gt;mdb))
Calculation_A: Share(L_rolacaen_q&gt;mdb,Div(L_rog11tn_q&gt;mdb,L_rop2xea&gt;mdb))
Periodicity: Q
Data available M: 1995m3 - 2023m9
Data available Q: 1995q1 - 2023q3
Data available A: 1995 - 2022
Text 99: 
Automatic update period: 1999|2015
Time shift: 
Note: 
Reporter: RO - Romania
Chapter 1: 11_FF - Foreign finance
Indicator: SC1101 - Current account
Unit: 09_Share_%gdp - in % of GDP
Footnote 1: FZZ55 - From 2008 based on BPM6.
Footnote 2:  - 
Footnote 3:  - 
Footnote 4:  - 
Source 1: Z_ESTAT - Eurostat
Source 2: QRO2 - National Bank of Romania
Source 3: Z_wiiw - wiiw
</t>
        </r>
      </text>
    </comment>
    <comment ref="AA8" authorId="1" shapeId="0" xr:uid="{A08170A0-8FBB-4D42-AC47-0FE97742BDA2}">
      <text>
        <r>
          <rPr>
            <sz val="9"/>
            <color indexed="81"/>
            <rFont val="Segoe UI"/>
            <family val="2"/>
          </rPr>
          <t xml:space="preserve">ID: 90348
Label: rog222px_q
Database: wiiw Monthly Database - Public
Status: active
Calculation: AddNull(L_rog222px_q&gt;mdb,L_rog22zpx_q&gt;mdb)
Calculation_M: Q-&gt;M EOP(L_rog222px_q&gt;mdb)
Calculation_Q: Share(L_rog222n_q&gt;mdb,L_rog11tzn_q&gt;mdb)
Calculation_A: Share(L_rog222n_q&gt;mdb,L_rog11tzn_q&gt;mdb)
Periodicity: Q
Data available M: 1995m3 - 2023m9
Data available Q: 1995q1 - 2023q3
Data available A: 1995 - 2022
Text 99: 
Automatic update period: 1999|2015
Time shift: 
Note: 
Reporter: RO - Romania
Chapter 1: 02_NA - National accounts
Indicator: SC0212 - Household final consumption expenditure
Unit: 09_Share_%gdp - in % of GDP
Footnote 1:  - 
Footnote 2:  - 
Footnote 3:  - 
Footnote 4:  - 
Source 1: Z_ESTAT - Eurostat
Source 2: Z_wiiw - wiiw
Source 3:  - 
</t>
        </r>
      </text>
    </comment>
    <comment ref="AB8" authorId="1" shapeId="0" xr:uid="{04067FC5-6AC7-4101-AA4F-306C1EC6EC99}">
      <text>
        <r>
          <rPr>
            <sz val="9"/>
            <color indexed="81"/>
            <rFont val="Segoe UI"/>
            <family val="2"/>
          </rPr>
          <t xml:space="preserve">ID: 90392
Label: rog223px_q
Database: wiiw Monthly Database - Public
Status: active
Calculation: 
Calculation_M: Q-&gt;M EOP(L_rog223px_q&gt;mdb)
Calculation_Q: Share(L_rog223n_q&gt;mdb,L_rog11tzn_q&gt;mdb)
Calculation_A: Share(L_rog223n_q&gt;mdb,L_rog11tzn_q&gt;mdb)
Periodicity: Q
Data available M: 1995m3 - 2023m9
Data available Q: 1995q1 - 2023q3
Data available A: 1995 - 2022
Text 99: 
Automatic update period: 1999|2015
Time shift: 
Note: 
Reporter: RO - Romania
Chapter 1: 02_NA - National accounts
Indicator: SC0214 - Government final consumption expenditure
Unit: 09_Share_%gdp - in % of GDP
Footnote 1:  - 
Footnote 2:  - 
Footnote 3:  - 
Footnote 4:  - 
Source 1: Z_ESTAT - Eurostat
Source 2: Z_wiiw - wiiw
Source 3:  - 
</t>
        </r>
      </text>
    </comment>
    <comment ref="AC8" authorId="1" shapeId="0" xr:uid="{CB3B4212-32CD-4AAE-9EED-4A3EBD6FBEDD}">
      <text>
        <r>
          <rPr>
            <sz val="9"/>
            <color indexed="81"/>
            <rFont val="Segoe UI"/>
            <family val="2"/>
          </rPr>
          <t xml:space="preserve">ID: 90414
Label: rog224px_q
Database: wiiw Monthly Database - Public
Status: active
Calculation: 
Calculation_M: Q-&gt;M EOP(L_rog224px_q&gt;mdb)
Calculation_Q: Share(L_rog224n_q&gt;mdb,L_rog11tzn_q&gt;mdb)
Calculation_A: Share(L_rog224n_q&gt;mdb,L_rog11tzn_q&gt;mdb)
Periodicity: Q
Data available M: 1995m3 - 2023m9
Data available Q: 1995q1 - 2023q3
Data available A: 1995 - 2022
Text 99: 
Automatic update period: 1999|2015
Time shift: 
Note: 
Reporter: RO - Romania
Chapter 1: 02_NA - National accounts
Indicator: SC0217 - Gross capital formation
Unit: 09_Share_%gdp - in % of GDP
Footnote 1:  - 
Footnote 2:  - 
Footnote 3:  - 
Footnote 4:  - 
Source 1: Z_ESTAT - Eurostat
Source 2: Z_wiiw - wiiw
Source 3:  - 
</t>
        </r>
      </text>
    </comment>
    <comment ref="AD8" authorId="1" shapeId="0" xr:uid="{997EE6DB-8829-40DB-AFB2-6AC7297E7104}">
      <text>
        <r>
          <rPr>
            <sz val="9"/>
            <color indexed="81"/>
            <rFont val="Segoe UI"/>
            <family val="2"/>
          </rPr>
          <t xml:space="preserve">ID: 90502
Label: rog228px_q
Database: wiiw Monthly Database - Public
Status: active
Calculation: 
Calculation_M: Q-&gt;M EOP(L_rog228px_q&gt;mdb)
Calculation_Q: Share(L_rog228n_q&gt;mdb,L_rog11tzn_q&gt;mdb)
Calculation_A: Share(L_rog228n_q&gt;mdb,L_rog11tzn_q&gt;mdb)
Periodicity: Q
Data available M: 1995m3 - 2023m9
Data available Q: 1995q1 - 2023q3
Data available A: 1995 - 2022
Text 99: 
Automatic update period: 1999|2015
Time shift: 
Note: 
Reporter: RO - Romania
Chapter 1: 02_NA - National accounts
Indicator: SC0221 - Exports of goods and services
Unit: 09_Share_%gdp - in % of GDP
Footnote 1:  - 
Footnote 2:  - 
Footnote 3:  - 
Footnote 4:  - 
Source 1: Z_ESTAT - Eurostat
Source 2: Z_wiiw - wiiw
Source 3:  - 
</t>
        </r>
      </text>
    </comment>
    <comment ref="AE8" authorId="1" shapeId="0" xr:uid="{B7B70E52-9044-4117-AD80-D69AFC49DE55}">
      <text>
        <r>
          <rPr>
            <sz val="9"/>
            <color indexed="81"/>
            <rFont val="Segoe UI"/>
            <family val="2"/>
          </rPr>
          <t xml:space="preserve">ID: 90524
Label: rog229px_q
Database: wiiw Monthly Database - Public
Status: active
Calculation: 
Calculation_M: Q-&gt;M EOP(L_rog229px_q&gt;mdb)
Calculation_Q: Share(L_rog229n_q&gt;mdb,L_rog11tzn_q&gt;mdb)
Calculation_A: Share(L_rog229n_q&gt;mdb,L_rog11tzn_q&gt;mdb)
Periodicity: Q
Data available M: 1995m3 - 2023m9
Data available Q: 1995q1 - 2023q3
Data available A: 1995 - 2022
Text 99: 
Automatic update period: 1999|2015
Time shift: 
Note: 
Reporter: RO - Romania
Chapter 1: 02_NA - National accounts
Indicator: SC0222 - Imports of goods and services
Unit: 09_Share_%gdp - in % of GDP
Footnote 1:  - 
Footnote 2:  - 
Footnote 3:  - 
Footnote 4:  - 
Source 1: Z_ESTAT - Eurostat
Source 2: Z_wiiw - wiiw
Source 3:  - 
</t>
        </r>
      </text>
    </comment>
    <comment ref="AF8" authorId="1" shapeId="0" xr:uid="{761A750E-534F-4E50-BCF2-284E658D573D}">
      <text>
        <r>
          <rPr>
            <sz val="9"/>
            <color indexed="81"/>
            <rFont val="Segoe UI"/>
            <family val="2"/>
          </rPr>
          <t xml:space="preserve">ID: 89622
Label: rofls14scx
Database: wiiw Monthly Database - Public
Status: active
Calculation: SubScal(L_rofls14scx&gt;mdb,100)
Calculation_M: CPPY=100(L_rofls14e&gt;mdb)
Calculation_Q: M-&gt;Q EOP(L_rofls14scx&gt;mdb)
Calculation_A: Q-&gt;A EOP(L_rofls14scx&gt;mdb)
Periodicity: Q
Data available M: 2001m1 - 2023m11
Data available Q: 2001q1 - 2023q3
Data available A: 2001 - 2022
Text 99: 
Automatic update period: 1999|2015
Time shift: 
Note: 
Reporter: RO - Romania
Chapter 1: 10_DF - Domestic finance
Indicator: SC1066 - Loans households (S14)
Unit: 04_Inom_32 - index nominal, corresponding period of previous year = 100
Footnote 1: FRO35 - From 2006 institutional sectors defined by ESA'95, national allocation before.
Footnote 2: FZZ70 - Including NPISHs (S15).
Footnote 3:  - 
Footnote 4:  - 
Source 1: QRO2 - National Bank of Romania
Source 2: Z_wiiw - wiiw
Source 3:  - 
</t>
        </r>
      </text>
    </comment>
    <comment ref="AG8" authorId="1" shapeId="0" xr:uid="{02A0F5B8-FBBF-4D10-A1A8-0D7A9D4C476E}">
      <text>
        <r>
          <rPr>
            <sz val="9"/>
            <color indexed="81"/>
            <rFont val="Segoe UI"/>
            <family val="2"/>
          </rPr>
          <t xml:space="preserve">ID: 144770
Label: robgdtpx_help_q
Database: wiiw Monthly Database - Hidden
Status: active
Calculation: 
Calculation_M: q-&gt;m EOP(L_robgdtpx_help_q&gt;mdb)
Calculation_Q: Share(L_robgdtn_help_q&gt;mdb,L_rog11tnx_help_q&gt;mdb)
Calculation_A: q-&gt;a EOP(L_robgdtpx_help_q&gt;mdb)
Periodicity: Q
Data available M: 2000m3 - 2023m9
Data available Q: 2000q1 - 2023q3
Data available A: 2000 - 2022
Text 99: 
Automatic update period: 1999|2015
Time shift: 
Note: 
Reporter: RO - Romania
Chapter 1: 10_DF - Domestic finance
Indicator: SC1009 - General government gross debt, total
Unit: 09_Share_%gdp - in % of GDP
Footnote 1:  - 
Footnote 2:  - 
Footnote 3:  - 
Footnote 4:  - 
Source 1: Z_ESTAT - Eurostat
Source 2: Z_wiiw - wiiw
Source 3:  - 
</t>
        </r>
      </text>
    </comment>
    <comment ref="G101" authorId="0" shapeId="0" xr:uid="{578B67C6-AC49-44D8-BEAA-ED3C7DB95C34}">
      <text>
        <r>
          <rPr>
            <b/>
            <sz val="9"/>
            <color indexed="81"/>
            <rFont val="Tahoma"/>
            <family val="2"/>
          </rPr>
          <t>BJ:</t>
        </r>
        <r>
          <rPr>
            <sz val="9"/>
            <color indexed="81"/>
            <rFont val="Tahoma"/>
            <family val="2"/>
          </rPr>
          <t xml:space="preserve">
from the budget for 2022</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BJ</author>
    <author>Alexandra Bykova</author>
  </authors>
  <commentList>
    <comment ref="B1" authorId="0" shapeId="0" xr:uid="{94F73493-2609-4041-9CA0-21583889C28D}">
      <text>
        <r>
          <rPr>
            <b/>
            <sz val="9"/>
            <color indexed="81"/>
            <rFont val="Tahoma"/>
            <family val="2"/>
          </rPr>
          <t>BJ:</t>
        </r>
        <r>
          <rPr>
            <sz val="9"/>
            <color indexed="81"/>
            <rFont val="Tahoma"/>
            <family val="2"/>
          </rPr>
          <t xml:space="preserve">
EU 27, seasonally and calendar adjusted
Eurostat</t>
        </r>
      </text>
    </comment>
    <comment ref="C1" authorId="0" shapeId="0" xr:uid="{FBA05C8C-2FEA-4020-B047-0C3494F1FB76}">
      <text>
        <r>
          <rPr>
            <b/>
            <sz val="9"/>
            <color indexed="81"/>
            <rFont val="Tahoma"/>
            <family val="2"/>
          </rPr>
          <t>BJ:</t>
        </r>
        <r>
          <rPr>
            <sz val="9"/>
            <color indexed="81"/>
            <rFont val="Tahoma"/>
            <family val="2"/>
          </rPr>
          <t xml:space="preserve">
Eurostat</t>
        </r>
      </text>
    </comment>
    <comment ref="D1" authorId="0" shapeId="0" xr:uid="{2C67B930-477C-4D48-B71A-F9D1A4A4726D}">
      <text>
        <r>
          <rPr>
            <b/>
            <sz val="9"/>
            <color indexed="81"/>
            <rFont val="Tahoma"/>
            <family val="2"/>
          </rPr>
          <t>BJ:</t>
        </r>
        <r>
          <rPr>
            <sz val="9"/>
            <color indexed="81"/>
            <rFont val="Tahoma"/>
            <family val="2"/>
          </rPr>
          <t xml:space="preserve">
EU changing composition
Eurostat</t>
        </r>
      </text>
    </comment>
    <comment ref="E1" authorId="0" shapeId="0" xr:uid="{1C5FDD2E-16F4-4B01-A742-EE648F2192C7}">
      <text>
        <r>
          <rPr>
            <b/>
            <sz val="9"/>
            <color indexed="81"/>
            <rFont val="Tahoma"/>
            <family val="2"/>
          </rPr>
          <t>BJ:</t>
        </r>
        <r>
          <rPr>
            <sz val="9"/>
            <color indexed="81"/>
            <rFont val="Tahoma"/>
            <family val="2"/>
          </rPr>
          <t xml:space="preserve">
ECB</t>
        </r>
      </text>
    </comment>
    <comment ref="F1" authorId="0" shapeId="0" xr:uid="{54F9F516-B78E-472F-9B29-FCAB943707DF}">
      <text>
        <r>
          <rPr>
            <b/>
            <sz val="9"/>
            <color indexed="81"/>
            <rFont val="Tahoma"/>
            <family val="2"/>
          </rPr>
          <t>BJ:</t>
        </r>
        <r>
          <rPr>
            <sz val="9"/>
            <color indexed="81"/>
            <rFont val="Tahoma"/>
            <family val="2"/>
          </rPr>
          <t xml:space="preserve">
Crude oil, average, from WB pink sheets</t>
        </r>
      </text>
    </comment>
    <comment ref="G1" authorId="0" shapeId="0" xr:uid="{F892BD4F-D6E9-45A8-A808-D1159961E919}">
      <text>
        <r>
          <rPr>
            <sz val="9"/>
            <color indexed="81"/>
            <rFont val="Tahoma"/>
            <family val="2"/>
          </rPr>
          <t>General gov, nominal yoy growth, in NCU
wiiw</t>
        </r>
      </text>
    </comment>
    <comment ref="H1" authorId="0" shapeId="0" xr:uid="{C5CB298B-0FF3-4BB6-B9DA-4A895BD5A9F3}">
      <text>
        <r>
          <rPr>
            <b/>
            <sz val="9"/>
            <color indexed="81"/>
            <rFont val="Tahoma"/>
            <family val="2"/>
          </rPr>
          <t>BJ:</t>
        </r>
        <r>
          <rPr>
            <sz val="9"/>
            <color indexed="81"/>
            <rFont val="Tahoma"/>
            <family val="2"/>
          </rPr>
          <t xml:space="preserve">
General gov. budget - revenues NCU m (incl. 'euro fixed' series)
wiiw</t>
        </r>
      </text>
    </comment>
    <comment ref="I1" authorId="0" shapeId="0" xr:uid="{535DDC09-C8C8-4594-8325-9C3546B51D3D}">
      <text>
        <r>
          <rPr>
            <b/>
            <sz val="9"/>
            <color indexed="81"/>
            <rFont val="Tahoma"/>
            <family val="2"/>
          </rPr>
          <t>BJ:</t>
        </r>
        <r>
          <rPr>
            <sz val="9"/>
            <color indexed="81"/>
            <rFont val="Tahoma"/>
            <family val="2"/>
          </rPr>
          <t xml:space="preserve">
General gov. budget - balance
 in % of GDP
wiiw</t>
        </r>
      </text>
    </comment>
    <comment ref="J1" authorId="0" shapeId="0" xr:uid="{014410A2-ED5A-480A-B99A-DAD40AA84E30}">
      <text>
        <r>
          <rPr>
            <b/>
            <sz val="9"/>
            <color indexed="81"/>
            <rFont val="Tahoma"/>
            <family val="2"/>
          </rPr>
          <t>BJ:</t>
        </r>
        <r>
          <rPr>
            <sz val="9"/>
            <color indexed="81"/>
            <rFont val="Tahoma"/>
            <family val="2"/>
          </rPr>
          <t xml:space="preserve">
For all GDP: 
NCU m, 2015 reference prices (prev. year prices, incl. 'euro fixed' series)
wiiw</t>
        </r>
      </text>
    </comment>
    <comment ref="K1" authorId="0" shapeId="0" xr:uid="{F7D00DCC-7595-49F8-8100-DDAA08594EDC}">
      <text>
        <r>
          <rPr>
            <b/>
            <sz val="9"/>
            <color indexed="81"/>
            <rFont val="Tahoma"/>
            <family val="2"/>
          </rPr>
          <t>BJ:</t>
        </r>
        <r>
          <rPr>
            <sz val="9"/>
            <color indexed="81"/>
            <rFont val="Tahoma"/>
            <family val="2"/>
          </rPr>
          <t xml:space="preserve">
Households + NPISH
Only Households</t>
        </r>
      </text>
    </comment>
    <comment ref="M1" authorId="0" shapeId="0" xr:uid="{7644F57B-9B2F-4F29-9D94-2DA16FF2EAAA}">
      <text>
        <r>
          <rPr>
            <b/>
            <sz val="9"/>
            <color indexed="81"/>
            <rFont val="Tahoma"/>
            <family val="2"/>
          </rPr>
          <t>BJ:</t>
        </r>
        <r>
          <rPr>
            <sz val="9"/>
            <color indexed="81"/>
            <rFont val="Tahoma"/>
            <family val="2"/>
          </rPr>
          <t xml:space="preserve">
Gross capital formation</t>
        </r>
      </text>
    </comment>
    <comment ref="P1" authorId="0" shapeId="0" xr:uid="{8D826CC4-27CE-4A1A-B1FA-C0FC03AC543D}">
      <text>
        <r>
          <rPr>
            <b/>
            <sz val="9"/>
            <color indexed="81"/>
            <rFont val="Tahoma"/>
            <family val="2"/>
          </rPr>
          <t>Employment, LFS, thousand persons
wiiw</t>
        </r>
      </text>
    </comment>
    <comment ref="Q1" authorId="0" shapeId="0" xr:uid="{A29F2717-185C-4192-ACD7-AA9D6293B0D7}">
      <text>
        <r>
          <rPr>
            <b/>
            <sz val="9"/>
            <color indexed="81"/>
            <rFont val="Tahoma"/>
            <family val="2"/>
          </rPr>
          <t>Unemployment, LFS, thousand persons
wiiw</t>
        </r>
      </text>
    </comment>
    <comment ref="R1" authorId="0" shapeId="0" xr:uid="{F494870B-CCC2-4AA1-B02F-FA6C2F6DB5BF}">
      <text>
        <r>
          <rPr>
            <b/>
            <sz val="9"/>
            <color indexed="81"/>
            <rFont val="Tahoma"/>
            <family val="2"/>
          </rPr>
          <t>Unemployment, LFS, in %
wiiw</t>
        </r>
      </text>
    </comment>
    <comment ref="S1" authorId="0" shapeId="0" xr:uid="{74E1DBD5-34B3-456F-98F8-59EF7FA5B11F}">
      <text>
        <r>
          <rPr>
            <sz val="9"/>
            <color indexed="81"/>
            <rFont val="Tahoma"/>
            <family val="2"/>
          </rPr>
          <t>Average monthly gross wages total, 
national currency (incl. 'euro fixed' series), yoy growth
wiiw</t>
        </r>
      </text>
    </comment>
    <comment ref="T1" authorId="0" shapeId="0" xr:uid="{1EABCB30-5D28-41D1-B19F-1F7B9A4C6666}">
      <text>
        <r>
          <rPr>
            <b/>
            <sz val="9"/>
            <color indexed="81"/>
            <rFont val="Tahoma"/>
            <family val="2"/>
          </rPr>
          <t>BJ:</t>
        </r>
        <r>
          <rPr>
            <sz val="9"/>
            <color indexed="81"/>
            <rFont val="Tahoma"/>
            <family val="2"/>
          </rPr>
          <t xml:space="preserve">
Central bank policy rate, nominal
wiiw</t>
        </r>
      </text>
    </comment>
    <comment ref="U1" authorId="0" shapeId="0" xr:uid="{AFE16CB3-33A7-4076-9EC6-78617C59F943}">
      <text>
        <r>
          <rPr>
            <b/>
            <sz val="9"/>
            <color indexed="81"/>
            <rFont val="Tahoma"/>
            <family val="2"/>
          </rPr>
          <t>BJ:</t>
        </r>
        <r>
          <rPr>
            <sz val="9"/>
            <color indexed="81"/>
            <rFont val="Tahoma"/>
            <family val="2"/>
          </rPr>
          <t xml:space="preserve">
Consumer prices index, monthly average, 2015 = 100
wiiw</t>
        </r>
      </text>
    </comment>
    <comment ref="V1" authorId="0" shapeId="0" xr:uid="{02CFF267-785D-4B65-975A-FFD6AB4BDC1C}">
      <text>
        <r>
          <rPr>
            <b/>
            <sz val="9"/>
            <color indexed="81"/>
            <rFont val="Tahoma"/>
            <family val="2"/>
          </rPr>
          <t>BJ:</t>
        </r>
        <r>
          <rPr>
            <sz val="9"/>
            <color indexed="81"/>
            <rFont val="Tahoma"/>
            <family val="2"/>
          </rPr>
          <t xml:space="preserve">
Exchange rate nominal NCU/EUR, period average
wiiw</t>
        </r>
      </text>
    </comment>
    <comment ref="W1" authorId="0" shapeId="0" xr:uid="{FF2823EF-9572-41A3-A043-557E6B5DC819}">
      <text>
        <r>
          <rPr>
            <b/>
            <sz val="9"/>
            <color indexed="81"/>
            <rFont val="Tahoma"/>
            <family val="2"/>
          </rPr>
          <t>BJ:</t>
        </r>
        <r>
          <rPr>
            <sz val="9"/>
            <color indexed="81"/>
            <rFont val="Tahoma"/>
            <family val="2"/>
          </rPr>
          <t xml:space="preserve">
 Industrial output (BCD - NACE Rev. 2), index real, monthly average, 2015 = 100, yoy growth
wiiw</t>
        </r>
      </text>
    </comment>
    <comment ref="X1" authorId="0" shapeId="0" xr:uid="{15A1B146-F6C2-429D-87E0-ECAEEFC7FB62}">
      <text>
        <r>
          <rPr>
            <b/>
            <sz val="9"/>
            <color indexed="81"/>
            <rFont val="Tahoma"/>
            <family val="2"/>
          </rPr>
          <t>BJ:</t>
        </r>
        <r>
          <rPr>
            <sz val="9"/>
            <color indexed="81"/>
            <rFont val="Tahoma"/>
            <family val="2"/>
          </rPr>
          <t xml:space="preserve">
Exports total, fob EUR m, yoy growth
wiiw
Alexandra: changed to BOP: exports of goods and services</t>
        </r>
      </text>
    </comment>
    <comment ref="Y1" authorId="0" shapeId="0" xr:uid="{71E9BBB2-351D-47F0-B966-6775174E9CCF}">
      <text>
        <r>
          <rPr>
            <b/>
            <sz val="9"/>
            <color indexed="81"/>
            <rFont val="Tahoma"/>
            <family val="2"/>
          </rPr>
          <t>BJ:</t>
        </r>
        <r>
          <rPr>
            <sz val="9"/>
            <color indexed="81"/>
            <rFont val="Tahoma"/>
            <family val="2"/>
          </rPr>
          <t xml:space="preserve">
 Imports total, cif EUR m
wiiw
Alexandra: changed to BOP: imports of goods and services</t>
        </r>
      </text>
    </comment>
    <comment ref="Z1" authorId="0" shapeId="0" xr:uid="{890924DB-F743-4E94-8029-CBFE35B9F622}">
      <text>
        <r>
          <rPr>
            <b/>
            <sz val="9"/>
            <color indexed="81"/>
            <rFont val="Tahoma"/>
            <family val="2"/>
          </rPr>
          <t>BJ:</t>
        </r>
        <r>
          <rPr>
            <sz val="9"/>
            <color indexed="81"/>
            <rFont val="Tahoma"/>
            <family val="2"/>
          </rPr>
          <t xml:space="preserve">
Current account in % of GDP
wiiw</t>
        </r>
      </text>
    </comment>
    <comment ref="AA1" authorId="0" shapeId="0" xr:uid="{409092CB-A3D5-492C-92D8-B47F42169C94}">
      <text>
        <r>
          <rPr>
            <b/>
            <sz val="9"/>
            <color indexed="81"/>
            <rFont val="Tahoma"/>
            <family val="2"/>
          </rPr>
          <t>BJ:</t>
        </r>
        <r>
          <rPr>
            <sz val="9"/>
            <color indexed="81"/>
            <rFont val="Tahoma"/>
            <family val="2"/>
          </rPr>
          <t xml:space="preserve">
Households + NPISH</t>
        </r>
      </text>
    </comment>
    <comment ref="AC1" authorId="0" shapeId="0" xr:uid="{E5E4ADDF-CCC5-4A68-8B2D-D446C8094217}">
      <text>
        <r>
          <rPr>
            <b/>
            <sz val="9"/>
            <color indexed="81"/>
            <rFont val="Tahoma"/>
            <family val="2"/>
          </rPr>
          <t>BJ:</t>
        </r>
        <r>
          <rPr>
            <sz val="9"/>
            <color indexed="81"/>
            <rFont val="Tahoma"/>
            <family val="2"/>
          </rPr>
          <t xml:space="preserve">
Gross capital formation</t>
        </r>
      </text>
    </comment>
    <comment ref="AF1" authorId="0" shapeId="0" xr:uid="{EBA5942E-D46A-4D85-89BE-679BFF65A127}">
      <text>
        <r>
          <rPr>
            <b/>
            <sz val="9"/>
            <color indexed="81"/>
            <rFont val="Tahoma"/>
            <family val="2"/>
          </rPr>
          <t>BJ:</t>
        </r>
        <r>
          <rPr>
            <sz val="9"/>
            <color indexed="81"/>
            <rFont val="Tahoma"/>
            <family val="2"/>
          </rPr>
          <t xml:space="preserve">
loans to households, nominal, yoy growth rates</t>
        </r>
      </text>
    </comment>
    <comment ref="B8" authorId="1" shapeId="0" xr:uid="{1F99F3AC-6096-4279-A503-E71F8F35B181}">
      <text>
        <r>
          <rPr>
            <sz val="9"/>
            <color indexed="81"/>
            <rFont val="Segoe UI"/>
            <family val="2"/>
          </rPr>
          <t xml:space="preserve">ID: 144396
Label: eug11tscrx_q
Database: wiiw Monthly Database - Hidden
Status: active
Calculation: 
Calculation_M: SubScal(L_eug11tscx_q&gt;mdb,100)
Calculation_Q: SubScal(L_eug11tscx_q&gt;mdb,100)
Calculation_A: SubScal(L_eug11tscx_q&gt;mdb,100)
Periodicity: Q
Data available M: 1996m3 - 2023m9
Data available Q: 1996q1 - 2023q3
Data available A: 1996 - 2022
Text 99: 
Automatic update period: 1999|2015
Time shift: 
Note: 
Reporter: EU27_2020 - EU - 27 countries (from 2020)
Chapter 1: 02_NA - National accounts
Indicator: SC0201 - Gross domestic product total
Unit: 05_Ireal_36 - real growth rate to corresponding period of previous year in %
Footnote 1: FZZ05 - According to ESA'10.
Footnote 2:  - 
Footnote 3:  - 
Footnote 4:  - 
Source 1: Z_ESTAT - Eurostat
Source 2: Z_wiiw - wiiw
Source 3:  - 
</t>
        </r>
      </text>
    </comment>
    <comment ref="C8" authorId="1" shapeId="0" xr:uid="{321A9D52-1FEA-4353-9849-71DD65387B37}">
      <text>
        <r>
          <rPr>
            <sz val="9"/>
            <color indexed="81"/>
            <rFont val="Segoe UI"/>
            <family val="2"/>
          </rPr>
          <t xml:space="preserve">ID: 77811
Label: eup1p1tsa
Database: wiiw Monthly Database - Hidden
Status: active
Calculation: 
Calculation_M: 
Calculation_Q: m-&gt;q AVG(L_eup1p1tsa&gt;mdb)
Calculation_A: q-&gt;a AVG(L_eup1p1tsa&gt;mdb)
Periodicity: Q
Data available M: 1999m1 - 2023m12
Data available Q: 1999q1 - 2023q4
Data available A: 1999 - 2023
Text 99: 
Automatic update period: 1999|2015
Time shift: 
Note: 
Reporter: EU - European Union evolutionary
Chapter 1: 07_PRC - Prices
Indicator: SC0701 - Consumer prices
Unit: 03_I_1_085_15avg - index, monthly average, 2015 = 100
Footnote 1: FZZ40 - Based on HICP (Harmonized Index of Consumer Prices).
Footnote 2:  - 
Footnote 3:  - 
Footnote 4:  - 
Source 1: Z_ESTAT - Eurostat
Source 2:  - 
Source 3:  - 
</t>
        </r>
      </text>
    </comment>
    <comment ref="D8" authorId="1" shapeId="0" xr:uid="{B2E5D9E0-B196-4C8E-B5E4-9355E51ABC57}">
      <text>
        <r>
          <rPr>
            <sz val="9"/>
            <color indexed="81"/>
            <rFont val="Segoe UI"/>
            <family val="2"/>
          </rPr>
          <t xml:space="preserve">ID: 77812
Label: eup1p1tscx
Database: wiiw Monthly Database - Hidden
Status: active
Calculation: SubScal(L_eup1p1tscx&gt;mdb,100)
Calculation_M: CPPY=100(L_eup1p1tsa&gt;mdb)
Calculation_Q: CPPY=100(L_eup1p1tsa&gt;mdb)
Calculation_A: CPPY=100(L_eup1p1tsa&gt;mdb)
Periodicity: Q
Data available M: 1992m1 - 2023m12
Data available Q: 1992q1 - 2023q4
Data available A: 1992 - 2023
Text 99: 
Automatic update period: 1999|2015
Time shift: 
Note: 
Reporter: EU - European Union evolutionary
Chapter 1: 07_PRC - Prices
Indicator: SC0701 - Consumer prices
Unit: 03_I_32 - index, corresponding period of previous year = 100
Footnote 1: FZZ40 - Based on HICP (Harmonized Index of Consumer Prices).
Footnote 2:  - 
Footnote 3:  - 
Footnote 4:  - 
Source 1: Z_ESTAT - Eurostat
Source 2: Z_wiiw - wiiw
Source 3:  - 
</t>
        </r>
      </text>
    </comment>
    <comment ref="E8" authorId="1" shapeId="0" xr:uid="{8BC5B8DC-3E1C-4C96-A038-34B70B3B76F0}">
      <text>
        <r>
          <rPr>
            <sz val="9"/>
            <color indexed="81"/>
            <rFont val="Segoe UI"/>
            <family val="2"/>
          </rPr>
          <t xml:space="preserve">ID: 144399
Label: eafrr1tp_help
Database: wiiw Monthly Database - Hidden
Status: active
Calculation: 
Calculation_M: L_eafrr1tp&gt;mdb
Calculation_Q: m-&gt;q AVG(L_eafrr1tp&gt;mdb)
Calculation_A: q-&gt;a AVG(L_eafrr1tp&gt;mdb)
Periodicity: Q
Data available M: 1999m1 - 2023m12
Data available Q: 1999q1 - 2023q4
Data available A: 1999 - 2023
Text 99: 
Automatic update period: 1999|2015
Time shift: 
Note: 
Reporter: EA - Euro area evolutionary
Chapter 1: 10_DF - Domestic finance
Indicator: SC1050 - Central bank policy rate
Unit: 06_IntR_6 - % p.a., period average
Footnote 1: FZZ50 - Official refinancing operation rates for euro area (ECB), rate in fixed rate tenders (between June 2000 and September 2008 the minimum bid rate in variable rate tenders was applied).
Footnote 2:  - 
Footnote 3:  - 
Footnote 4:  - 
Source 1: Z_ECB - European Central Bank
Source 2:  - 
Source 3:  - 
</t>
        </r>
      </text>
    </comment>
    <comment ref="F8" authorId="1" shapeId="0" xr:uid="{2A213B85-67D5-4AC6-BAAC-54AA185BF295}">
      <text>
        <r>
          <rPr>
            <sz val="9"/>
            <color indexed="81"/>
            <rFont val="Segoe UI"/>
            <family val="2"/>
          </rPr>
          <t xml:space="preserve">ID: 101874
Label: usp2oila
Database: wiiw Monthly Database - Hidden
Status: active
Calculation: 
Calculation_M: 
Calculation_Q: M-&gt;Q AVG(L_usp2oila&gt;mdb)
Calculation_A: Q-&gt;A AVG(L_usp2oila&gt;mdb)
Periodicity: Q
Data available M: 1990m1 - 2023m12
Data available Q: 1990q1 - 2023q4
Data available A: 1990 - 2023
Text 99: 
Automatic update period: 1999|2015
Time shift: 
Note: Oil prices  &amp; Europe Brent Spot Price FOB (Dollars per Barrel) &amp; EIA (US) Source of the data. Gespeichert auf die EU&amp;US Karten.
Reporter: US - United States
Chapter 1: 11_FF - Foreign finance
Indicator:  - 
Unit:  - 
Footnote 1:  - 
Footnote 2:  - 
Footnote 3:  - 
Footnote 4:  - 
Source 1:  - 
Source 2:  - 
Source 3:  - 
</t>
        </r>
      </text>
    </comment>
    <comment ref="G8" authorId="1" shapeId="0" xr:uid="{10FC2540-81ED-4FE2-AF8E-61BA66208911}">
      <text>
        <r>
          <rPr>
            <sz val="9"/>
            <color indexed="81"/>
            <rFont val="Segoe UI"/>
            <family val="2"/>
          </rPr>
          <t xml:space="preserve">ID: 32788
Label: czbg21n_q
Database: wiiw Monthly Database - Public
Status: active
Calculation: SubScal(CPPY=100(L_czbg21n_q&gt;mdb),100)
Calculation_M: q-&gt;m EOP(L_czbg21n_q&gt;mdb)
Calculation_Q: 
Calculation_A: Q-&gt;A CUMPER(L_czbg21n_q&gt;mdb)
Periodicity: Q
Data available M: 1999m3 - 2023m9
Data available Q: 1999q1 - 2023q3
Data available A: 1999 - 2022
Text 99: 
Automatic update period: 1999|2015
Time shift: 
Note: 
Reporter: CZ - Czechia
Chapter 1: 10_DF - Domestic finance
Indicator: SC1011 - General gov. budget (ESA'10, EDP) - expenditures
Unit: 01_Curr_12 - NCU m (incl. 'euro fixed' series)
Footnote 1: FZZ42 - According to ESA'10 excessive deficit procedure.
Footnote 2:  - 
Footnote 3:  - 
Footnote 4:  - 
Source 1: Z_ESTAT - Eurostat
Source 2:  - 
Source 3:  - 
</t>
        </r>
      </text>
    </comment>
    <comment ref="H8" authorId="1" shapeId="0" xr:uid="{A52B3E25-42D8-44A8-84F7-66979ADC46D5}">
      <text>
        <r>
          <rPr>
            <sz val="9"/>
            <color indexed="81"/>
            <rFont val="Segoe UI"/>
            <family val="2"/>
          </rPr>
          <t xml:space="preserve">ID: 32787
Label: czbg11n_q
Database: wiiw Monthly Database - Public
Status: active
Calculation: SubScal(CPPY=100(L_czbg11n_q&gt;mdb),100)
Calculation_M: q-&gt;m EOP(L_czbg11n_q&gt;mdb)
Calculation_Q: 
Calculation_A: Q-&gt;A CUMPER(L_czbg11n_q&gt;mdb)
Periodicity: Q
Data available M: 1999m3 - 2023m9
Data available Q: 1999q1 - 2023q3
Data available A: 1999 - 2022
Text 99: 
Automatic update period: 1999|2015
Time shift: 
Note: 
Reporter: CZ - Czechia
Chapter 1: 10_DF - Domestic finance
Indicator: SC1010 - General gov. budget (ESA'10, EDP) - revenues
Unit: 01_Curr_12 - NCU m (incl. 'euro fixed' series)
Footnote 1: FZZ42 - According to ESA'10 excessive deficit procedure.
Footnote 2:  - 
Footnote 3:  - 
Footnote 4:  - 
Source 1: Z_ESTAT - Eurostat
Source 2:  - 
Source 3:  - 
</t>
        </r>
      </text>
    </comment>
    <comment ref="I8" authorId="1" shapeId="0" xr:uid="{A251965A-78EC-41A8-89D2-6BFA4E37E61E}">
      <text>
        <r>
          <rPr>
            <sz val="9"/>
            <color indexed="81"/>
            <rFont val="Segoe UI"/>
            <family val="2"/>
          </rPr>
          <t xml:space="preserve">ID: 89163
Label: czbg31px_q
Database: wiiw Monthly Database - Public
Status: active
Calculation: 
Calculation_M: Q-&gt;M EOP(L_czbg31px_q&gt;mdb)
Calculation_Q: Share(L_czbg31nx_q&gt;mdb,L_czg11tn_q&gt;mdb)
Calculation_A: Share(L_czbg31nx_q&gt;mdb,L_czg11tn_q&gt;mdb)
Periodicity: Q
Data available M: 1999m3 - 2023m9
Data available Q: 1999q1 - 2023q3
Data available A: 1999 - 2022
Text 99: 
Automatic update period: 1999|2015
Time shift: 
Note: 
Reporter: CZ - Czechia
Chapter 1: 10_DF - Domestic finance
Indicator: SC1012 - General gov. budget (ESA'10, EDP) - balance
Unit: 09_Share_%gdp - in % of GDP
Footnote 1: FZZ42 - According to ESA'10 excessive deficit procedure.
Footnote 2:  - 
Footnote 3:  - 
Footnote 4:  - 
Source 1: Z_ESTAT - Eurostat
Source 2: Z_wiiw - wiiw
Source 3:  - 
</t>
        </r>
      </text>
    </comment>
    <comment ref="J8" authorId="1" shapeId="0" xr:uid="{5DBAB66A-A82B-47C2-840E-405682FBC048}">
      <text>
        <r>
          <rPr>
            <sz val="9"/>
            <color indexed="81"/>
            <rFont val="Segoe UI"/>
            <family val="2"/>
          </rPr>
          <t xml:space="preserve">ID: 88632
Label: czg11tr15_q
Database: wiiw Monthly Database - Public
Status: active
Calculation: SubScal(CPPY=100(L_czg11tr15_q&gt;mdb),100)
Calculation_M: q-&gt;m EOP(L_czg11tr15_q&gt;mdb)
Calculation_Q: 
Calculation_A: q-&gt;a CumPer(L_czg11tr15_q&gt;mdb)
Periodicity: Q
Data available M: 1995m3 - 2023m9
Data available Q: 1995q1 - 2023q3
Data available A: 1995 - 2022
Text 99: 
Automatic update period: 1999|2015
Time shift: 
Note: 
Reporter: CZ - Czechia
Chapter 1: 02_NA - National accounts
Indicator: SC0201 - Gross domestic product total
Unit: 01_Curr_15_085_15_r - NCU m, 2015 reference prices (prev. year prices, incl. 'euro fixed' series)
Footnote 1: FZZ05 - According to ESA'10.
Footnote 2:  - 
Footnote 3:  - 
Footnote 4:  - 
Source 1: Z_ESTAT - Eurostat
Source 2:  - 
Source 3:  - 
</t>
        </r>
      </text>
    </comment>
    <comment ref="K8" authorId="1" shapeId="0" xr:uid="{81F07FDA-2F71-4F27-88C3-E3AF2249F69C}">
      <text>
        <r>
          <rPr>
            <sz val="9"/>
            <color indexed="81"/>
            <rFont val="Segoe UI"/>
            <family val="2"/>
          </rPr>
          <t xml:space="preserve">ID: 90866
Label: czg222r15_q
Database: wiiw Monthly Database - Public
Status: active
Calculation: SubScal(CPPY=100(L_czg222r15_q&gt;mdb),100)
Calculation_M: q-&gt;m EOP(L_czg222r15_q&gt;mdb)
Calculation_Q: 
Calculation_A: q-&gt;a CumPer(L_czg222r15_q&gt;mdb)
Periodicity: Q
Data available M: 1995m3 - 2023m9
Data available Q: 1995q1 - 2023q3
Data available A: 1995 - 2022
Text 99: 
Automatic update period: 1999|2015
Time shift: 
Note: 
Reporter: CZ - Czechia
Chapter 1: 02_NA - National accounts
Indicator: SC0212 - Household final consumption expenditure
Unit: 01_Curr_15_085_15_r - NCU m, 2015 reference prices (prev. year prices, incl. 'euro fixed' series)
Footnote 1:  - 
Footnote 2:  - 
Footnote 3:  - 
Footnote 4:  - 
Source 1: Z_ESTAT - Eurostat
Source 2:  - 
Source 3:  - 
</t>
        </r>
      </text>
    </comment>
    <comment ref="L8" authorId="1" shapeId="0" xr:uid="{D0B091EE-46AA-4770-A4F5-E47119B98246}">
      <text>
        <r>
          <rPr>
            <sz val="9"/>
            <color indexed="81"/>
            <rFont val="Segoe UI"/>
            <family val="2"/>
          </rPr>
          <t xml:space="preserve">ID: 90910
Label: czg223r15_q
Database: wiiw Monthly Database - Public
Status: active
Calculation: SubScal(CPPY=100(L_czg223r15_q&gt;mdb),100)
Calculation_M: q-&gt;m EOP(L_czg223r15_q&gt;mdb)
Calculation_Q: 
Calculation_A: q-&gt;a CumPer(L_czg223r15_q&gt;mdb)
Periodicity: Q
Data available M: 1995m3 - 2023m9
Data available Q: 1995q1 - 2023q3
Data available A: 1995 - 2022
Text 99: 
Automatic update period: 1999|2015
Time shift: 
Note: 
Reporter: CZ - Czechia
Chapter 1: 02_NA - National accounts
Indicator: SC0214 - Government final consumption expenditure
Unit: 01_Curr_15_085_15_r - NCU m, 2015 reference prices (prev. year prices, incl. 'euro fixed' series)
Footnote 1:  - 
Footnote 2:  - 
Footnote 3:  - 
Footnote 4:  - 
Source 1: Z_ESTAT - Eurostat
Source 2:  - 
Source 3:  - 
</t>
        </r>
      </text>
    </comment>
    <comment ref="M8" authorId="1" shapeId="0" xr:uid="{4694F16C-6B9A-47F9-9929-F5581D33835E}">
      <text>
        <r>
          <rPr>
            <sz val="9"/>
            <color indexed="81"/>
            <rFont val="Segoe UI"/>
            <family val="2"/>
          </rPr>
          <t xml:space="preserve">ID: 90932
Label: czg224r15_q
Database: wiiw Monthly Database - Public
Status: active
Calculation: SubScal(CPPY=100(L_czg224r15_q&gt;mdb),100)
Calculation_M: q-&gt;m EOP(L_czg224r15_q&gt;mdb)
Calculation_Q: 
Calculation_A: q-&gt;a CumPer(L_czg224r15_q&gt;mdb)
Periodicity: Q
Data available M: 1995m3 - 2023m9
Data available Q: 1995q1 - 2023q3
Data available A: 1995 - 2022
Text 99: 
Automatic update period: 1999|2015
Time shift: 
Note: 
Reporter: CZ - Czechia
Chapter 1: 02_NA - National accounts
Indicator: SC0217 - Gross capital formation
Unit: 01_Curr_15_085_15_r - NCU m, 2015 reference prices (prev. year prices, incl. 'euro fixed' series)
Footnote 1:  - 
Footnote 2:  - 
Footnote 3:  - 
Footnote 4:  - 
Source 1: Z_ESTAT - Eurostat
Source 2:  - 
Source 3:  - 
</t>
        </r>
      </text>
    </comment>
    <comment ref="N8" authorId="1" shapeId="0" xr:uid="{93D65D92-39C1-4203-9EE8-C799C2C2A1FA}">
      <text>
        <r>
          <rPr>
            <sz val="9"/>
            <color indexed="81"/>
            <rFont val="Segoe UI"/>
            <family val="2"/>
          </rPr>
          <t xml:space="preserve">ID: 90976
Label: czg228r15_q
Database: wiiw Monthly Database - Public
Status: active
Calculation: SubScal(CPPY=100(L_czg228r15_q&gt;mdb),100)
Calculation_M: q-&gt;m EOP(L_czg228r15_q&gt;mdb)
Calculation_Q: 
Calculation_A: q-&gt;a CumPer(L_czg228r15_q&gt;mdb)
Periodicity: Q
Data available M: 1995m3 - 2023m9
Data available Q: 1995q1 - 2023q3
Data available A: 1995 - 2022
Text 99: 
Automatic update period: 1999|2015
Time shift: 
Note: 
Reporter: CZ - Czechia
Chapter 1: 02_NA - National accounts
Indicator: SC0221 - Exports of goods and services
Unit: 01_Curr_15_085_15_r - NCU m, 2015 reference prices (prev. year prices, incl. 'euro fixed' series)
Footnote 1:  - 
Footnote 2:  - 
Footnote 3:  - 
Footnote 4:  - 
Source 1: Z_ESTAT - Eurostat
Source 2:  - 
Source 3:  - 
</t>
        </r>
      </text>
    </comment>
    <comment ref="O8" authorId="1" shapeId="0" xr:uid="{B5775B3A-982A-4C44-8263-53FD3BB7AE23}">
      <text>
        <r>
          <rPr>
            <sz val="9"/>
            <color indexed="81"/>
            <rFont val="Segoe UI"/>
            <family val="2"/>
          </rPr>
          <t xml:space="preserve">ID: 90998
Label: czg229r15_q
Database: wiiw Monthly Database - Public
Status: active
Calculation: SubScal(CPPY=100(L_czg229r15_q&gt;mdb),100)
Calculation_M: q-&gt;m EOP(L_czg229r15_q&gt;mdb)
Calculation_Q: 
Calculation_A: q-&gt;a CumPer(L_czg229r15_q&gt;mdb)
Periodicity: Q
Data available M: 1995m3 - 2023m9
Data available Q: 1995q1 - 2023q3
Data available A: 1995 - 2022
Text 99: 
Automatic update period: 1999|2015
Time shift: 
Note: 
Reporter: CZ - Czechia
Chapter 1: 02_NA - National accounts
Indicator: SC0222 - Imports of goods and services
Unit: 01_Curr_15_085_15_r - NCU m, 2015 reference prices (prev. year prices, incl. 'euro fixed' series)
Footnote 1:  - 
Footnote 2:  - 
Footnote 3:  - 
Footnote 4:  - 
Source 1: Z_ESTAT - Eurostat
Source 2:  - 
Source 3:  - 
</t>
        </r>
      </text>
    </comment>
    <comment ref="P8" authorId="1" shapeId="0" xr:uid="{89654C2F-497F-410C-80B3-CFC618EF3A01}">
      <text>
        <r>
          <rPr>
            <sz val="9"/>
            <color indexed="81"/>
            <rFont val="Segoe UI"/>
            <family val="2"/>
          </rPr>
          <t xml:space="preserve">ID: 32644
Label: cze51_ta_q
Database: wiiw Monthly Database - Public
Status: active
Calculation: 
Calculation_M: q-&gt;m EOP(L_cze51_ta_q&gt;mdb)
Calculation_Q: 
Calculation_A: q-&gt;a AVG(L_cze51_ta_q&gt;mdb)
Periodicity: Q
Data available M: 1993m3 - 2023m9
Data available Q: 1993q1 - 2023q3
Data available A: 1993 - 2022
Text 99: 
Automatic update period: 1999|2015
Time shift: 
Note: 
Reporter: CZ - Czechia
Chapter 1: 05_LAB - Labour market
Indicator: SC0501 - Employment, LFS
Unit: 02_Pers_11 - th persons, period average
Footnote 1: FCZ15 - From 2023 a new methodology in the LFS survey is applied. From 2021 new methodolgy in line with the Integrated European Social Statistics Regulation (IESS), excluding persons on parental leave from employed persons.
Footnote 2: FCZ41 - From 2012 according to census March 2011.
Footnote 3: FCZ39 - From 2002 according to census 2001.
Footnote 4:  - 
Source 1: Z_ESTAT - Eurostat
Source 2: QCZ1 - Czech Statistical Office
Source 3:  - 
</t>
        </r>
      </text>
    </comment>
    <comment ref="Q8" authorId="1" shapeId="0" xr:uid="{35ECFB9C-5E56-4599-90D9-55DCC6AC061D}">
      <text>
        <r>
          <rPr>
            <sz val="9"/>
            <color indexed="81"/>
            <rFont val="Segoe UI"/>
            <family val="2"/>
          </rPr>
          <t xml:space="preserve">ID: 32667
Label: cze5u_ta_q
Database: wiiw Monthly Database - Public
Status: active
Calculation: 
Calculation_M: q-&gt;m EOP(L_cze5u_ta_q&gt;mdb)
Calculation_Q: 
Calculation_A: q-&gt;a AVG(L_cze5u_ta_q&gt;mdb)
Periodicity: Q
Data available M: 1993m3 - 2023m9
Data available Q: 1993q1 - 2023q3
Data available A: 1993 - 2022
Text 99: 
Automatic update period: 1999|2015
Time shift: 
Note: 
Reporter: CZ - Czechia
Chapter 1: 05_LAB - Labour market
Indicator: SC0507 - Unemployment, LFS
Unit: 02_Pers_11 - th persons, period average
Footnote 1: FCZ15 - From 2023 a new methodology in the LFS survey is applied. From 2021 new methodolgy in line with the Integrated European Social Statistics Regulation (IESS), excluding persons on parental leave from employed persons.
Footnote 2: FCZ41 - From 2012 according to census March 2011.
Footnote 3: FCZ39 - From 2002 according to census 2001.
Footnote 4:  - 
Source 1: Z_ESTAT - Eurostat
Source 2: QCZ1 - Czech Statistical Office
Source 3:  - 
</t>
        </r>
      </text>
    </comment>
    <comment ref="R8" authorId="1" shapeId="0" xr:uid="{16437CB3-FE76-4350-8B0B-086CB79DA962}">
      <text>
        <r>
          <rPr>
            <sz val="9"/>
            <color indexed="81"/>
            <rFont val="Segoe UI"/>
            <family val="2"/>
          </rPr>
          <t xml:space="preserve">ID: 32690
Label: cze5u_tp_q
Database: wiiw Monthly Database - Public
Status: active
Calculation: 
Calculation_M: q-&gt;m EOP(L_cze5u_tp_q&gt;mdb)
Calculation_Q: 
Calculation_A: MulScal(Div(L_cze5u_ta_q&gt;mdb,Add(L_cze5u_ta_q&gt;mdb,L_cze51_ta_q&gt;mdb)),100)
Periodicity: Q
Data available M: 1993m3 - 2023m9
Data available Q: 1993q1 - 2023q3
Data available A: 1993 - 2022
Text 99: 
Automatic update period: 1999|2015
Time shift: 
Note: 
Reporter: CZ - Czechia
Chapter 1: 05_LAB - Labour market
Indicator: SC0508 - Unemployment rate, LFS
Unit: 02_Pers_21 - in %, period average
Footnote 1: FCZ15 - From 2023 a new methodology in the LFS survey is applied. From 2021 new methodolgy in line with the Integrated European Social Statistics Regulation (IESS), excluding persons on parental leave from employed persons.
Footnote 2: FCZ41 - From 2012 according to census March 2011.
Footnote 3: FCZ39 - From 2002 according to census 2001.
Footnote 4:  - 
Source 1: Z_ESTAT - Eurostat
Source 2: QCZ1 - Czech Statistical Office
Source 3:  - 
</t>
        </r>
      </text>
    </comment>
    <comment ref="S8" authorId="1" shapeId="0" xr:uid="{1B0A43D2-2FD1-419D-8713-E25FDF92DE29}">
      <text>
        <r>
          <rPr>
            <sz val="9"/>
            <color indexed="81"/>
            <rFont val="Segoe UI"/>
            <family val="2"/>
          </rPr>
          <t xml:space="preserve">ID: 51745
Label: czw11_tccx_q
Database: wiiw Monthly Database - Public
Status: active
Calculation: SubScal(L_czw11_tccx_q&gt;mdb,100)
Calculation_M: q-&gt;m EOP(L_czw11_tccx_q&gt;mdb)
Calculation_Q: CPPY=100(L_czw11_tn_q&gt;mdb)
Calculation_A: CPPY=100(L_czw11_tn_q&gt;mdb)
Periodicity: Q
Data available M: 2001m3 - 2023m9
Data available Q: 2001q1 - 2023q3
Data available A: 2001 - 2022
Text 99: 
Automatic update period: 1999|2015
Time shift: 
Note: NACE Rev. 2.
Reporter: CZ - Czechia
Chapter 1: 06_WS - Wages
Indicator: SC0601 - Average monthly gross wages total
Unit: 04_Inom_32 - index nominal, corresponding period of previous year = 100
Footnote 1:  - 
Footnote 2:  - 
Footnote 3:  - 
Footnote 4:  - 
Source 1: QCZ1 - Czech Statistical Office
Source 2: Z_wiiw - wiiw
Source 3:  - 
</t>
        </r>
      </text>
    </comment>
    <comment ref="T8" authorId="1" shapeId="0" xr:uid="{E23B463D-7C19-4A55-8D13-9BF1733A6808}">
      <text>
        <r>
          <rPr>
            <sz val="9"/>
            <color indexed="81"/>
            <rFont val="Segoe UI"/>
            <family val="2"/>
          </rPr>
          <t xml:space="preserve">ID: 782
Label: czfrr1tp
Database: wiiw Monthly Database - Public
Status: active
Calculation: 
Calculation_M: 
Calculation_Q: m-&gt;q EOP(L_czfrr1tp&gt;mdb)
Calculation_A: q-&gt;a EOP(L_czfrr1tp&gt;mdb)
Periodicity: Q
Data available M: 1991m3 - 2023m12
Data available Q: 1991q1 - 2023q4
Data available A: 1991 - 2023
Text 99: 
Automatic update period: 1999|2015
Time shift: 
Note: ab 2000 lt. E-Stat 'off.refin.operation rate' = 2-week repo = 2-week repo of CZNB &amp; ab Dez 95 übernommen, discount rate before &amp; Anfrage, ab wann 2-week repo = policy rate läuft - OFFEN
Reporter: CZ - Czechia
Chapter 1: 10_DF - Domestic finance
Indicator: SC1050 - Central bank policy rate
Unit: 06_IntR_1 - % p.a., end of period
Footnote 1: FCZ40 - Discount rate until 1995, from 1996 one-week repo rate, from 1988 two-week repo rate.
Footnote 2:  - 
Footnote 3:  - 
Footnote 4:  - 
Source 1: QCZ2 - Czech National Bank
Source 2:  - 
Source 3:  - 
</t>
        </r>
      </text>
    </comment>
    <comment ref="U8" authorId="1" shapeId="0" xr:uid="{A04851E1-93B6-4F07-BAA4-C7ADB7BEC991}">
      <text>
        <r>
          <rPr>
            <sz val="9"/>
            <color indexed="81"/>
            <rFont val="Segoe UI"/>
            <family val="2"/>
          </rPr>
          <t xml:space="preserve">ID: 571
Label: czp1p1tsa
Database: wiiw Monthly Database - Public
Status: active
Calculation: 
Calculation_M: 
Calculation_Q: m-&gt;q AVG(L_czp1p1tsa&gt;mdb)
Calculation_A: q-&gt;a AVG(L_czp1p1tsa&gt;mdb)
Periodicity: Q
Data available M: 1999m1 - 2023m12
Data available Q: 1999q1 - 2023q4
Data available A: 1999 - 2023
Text 99: 
Automatic update period: 1999|2015
Time shift: 
Note: 
Reporter: CZ - Czechia
Chapter 1: 07_PRC - Prices
Indicator: SC0701 - Consumer prices
Unit: 03_I_1_085_15avg - index, monthly average, 2015 = 100
Footnote 1: FZZ40 - Based on HICP (Harmonized Index of Consumer Prices).
Footnote 2:  - 
Footnote 3:  - 
Footnote 4:  - 
Source 1: Z_ESTAT - Eurostat
Source 2:  - 
Source 3:  - 
</t>
        </r>
      </text>
    </comment>
    <comment ref="V8" authorId="1" shapeId="0" xr:uid="{E05D6245-143C-4969-A7D1-B1C3C63CEE57}">
      <text>
        <r>
          <rPr>
            <sz val="9"/>
            <color indexed="81"/>
            <rFont val="Segoe UI"/>
            <family val="2"/>
          </rPr>
          <t xml:space="preserve">ID: 961
Label: czp2xea
Database: wiiw Monthly Database - Public
Status: active
Calculation: 
Calculation_M: 
Calculation_Q: m-&gt;q AVG(L_czp2xea&gt;mdb)
Calculation_A: q-&gt;a AVG(L_czp2xea&gt;mdb)
Periodicity: Q
Data available M: 1991m1 - 2023m12
Data available Q: 1991q1 - 2023q4
Data available A: 1991 - 2023
Text 99: 
Automatic update period: 1999|2015
Time shift: 
Note: 
Reporter: CZ - Czechia
Chapter 1: 11_FF - Foreign finance
Indicator: SC1107 - Exchange rate nominal
Unit: 07_Exch_12 - NCU/EUR, period average
Footnote 1: FZZ21 - Up to December 1998 ECU.
Footnote 2:  - 
Footnote 3:  - 
Footnote 4:  - 
Source 1: Z_ESTAT - Eurostat
Source 2: QCZ2 - Czech National Bank
Source 3:  - 
</t>
        </r>
      </text>
    </comment>
    <comment ref="W8" authorId="1" shapeId="0" xr:uid="{7CB071CC-19C0-42CC-9EF0-DB54274438A9}">
      <text>
        <r>
          <rPr>
            <sz val="9"/>
            <color indexed="81"/>
            <rFont val="Segoe UI"/>
            <family val="2"/>
          </rPr>
          <t xml:space="preserve">ID: 32207
Label: cza1211tscx
Database: wiiw Monthly Database - Public
Status: active
Calculation: SubScal(L_cza1211tscx&gt;mdb,100)
Calculation_M: CPPY=100(L_cza1211tsa&gt;mdb)
Calculation_Q: CPPY=100(L_cza1211tsa&gt;mdb)
Calculation_A: CPPY=100(L_cza1211tsa&gt;mdb)
Periodicity: Q
Data available M: 2001m1 - 2023m11
Data available Q: 2001q1 - 2023q3
Data available A: 2001 - 2022
Text 99: 
Automatic update period: 1999|2015
Time shift: 
Note: 
Reporter: CZ - Czechia
Chapter 1: 04_PROD - Production
Indicator: SC0401 - Industrial output (BCD - NACE Rev. 2)
Unit: 05_Ireal_32 - index real, corresponding period of previous year = 100
Footnote 1:  - 
Footnote 2:  - 
Footnote 3:  - 
Footnote 4:  - 
Source 1: Z_ESTAT - Eurostat
Source 2: Z_wiiw - wiiw
Source 3:  - 
</t>
        </r>
      </text>
    </comment>
    <comment ref="X8" authorId="1" shapeId="0" xr:uid="{2B549A58-FFBA-4EF0-815F-DFCA31FF747E}">
      <text>
        <r>
          <rPr>
            <sz val="9"/>
            <color indexed="81"/>
            <rFont val="Segoe UI"/>
            <family val="2"/>
          </rPr>
          <t xml:space="preserve">ID: 87256
Label: czlago2e_q
Database: wiiw Monthly Database - Hidden
Status: active
Calculation: SubScal(CPPY=100(AddNull(L_czlago2e_q&gt;mdb,L_czlase2e_q&gt;mdb)),100)
Calculation_M: q-&gt;m EOP(L_czlago2e_q&gt;mdb)
Calculation_Q: 
Calculation_A: Q-&gt;A CUMPER(L_czlago2e_q&gt;mdb)
Periodicity: Q
Data available M: 2008m3 - 2023m9
Data available Q: 2008q1 - 2023q3
Data available A: 2008 - 2022
Text 99: 
Automatic update period: 1999|2015
Time shift: 
Note: 
Reporter: CZ - Czechia
Chapter 1: 11_FF - Foreign finance
Indicator: SC1111 - 1.A.a. Goods exports, fob, credit
Unit: 01_Curr_23 - EUR m
Footnote 1: FZZ80 - Based on BPM6.
Footnote 2:  - 
Footnote 3:  - 
Footnote 4:  - 
Source 1: Z_ESTAT - Eurostat
Source 2: QCZ2 - Czech National Bank
Source 3:  - 
</t>
        </r>
      </text>
    </comment>
    <comment ref="Y8" authorId="1" shapeId="0" xr:uid="{A8D77571-A196-42F0-B4E8-4B98AE315D7D}">
      <text>
        <r>
          <rPr>
            <sz val="9"/>
            <color indexed="81"/>
            <rFont val="Segoe UI"/>
            <family val="2"/>
          </rPr>
          <t xml:space="preserve">ID: 87293
Label: czlago3e_q
Database: wiiw Monthly Database - Hidden
Status: active
Calculation: SubScal(CPPY=100(AddNull(L_czlago3e_q&gt;mdb,L_czlase3e_q&gt;mdb)),100)
Calculation_M: q-&gt;m EOP(L_czlago3e_q&gt;mdb)
Calculation_Q: 
Calculation_A: Q-&gt;A CUMPER(L_czlago3e_q&gt;mdb)
Periodicity: Q
Data available M: 2008m3 - 2023m9
Data available Q: 2008q1 - 2023q3
Data available A: 2008 - 2022
Text 99: 
Automatic update period: 1999|2015
Time shift: 
Note: 
Reporter: CZ - Czechia
Chapter 1: 11_FF - Foreign finance
Indicator: SC1112 - 1.A.a. Goods imports, fob, debit
Unit: 01_Curr_23 - EUR m
Footnote 1: FZZ80 - Based on BPM6.
Footnote 2:  - 
Footnote 3:  - 
Footnote 4:  - 
Source 1: Z_ESTAT - Eurostat
Source 2: QCZ2 - Czech National Bank
Source 3:  - 
</t>
        </r>
      </text>
    </comment>
    <comment ref="Z8" authorId="1" shapeId="0" xr:uid="{24CEA1C2-FFB7-4BC3-81A6-32AA1A34086F}">
      <text>
        <r>
          <rPr>
            <sz val="9"/>
            <color indexed="81"/>
            <rFont val="Segoe UI"/>
            <family val="2"/>
          </rPr>
          <t xml:space="preserve">ID: 88726
Label: czlacaepx_q
Database: wiiw Monthly Database - Public
Status: active
Calculation: 
Calculation_M: Q-&gt;M EOP(L_czlacaepx_q&gt;mdb)
Calculation_Q: Share(L_czlacaen_q&gt;mdb,Div(L_czg11tn_q&gt;mdb,L_czp2xea&gt;mdb))
Calculation_A: Share(L_czlacaen_q&gt;mdb,Div(L_czg11tn_q&gt;mdb,L_czp2xea&gt;mdb))
Periodicity: Q
Data available M: 1995m3 - 2023m9
Data available Q: 1995q1 - 2023q3
Data available A: 1995 - 2022
Text 99: 
Automatic update period: 1999|2015
Time shift: 
Note: 
Reporter: CZ - Czechia
Chapter 1: 11_FF - Foreign finance
Indicator: SC1101 - Current account
Unit: 09_Share_%gdp - in % of GDP
Footnote 1: FZZ55 - From 2008 based on BPM6.
Footnote 2:  - 
Footnote 3:  - 
Footnote 4:  - 
Source 1: Z_ESTAT - Eurostat
Source 2: QCZ2 - Czech National Bank
Source 3: Z_wiiw - wiiw
</t>
        </r>
      </text>
    </comment>
    <comment ref="AA8" authorId="1" shapeId="0" xr:uid="{CCEC661B-DF4A-4952-B615-B45745EA0D3A}">
      <text>
        <r>
          <rPr>
            <sz val="9"/>
            <color indexed="81"/>
            <rFont val="Segoe UI"/>
            <family val="2"/>
          </rPr>
          <t xml:space="preserve">ID: 90338
Label: czg222px_q
Database: wiiw Monthly Database - Public
Status: active
Calculation: AddNull(L_czg222px_q&gt;mdb,L_czg22zpx_q&gt;mdb)
Calculation_M: Q-&gt;M EOP(L_czg222px_q&gt;mdb)
Calculation_Q: Share(L_czg222n_q&gt;mdb,L_czg11tzn_q&gt;mdb)
Calculation_A: Share(L_czg222n_q&gt;mdb,L_czg11tzn_q&gt;mdb)
Periodicity: Q
Data available M: 1995m3 - 2023m9
Data available Q: 1995q1 - 2023q3
Data available A: 1995 - 2022
Text 99: 
Automatic update period: 1999|2015
Time shift: 
Note: 
Reporter: CZ - Czechia
Chapter 1: 02_NA - National accounts
Indicator: SC0212 - Household final consumption expenditure
Unit: 09_Share_%gdp - in % of GDP
Footnote 1:  - 
Footnote 2:  - 
Footnote 3:  - 
Footnote 4:  - 
Source 1: Z_ESTAT - Eurostat
Source 2: Z_wiiw - wiiw
Source 3:  - 
</t>
        </r>
      </text>
    </comment>
    <comment ref="AB8" authorId="1" shapeId="0" xr:uid="{2A2E7273-ED8F-4344-9E93-F94378F1AD03}">
      <text>
        <r>
          <rPr>
            <sz val="9"/>
            <color indexed="81"/>
            <rFont val="Segoe UI"/>
            <family val="2"/>
          </rPr>
          <t xml:space="preserve">ID: 90382
Label: czg223px_q
Database: wiiw Monthly Database - Public
Status: active
Calculation: 
Calculation_M: Q-&gt;M EOP(L_czg223px_q&gt;mdb)
Calculation_Q: Share(L_czg223n_q&gt;mdb,L_czg11tzn_q&gt;mdb)
Calculation_A: Share(L_czg223n_q&gt;mdb,L_czg11tzn_q&gt;mdb)
Periodicity: Q
Data available M: 1995m3 - 2023m9
Data available Q: 1995q1 - 2023q3
Data available A: 1995 - 2022
Text 99: 
Automatic update period: 1999|2015
Time shift: 
Note: 
Reporter: CZ - Czechia
Chapter 1: 02_NA - National accounts
Indicator: SC0214 - Government final consumption expenditure
Unit: 09_Share_%gdp - in % of GDP
Footnote 1:  - 
Footnote 2:  - 
Footnote 3:  - 
Footnote 4:  - 
Source 1: Z_ESTAT - Eurostat
Source 2: Z_wiiw - wiiw
Source 3:  - 
</t>
        </r>
      </text>
    </comment>
    <comment ref="AC8" authorId="1" shapeId="0" xr:uid="{7A00F0B5-336C-489F-86A5-744DB59FEB1A}">
      <text>
        <r>
          <rPr>
            <sz val="9"/>
            <color indexed="81"/>
            <rFont val="Segoe UI"/>
            <family val="2"/>
          </rPr>
          <t xml:space="preserve">ID: 90404
Label: czg224px_q
Database: wiiw Monthly Database - Public
Status: active
Calculation: 
Calculation_M: Q-&gt;M EOP(L_czg224px_q&gt;mdb)
Calculation_Q: Share(L_czg224n_q&gt;mdb,L_czg11tzn_q&gt;mdb)
Calculation_A: Share(L_czg224n_q&gt;mdb,L_czg11tzn_q&gt;mdb)
Periodicity: Q
Data available M: 1995m3 - 2023m9
Data available Q: 1995q1 - 2023q3
Data available A: 1995 - 2022
Text 99: 
Automatic update period: 1999|2015
Time shift: 
Note: 
Reporter: CZ - Czechia
Chapter 1: 02_NA - National accounts
Indicator: SC0217 - Gross capital formation
Unit: 09_Share_%gdp - in % of GDP
Footnote 1:  - 
Footnote 2:  - 
Footnote 3:  - 
Footnote 4:  - 
Source 1: Z_ESTAT - Eurostat
Source 2: Z_wiiw - wiiw
Source 3:  - 
</t>
        </r>
      </text>
    </comment>
    <comment ref="AD8" authorId="1" shapeId="0" xr:uid="{09C21224-1FF8-4771-A6C4-64CE157E0932}">
      <text>
        <r>
          <rPr>
            <sz val="9"/>
            <color indexed="81"/>
            <rFont val="Segoe UI"/>
            <family val="2"/>
          </rPr>
          <t xml:space="preserve">ID: 90492
Label: czg228px_q
Database: wiiw Monthly Database - Public
Status: active
Calculation: 
Calculation_M: Q-&gt;M EOP(L_czg228px_q&gt;mdb)
Calculation_Q: Share(L_czg228n_q&gt;mdb,L_czg11tzn_q&gt;mdb)
Calculation_A: Share(L_czg228n_q&gt;mdb,L_czg11tzn_q&gt;mdb)
Periodicity: Q
Data available M: 1995m3 - 2023m9
Data available Q: 1995q1 - 2023q3
Data available A: 1995 - 2022
Text 99: 
Automatic update period: 1999|2015
Time shift: 
Note: 
Reporter: CZ - Czechia
Chapter 1: 02_NA - National accounts
Indicator: SC0221 - Exports of goods and services
Unit: 09_Share_%gdp - in % of GDP
Footnote 1:  - 
Footnote 2:  - 
Footnote 3:  - 
Footnote 4:  - 
Source 1: Z_ESTAT - Eurostat
Source 2: Z_wiiw - wiiw
Source 3:  - 
</t>
        </r>
      </text>
    </comment>
    <comment ref="AE8" authorId="1" shapeId="0" xr:uid="{91DC5789-CECC-469C-B1CA-08B0F3625225}">
      <text>
        <r>
          <rPr>
            <sz val="9"/>
            <color indexed="81"/>
            <rFont val="Segoe UI"/>
            <family val="2"/>
          </rPr>
          <t xml:space="preserve">ID: 90514
Label: czg229px_q
Database: wiiw Monthly Database - Public
Status: active
Calculation: 
Calculation_M: Q-&gt;M EOP(L_czg229px_q&gt;mdb)
Calculation_Q: Share(L_czg229n_q&gt;mdb,L_czg11tzn_q&gt;mdb)
Calculation_A: Share(L_czg229n_q&gt;mdb,L_czg11tzn_q&gt;mdb)
Periodicity: Q
Data available M: 1995m3 - 2023m9
Data available Q: 1995q1 - 2023q3
Data available A: 1995 - 2022
Text 99: 
Automatic update period: 1999|2015
Time shift: 
Note: 
Reporter: CZ - Czechia
Chapter 1: 02_NA - National accounts
Indicator: SC0222 - Imports of goods and services
Unit: 09_Share_%gdp - in % of GDP
Footnote 1:  - 
Footnote 2:  - 
Footnote 3:  - 
Footnote 4:  - 
Source 1: Z_ESTAT - Eurostat
Source 2: Z_wiiw - wiiw
Source 3:  - 
</t>
        </r>
      </text>
    </comment>
    <comment ref="AF8" authorId="1" shapeId="0" xr:uid="{D553F80F-E2FC-40A2-A53C-380AF39E8FC1}">
      <text>
        <r>
          <rPr>
            <sz val="9"/>
            <color indexed="81"/>
            <rFont val="Segoe UI"/>
            <family val="2"/>
          </rPr>
          <t xml:space="preserve">ID: 89612
Label: czfls14scx
Database: wiiw Monthly Database - Public
Status: active
Calculation: SubScal(L_czfls14scx&gt;mdb,100)
Calculation_M: CPPY=100(L_czfls14e&gt;mdb)
Calculation_Q: M-&gt;Q EOP(L_czfls14scx&gt;mdb)
Calculation_A: Q-&gt;A EOP(L_czfls14scx&gt;mdb)
Periodicity: Q
Data available M: 2001m1 - 2023m10
Data available Q: 2001q1 - 2023q3
Data available A: 2001 - 2022
Text 99: 
Automatic update period: 1999|2015
Time shift: 
Note: 
Reporter: CZ - Czechia
Chapter 1: 10_DF - Domestic finance
Indicator: SC1066 - Loans households (S14)
Unit: 04_Inom_32 - index nominal, corresponding period of previous year = 100
Footnote 1: FZZ70 - Including NPISHs (S15).
Footnote 2:  - 
Footnote 3:  - 
Footnote 4:  - 
Source 1: QCZ2 - Czech National Bank
Source 2: Z_wiiw - wiiw
Source 3:  - 
</t>
        </r>
      </text>
    </comment>
    <comment ref="AG8" authorId="1" shapeId="0" xr:uid="{3EF5FAA6-CC79-44F6-84AD-89293718526E}">
      <text>
        <r>
          <rPr>
            <sz val="9"/>
            <color indexed="81"/>
            <rFont val="Segoe UI"/>
            <family val="2"/>
          </rPr>
          <t xml:space="preserve">ID: 144763
Label: czbgdtpx_help_q
Database: wiiw Monthly Database - Hidden
Status: active
Calculation: 
Calculation_M: q-&gt;m EOP(L_czbgdtpx_help_q&gt;mdb)
Calculation_Q: Share(L_czbgdtn_help_q&gt;mdb,L_czg11tnx_help_q&gt;mdb)
Calculation_A: q-&gt;a EOP(L_czbgdtpx_help_q&gt;mdb)
Periodicity: Q
Data available M: 2000m3 - 2023m9
Data available Q: 2000q1 - 2023q3
Data available A: 2000 - 2022
Text 99: 
Automatic update period: 1999|2015
Time shift: 
Note: 
Reporter: CZ - Czechia
Chapter 1: 10_DF - Domestic finance
Indicator: SC1009 - General government gross debt, total
Unit: 09_Share_%gdp - in % of GDP
Footnote 1:  - 
Footnote 2:  - 
Footnote 3:  - 
Footnote 4:  - 
Source 1: Z_ESTAT - Eurostat
Source 2: Z_wiiw - wiiw
Source 3:  - 
</t>
        </r>
      </text>
    </comment>
    <comment ref="G101" authorId="0" shapeId="0" xr:uid="{A9F5C639-72FE-4D6C-A41E-16FEFA104DAE}">
      <text>
        <r>
          <rPr>
            <b/>
            <sz val="9"/>
            <color indexed="81"/>
            <rFont val="Tahoma"/>
            <family val="2"/>
          </rPr>
          <t>BJ:</t>
        </r>
        <r>
          <rPr>
            <sz val="9"/>
            <color indexed="81"/>
            <rFont val="Tahoma"/>
            <family val="2"/>
          </rPr>
          <t xml:space="preserve">
from the budget for 2022</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BJ</author>
    <author>Alexandra Bykova</author>
  </authors>
  <commentList>
    <comment ref="B1" authorId="0" shapeId="0" xr:uid="{95257D5D-E316-4670-B45E-DA294AC5247F}">
      <text>
        <r>
          <rPr>
            <b/>
            <sz val="9"/>
            <color indexed="81"/>
            <rFont val="Tahoma"/>
            <family val="2"/>
          </rPr>
          <t>BJ:</t>
        </r>
        <r>
          <rPr>
            <sz val="9"/>
            <color indexed="81"/>
            <rFont val="Tahoma"/>
            <family val="2"/>
          </rPr>
          <t xml:space="preserve">
EU 27, seasonally and calendar adjusted
Eurostat</t>
        </r>
      </text>
    </comment>
    <comment ref="C1" authorId="0" shapeId="0" xr:uid="{DC24B13D-E11B-407D-8170-8F18B7FB385D}">
      <text>
        <r>
          <rPr>
            <b/>
            <sz val="9"/>
            <color indexed="81"/>
            <rFont val="Tahoma"/>
            <family val="2"/>
          </rPr>
          <t>BJ:</t>
        </r>
        <r>
          <rPr>
            <sz val="9"/>
            <color indexed="81"/>
            <rFont val="Tahoma"/>
            <family val="2"/>
          </rPr>
          <t xml:space="preserve">
Eurostat</t>
        </r>
      </text>
    </comment>
    <comment ref="D1" authorId="0" shapeId="0" xr:uid="{53D4EF7D-6F41-4DAA-BEFF-466E5C55C935}">
      <text>
        <r>
          <rPr>
            <b/>
            <sz val="9"/>
            <color indexed="81"/>
            <rFont val="Tahoma"/>
            <family val="2"/>
          </rPr>
          <t>BJ:</t>
        </r>
        <r>
          <rPr>
            <sz val="9"/>
            <color indexed="81"/>
            <rFont val="Tahoma"/>
            <family val="2"/>
          </rPr>
          <t xml:space="preserve">
EU changing composition
Eurostat</t>
        </r>
      </text>
    </comment>
    <comment ref="E1" authorId="0" shapeId="0" xr:uid="{27198120-146F-4E2A-88DC-AF23A3940B24}">
      <text>
        <r>
          <rPr>
            <b/>
            <sz val="9"/>
            <color indexed="81"/>
            <rFont val="Tahoma"/>
            <family val="2"/>
          </rPr>
          <t>BJ:</t>
        </r>
        <r>
          <rPr>
            <sz val="9"/>
            <color indexed="81"/>
            <rFont val="Tahoma"/>
            <family val="2"/>
          </rPr>
          <t xml:space="preserve">
ECB</t>
        </r>
      </text>
    </comment>
    <comment ref="F1" authorId="0" shapeId="0" xr:uid="{702ED7D4-2198-4491-963B-DF2246AC6A1A}">
      <text>
        <r>
          <rPr>
            <b/>
            <sz val="9"/>
            <color indexed="81"/>
            <rFont val="Tahoma"/>
            <family val="2"/>
          </rPr>
          <t>BJ:</t>
        </r>
        <r>
          <rPr>
            <sz val="9"/>
            <color indexed="81"/>
            <rFont val="Tahoma"/>
            <family val="2"/>
          </rPr>
          <t xml:space="preserve">
Crude oil, average, from WB pink sheets</t>
        </r>
      </text>
    </comment>
    <comment ref="G1" authorId="0" shapeId="0" xr:uid="{4E7C5A82-8BEC-4A3D-B83A-340ABB758D3B}">
      <text>
        <r>
          <rPr>
            <sz val="9"/>
            <color indexed="81"/>
            <rFont val="Tahoma"/>
            <family val="2"/>
          </rPr>
          <t>General gov, nominal yoy growth, in NCU
wiiw</t>
        </r>
      </text>
    </comment>
    <comment ref="H1" authorId="0" shapeId="0" xr:uid="{D85BDFBD-8A2D-497E-B54E-61B50A6E4565}">
      <text>
        <r>
          <rPr>
            <b/>
            <sz val="9"/>
            <color indexed="81"/>
            <rFont val="Tahoma"/>
            <family val="2"/>
          </rPr>
          <t>BJ:</t>
        </r>
        <r>
          <rPr>
            <sz val="9"/>
            <color indexed="81"/>
            <rFont val="Tahoma"/>
            <family val="2"/>
          </rPr>
          <t xml:space="preserve">
General gov. budget - revenues NCU m (incl. 'euro fixed' series)
wiiw</t>
        </r>
      </text>
    </comment>
    <comment ref="I1" authorId="0" shapeId="0" xr:uid="{98870396-6AD4-4982-BA41-119A084F6B52}">
      <text>
        <r>
          <rPr>
            <b/>
            <sz val="9"/>
            <color indexed="81"/>
            <rFont val="Tahoma"/>
            <family val="2"/>
          </rPr>
          <t>BJ:</t>
        </r>
        <r>
          <rPr>
            <sz val="9"/>
            <color indexed="81"/>
            <rFont val="Tahoma"/>
            <family val="2"/>
          </rPr>
          <t xml:space="preserve">
General gov. budget - balance
 in % of GDP
wiiw</t>
        </r>
      </text>
    </comment>
    <comment ref="J1" authorId="0" shapeId="0" xr:uid="{E14D1752-C41F-44F0-8FC8-9BD378F425E6}">
      <text>
        <r>
          <rPr>
            <b/>
            <sz val="9"/>
            <color indexed="81"/>
            <rFont val="Tahoma"/>
            <family val="2"/>
          </rPr>
          <t>BJ:</t>
        </r>
        <r>
          <rPr>
            <sz val="9"/>
            <color indexed="81"/>
            <rFont val="Tahoma"/>
            <family val="2"/>
          </rPr>
          <t xml:space="preserve">
For all GDP: 
NCU m, 2015 reference prices (prev. year prices, incl. 'euro fixed' series)
wiiw</t>
        </r>
      </text>
    </comment>
    <comment ref="K1" authorId="0" shapeId="0" xr:uid="{88ADBC1D-F52A-4FB3-8CC7-293E47C5E68D}">
      <text>
        <r>
          <rPr>
            <b/>
            <sz val="9"/>
            <color indexed="81"/>
            <rFont val="Tahoma"/>
            <family val="2"/>
          </rPr>
          <t>BJ:</t>
        </r>
        <r>
          <rPr>
            <sz val="9"/>
            <color indexed="81"/>
            <rFont val="Tahoma"/>
            <family val="2"/>
          </rPr>
          <t xml:space="preserve">
Households + NPISH
Only Households</t>
        </r>
      </text>
    </comment>
    <comment ref="M1" authorId="0" shapeId="0" xr:uid="{04702B4B-9EE9-484B-8A9D-44828B3383E0}">
      <text>
        <r>
          <rPr>
            <b/>
            <sz val="9"/>
            <color indexed="81"/>
            <rFont val="Tahoma"/>
            <family val="2"/>
          </rPr>
          <t>BJ:</t>
        </r>
        <r>
          <rPr>
            <sz val="9"/>
            <color indexed="81"/>
            <rFont val="Tahoma"/>
            <family val="2"/>
          </rPr>
          <t xml:space="preserve">
Gross capital formation</t>
        </r>
      </text>
    </comment>
    <comment ref="P1" authorId="0" shapeId="0" xr:uid="{4D247BD0-E5F8-4EFE-A604-E7768F798FC2}">
      <text>
        <r>
          <rPr>
            <b/>
            <sz val="9"/>
            <color indexed="81"/>
            <rFont val="Tahoma"/>
            <family val="2"/>
          </rPr>
          <t>Employment, LFS, thousand persons
wiiw</t>
        </r>
      </text>
    </comment>
    <comment ref="Q1" authorId="0" shapeId="0" xr:uid="{8D44DFA1-86BE-40DA-926B-8EF0122A763D}">
      <text>
        <r>
          <rPr>
            <b/>
            <sz val="9"/>
            <color indexed="81"/>
            <rFont val="Tahoma"/>
            <family val="2"/>
          </rPr>
          <t>Unemployment, LFS, thousand persons
wiiw</t>
        </r>
      </text>
    </comment>
    <comment ref="R1" authorId="0" shapeId="0" xr:uid="{BF938A24-E217-4536-B9FB-5D2C3CA42393}">
      <text>
        <r>
          <rPr>
            <b/>
            <sz val="9"/>
            <color indexed="81"/>
            <rFont val="Tahoma"/>
            <family val="2"/>
          </rPr>
          <t>Unemployment, LFS, in %
wiiw</t>
        </r>
      </text>
    </comment>
    <comment ref="S1" authorId="0" shapeId="0" xr:uid="{801C3763-6061-466B-A687-588D3F9172C8}">
      <text>
        <r>
          <rPr>
            <sz val="9"/>
            <color indexed="81"/>
            <rFont val="Tahoma"/>
            <family val="2"/>
          </rPr>
          <t>Average monthly gross wages total, 
national currency (incl. 'euro fixed' series), yoy growth
wiiw</t>
        </r>
      </text>
    </comment>
    <comment ref="T1" authorId="0" shapeId="0" xr:uid="{91623EE3-DDA4-4C8E-A742-C2704E81BA8F}">
      <text>
        <r>
          <rPr>
            <b/>
            <sz val="9"/>
            <color indexed="81"/>
            <rFont val="Tahoma"/>
            <family val="2"/>
          </rPr>
          <t>BJ:</t>
        </r>
        <r>
          <rPr>
            <sz val="9"/>
            <color indexed="81"/>
            <rFont val="Tahoma"/>
            <family val="2"/>
          </rPr>
          <t xml:space="preserve">
Central bank policy rate, nominal
wiiw</t>
        </r>
      </text>
    </comment>
    <comment ref="U1" authorId="0" shapeId="0" xr:uid="{2E9F036A-8390-49FB-A31A-D639B369E871}">
      <text>
        <r>
          <rPr>
            <b/>
            <sz val="9"/>
            <color indexed="81"/>
            <rFont val="Tahoma"/>
            <family val="2"/>
          </rPr>
          <t>BJ:</t>
        </r>
        <r>
          <rPr>
            <sz val="9"/>
            <color indexed="81"/>
            <rFont val="Tahoma"/>
            <family val="2"/>
          </rPr>
          <t xml:space="preserve">
Consumer prices index, monthly average, 2015 = 100
wiiw</t>
        </r>
      </text>
    </comment>
    <comment ref="V1" authorId="0" shapeId="0" xr:uid="{A60E8AB7-3001-45AF-89AF-9EB01CE08F73}">
      <text>
        <r>
          <rPr>
            <b/>
            <sz val="9"/>
            <color indexed="81"/>
            <rFont val="Tahoma"/>
            <family val="2"/>
          </rPr>
          <t>BJ:</t>
        </r>
        <r>
          <rPr>
            <sz val="9"/>
            <color indexed="81"/>
            <rFont val="Tahoma"/>
            <family val="2"/>
          </rPr>
          <t xml:space="preserve">
Exchange rate nominal NCU/EUR, period average
wiiw</t>
        </r>
      </text>
    </comment>
    <comment ref="W1" authorId="0" shapeId="0" xr:uid="{F4C7AC50-FA24-44C2-AE60-6A12CD930960}">
      <text>
        <r>
          <rPr>
            <b/>
            <sz val="9"/>
            <color indexed="81"/>
            <rFont val="Tahoma"/>
            <family val="2"/>
          </rPr>
          <t>BJ:</t>
        </r>
        <r>
          <rPr>
            <sz val="9"/>
            <color indexed="81"/>
            <rFont val="Tahoma"/>
            <family val="2"/>
          </rPr>
          <t xml:space="preserve">
 Industrial output (BCD - NACE Rev. 2), index real, monthly average, 2015 = 100, yoy growth
wiiw</t>
        </r>
      </text>
    </comment>
    <comment ref="X1" authorId="0" shapeId="0" xr:uid="{4B2AD1CA-E390-488A-B0F5-CA8ECF543558}">
      <text>
        <r>
          <rPr>
            <b/>
            <sz val="9"/>
            <color indexed="81"/>
            <rFont val="Tahoma"/>
            <family val="2"/>
          </rPr>
          <t>BJ:</t>
        </r>
        <r>
          <rPr>
            <sz val="9"/>
            <color indexed="81"/>
            <rFont val="Tahoma"/>
            <family val="2"/>
          </rPr>
          <t xml:space="preserve">
Exports total, fob EUR m, yoy growth
wiiw
Alexandra: changed to BOP: exports of goods and services</t>
        </r>
      </text>
    </comment>
    <comment ref="Y1" authorId="0" shapeId="0" xr:uid="{86777D9F-8B83-4E70-8227-F73320DDE45B}">
      <text>
        <r>
          <rPr>
            <b/>
            <sz val="9"/>
            <color indexed="81"/>
            <rFont val="Tahoma"/>
            <family val="2"/>
          </rPr>
          <t>BJ:</t>
        </r>
        <r>
          <rPr>
            <sz val="9"/>
            <color indexed="81"/>
            <rFont val="Tahoma"/>
            <family val="2"/>
          </rPr>
          <t xml:space="preserve">
 Imports total, cif EUR m
wiiw
Alexandra: changed to BOP: imports of goods and services</t>
        </r>
      </text>
    </comment>
    <comment ref="Z1" authorId="0" shapeId="0" xr:uid="{C75978EE-F6D5-4284-A029-A70361B98691}">
      <text>
        <r>
          <rPr>
            <b/>
            <sz val="9"/>
            <color indexed="81"/>
            <rFont val="Tahoma"/>
            <family val="2"/>
          </rPr>
          <t>BJ:</t>
        </r>
        <r>
          <rPr>
            <sz val="9"/>
            <color indexed="81"/>
            <rFont val="Tahoma"/>
            <family val="2"/>
          </rPr>
          <t xml:space="preserve">
Current account in % of GDP
wiiw</t>
        </r>
      </text>
    </comment>
    <comment ref="AA1" authorId="0" shapeId="0" xr:uid="{48D537C3-A95D-4B4E-A5D4-F924B43FB88B}">
      <text>
        <r>
          <rPr>
            <b/>
            <sz val="9"/>
            <color indexed="81"/>
            <rFont val="Tahoma"/>
            <family val="2"/>
          </rPr>
          <t>BJ:</t>
        </r>
        <r>
          <rPr>
            <sz val="9"/>
            <color indexed="81"/>
            <rFont val="Tahoma"/>
            <family val="2"/>
          </rPr>
          <t xml:space="preserve">
Households + NPISH</t>
        </r>
      </text>
    </comment>
    <comment ref="AC1" authorId="0" shapeId="0" xr:uid="{089377EE-E9A2-4550-B9F1-C947CDB82704}">
      <text>
        <r>
          <rPr>
            <b/>
            <sz val="9"/>
            <color indexed="81"/>
            <rFont val="Tahoma"/>
            <family val="2"/>
          </rPr>
          <t>GROSS FIXED CAPITAL FORMATION</t>
        </r>
      </text>
    </comment>
    <comment ref="AF1" authorId="0" shapeId="0" xr:uid="{9A943B07-3DC8-43B9-B2AC-8359684A695D}">
      <text>
        <r>
          <rPr>
            <b/>
            <sz val="9"/>
            <color indexed="81"/>
            <rFont val="Tahoma"/>
            <family val="2"/>
          </rPr>
          <t>BJ:</t>
        </r>
        <r>
          <rPr>
            <sz val="9"/>
            <color indexed="81"/>
            <rFont val="Tahoma"/>
            <family val="2"/>
          </rPr>
          <t xml:space="preserve">
loans to households, nominal, yoy growth rates</t>
        </r>
      </text>
    </comment>
    <comment ref="B8" authorId="1" shapeId="0" xr:uid="{8A1ED99E-5AF2-4329-886B-23D38A5FB75D}">
      <text>
        <r>
          <rPr>
            <sz val="9"/>
            <color indexed="81"/>
            <rFont val="Segoe UI"/>
            <family val="2"/>
          </rPr>
          <t xml:space="preserve">ID: 144396
Label: eug11tscrx_q
Database: wiiw Monthly Database - Hidden
Status: active
Calculation: 
Calculation_M: SubScal(L_eug11tscx_q&gt;mdb,100)
Calculation_Q: SubScal(L_eug11tscx_q&gt;mdb,100)
Calculation_A: SubScal(L_eug11tscx_q&gt;mdb,100)
Periodicity: Q
Data available M: 1996m3 - 2023m9
Data available Q: 1996q1 - 2023q3
Data available A: 1996 - 2022
Text 99: 
Automatic update period: 1999|2015
Time shift: 
Note: 
Reporter: EU27_2020 - EU - 27 countries (from 2020)
Chapter 1: 02_NA - National accounts
Indicator: SC0201 - Gross domestic product total
Unit: 05_Ireal_36 - real growth rate to corresponding period of previous year in %
Footnote 1: FZZ05 - According to ESA'10.
Footnote 2:  - 
Footnote 3:  - 
Footnote 4:  - 
Source 1: Z_ESTAT - Eurostat
Source 2: Z_wiiw - wiiw
Source 3:  - 
</t>
        </r>
      </text>
    </comment>
    <comment ref="C8" authorId="1" shapeId="0" xr:uid="{7A056162-BDE6-41AB-9B11-139653571A5C}">
      <text>
        <r>
          <rPr>
            <sz val="9"/>
            <color indexed="81"/>
            <rFont val="Segoe UI"/>
            <family val="2"/>
          </rPr>
          <t xml:space="preserve">ID: 77811
Label: eup1p1tsa
Database: wiiw Monthly Database - Hidden
Status: active
Calculation: 
Calculation_M: 
Calculation_Q: m-&gt;q AVG(L_eup1p1tsa&gt;mdb)
Calculation_A: q-&gt;a AVG(L_eup1p1tsa&gt;mdb)
Periodicity: Q
Data available M: 1999m1 - 2023m12
Data available Q: 1999q1 - 2023q4
Data available A: 1999 - 2023
Text 99: 
Automatic update period: 1999|2015
Time shift: 
Note: 
Reporter: EU - European Union evolutionary
Chapter 1: 07_PRC - Prices
Indicator: SC0701 - Consumer prices
Unit: 03_I_1_085_15avg - index, monthly average, 2015 = 100
Footnote 1: FZZ40 - Based on HICP (Harmonized Index of Consumer Prices).
Footnote 2:  - 
Footnote 3:  - 
Footnote 4:  - 
Source 1: Z_ESTAT - Eurostat
Source 2:  - 
Source 3:  - 
</t>
        </r>
      </text>
    </comment>
    <comment ref="D8" authorId="1" shapeId="0" xr:uid="{7599D244-3287-4B3B-9B0A-4781386FCEE0}">
      <text>
        <r>
          <rPr>
            <sz val="9"/>
            <color indexed="81"/>
            <rFont val="Segoe UI"/>
            <family val="2"/>
          </rPr>
          <t xml:space="preserve">ID: 77812
Label: eup1p1tscx
Database: wiiw Monthly Database - Hidden
Status: active
Calculation: SubScal(L_eup1p1tscx&gt;mdb,100)
Calculation_M: CPPY=100(L_eup1p1tsa&gt;mdb)
Calculation_Q: CPPY=100(L_eup1p1tsa&gt;mdb)
Calculation_A: CPPY=100(L_eup1p1tsa&gt;mdb)
Periodicity: Q
Data available M: 1992m1 - 2023m12
Data available Q: 1992q1 - 2023q4
Data available A: 1992 - 2023
Text 99: 
Automatic update period: 1999|2015
Time shift: 
Note: 
Reporter: EU - European Union evolutionary
Chapter 1: 07_PRC - Prices
Indicator: SC0701 - Consumer prices
Unit: 03_I_32 - index, corresponding period of previous year = 100
Footnote 1: FZZ40 - Based on HICP (Harmonized Index of Consumer Prices).
Footnote 2:  - 
Footnote 3:  - 
Footnote 4:  - 
Source 1: Z_ESTAT - Eurostat
Source 2: Z_wiiw - wiiw
Source 3:  - 
</t>
        </r>
      </text>
    </comment>
    <comment ref="E8" authorId="1" shapeId="0" xr:uid="{CF71514F-F5D4-406A-A138-AC707A385412}">
      <text>
        <r>
          <rPr>
            <sz val="9"/>
            <color indexed="81"/>
            <rFont val="Segoe UI"/>
            <family val="2"/>
          </rPr>
          <t xml:space="preserve">ID: 144399
Label: eafrr1tp_help
Database: wiiw Monthly Database - Hidden
Status: active
Calculation: 
Calculation_M: L_eafrr1tp&gt;mdb
Calculation_Q: m-&gt;q AVG(L_eafrr1tp&gt;mdb)
Calculation_A: q-&gt;a AVG(L_eafrr1tp&gt;mdb)
Periodicity: Q
Data available M: 1999m1 - 2023m12
Data available Q: 1999q1 - 2023q4
Data available A: 1999 - 2023
Text 99: 
Automatic update period: 1999|2015
Time shift: 
Note: 
Reporter: EA - Euro area evolutionary
Chapter 1: 10_DF - Domestic finance
Indicator: SC1050 - Central bank policy rate
Unit: 06_IntR_6 - % p.a., period average
Footnote 1: FZZ50 - Official refinancing operation rates for euro area (ECB), rate in fixed rate tenders (between June 2000 and September 2008 the minimum bid rate in variable rate tenders was applied).
Footnote 2:  - 
Footnote 3:  - 
Footnote 4:  - 
Source 1: Z_ECB - European Central Bank
Source 2:  - 
Source 3:  - 
</t>
        </r>
      </text>
    </comment>
    <comment ref="F8" authorId="1" shapeId="0" xr:uid="{A17EC7F4-76EB-4CEC-9244-EF3AE0C2A81C}">
      <text>
        <r>
          <rPr>
            <sz val="9"/>
            <color indexed="81"/>
            <rFont val="Segoe UI"/>
            <family val="2"/>
          </rPr>
          <t xml:space="preserve">ID: 101874
Label: usp2oila
Database: wiiw Monthly Database - Hidden
Status: active
Calculation: 
Calculation_M: 
Calculation_Q: M-&gt;Q AVG(L_usp2oila&gt;mdb)
Calculation_A: Q-&gt;A AVG(L_usp2oila&gt;mdb)
Periodicity: Q
Data available M: 1990m1 - 2023m12
Data available Q: 1990q1 - 2023q4
Data available A: 1990 - 2023
Text 99: 
Automatic update period: 1999|2015
Time shift: 
Note: Oil prices  &amp; Europe Brent Spot Price FOB (Dollars per Barrel) &amp; EIA (US) Source of the data. Gespeichert auf die EU&amp;US Karten.
Reporter: US - United States
Chapter 1: 11_FF - Foreign finance
Indicator:  - 
Unit:  - 
Footnote 1:  - 
Footnote 2:  - 
Footnote 3:  - 
Footnote 4:  - 
Source 1:  - 
Source 2:  - 
Source 3:  - 
</t>
        </r>
      </text>
    </comment>
    <comment ref="G8" authorId="1" shapeId="0" xr:uid="{D4BB9757-73FE-409B-A737-228364E36CFF}">
      <text>
        <r>
          <rPr>
            <sz val="9"/>
            <color indexed="81"/>
            <rFont val="Segoe UI"/>
            <family val="2"/>
          </rPr>
          <t xml:space="preserve">ID: 53449
Label: albg21nx
Database: wiiw Monthly Database - Public
Status: active
Calculation: SubScal(CPPY=100(L_albg21nx&gt;mdb),100)
Calculation_M: DeCum(L_albg21nu&gt;mdb)
Calculation_Q: m-&gt;q CumPer(L_albg21nx&gt;mdb)
Calculation_A: q-&gt;a CumPer(L_albg21nx&gt;mdb)
Periodicity: Q
Data available M: 1998m1 - 2023m11
Data available Q: 1998q1 - 2023q3
Data available A: 1998 - 2022
Text 99: 
Automatic update period: 1999|2015
Time shift: 
Note: 
Reporter: AL - Albania
Chapter 1: 10_DF - Domestic finance
Indicator: SC1021 - General gov. budget - expenditures
Unit: 01_Curr_12 - NCU m (incl. 'euro fixed' series)
Footnote 1:  - 
Footnote 2:  - 
Footnote 3:  - 
Footnote 4:  - 
Source 1: QAL2 - Bank of Albania
Source 2: Z_wiiw - wiiw
Source 3:  - 
</t>
        </r>
      </text>
    </comment>
    <comment ref="H8" authorId="1" shapeId="0" xr:uid="{557ED4D1-BA3B-423B-8548-0F40D64CAF33}">
      <text>
        <r>
          <rPr>
            <sz val="9"/>
            <color indexed="81"/>
            <rFont val="Segoe UI"/>
            <family val="2"/>
          </rPr>
          <t xml:space="preserve">ID: 53447
Label: albg11nx
Database: wiiw Monthly Database - Public
Status: active
Calculation: SubScal(CPPY=100(L_albg11nx&gt;mdb),100)
Calculation_M: DeCum(L_albg11nu&gt;mdb)
Calculation_Q: m-&gt;q CumPer(L_albg11nx&gt;mdb)
Calculation_A: q-&gt;a CumPer(L_albg11nx&gt;mdb)
Periodicity: Q
Data available M: 1998m1 - 2023m11
Data available Q: 1998q1 - 2023q3
Data available A: 1998 - 2022
Text 99: 
Automatic update period: 1999|2015
Time shift: 
Note: 
Reporter: AL - Albania
Chapter 1: 10_DF - Domestic finance
Indicator: SC1020 - General gov. budget - revenues
Unit: 01_Curr_12 - NCU m (incl. 'euro fixed' series)
Footnote 1:  - 
Footnote 2:  - 
Footnote 3:  - 
Footnote 4:  - 
Source 1: QAL2 - Bank of Albania
Source 2: Z_wiiw - wiiw
Source 3:  - 
</t>
        </r>
      </text>
    </comment>
    <comment ref="I8" authorId="1" shapeId="0" xr:uid="{54712445-F54B-4B6C-8C1F-2397BAC5C737}">
      <text>
        <r>
          <rPr>
            <sz val="9"/>
            <color indexed="81"/>
            <rFont val="Segoe UI"/>
            <family val="2"/>
          </rPr>
          <t xml:space="preserve">ID: 89220
Label: albg31px_q
Database: wiiw Monthly Database - Public
Status: active
Calculation: 
Calculation_M: Q-&gt;M EOP(L_albg31px_q&gt;mdb)
Calculation_Q: Share(L_albg31nx&gt;mdb,L_alg11tn_q&gt;mdb)
Calculation_A: Share(L_albg31nx&gt;mdb,L_alg11tn_q&gt;mdb)
Periodicity: Q
Data available M: 2008m3 - 2023m9
Data available Q: 2008q1 - 2023q3
Data available A: 2008 - 2022
Text 99: 
Automatic update period: 1999|2015
Time shift: 
Note: 
Reporter: AL - Albania
Chapter 1: 10_DF - Domestic finance
Indicator: SC1022 - General gov. budget - balance
Unit: 09_Share_%gdp - in % of GDP
Footnote 1:  - 
Footnote 2:  - 
Footnote 3:  - 
Footnote 4:  - 
Source 1: QAL2 - Bank of Albania
Source 2: Z_wiiw - wiiw
Source 3:  - 
</t>
        </r>
      </text>
    </comment>
    <comment ref="J8" authorId="1" shapeId="0" xr:uid="{988EB23C-1BDC-46D0-91EF-B042B939D064}">
      <text>
        <r>
          <rPr>
            <sz val="9"/>
            <color indexed="81"/>
            <rFont val="Segoe UI"/>
            <family val="2"/>
          </rPr>
          <t xml:space="preserve">ID: 88616
Label: alg11tr15_q
Database: wiiw Monthly Database - Public
Status: active
Calculation: SubScal(CPPY=100(L_alg11tr15_q&gt;mdb),100)
Calculation_M: q-&gt;m EOP(L_alg11tr15_q&gt;mdb)
Calculation_Q: 
Calculation_A: q-&gt;a CumPer(L_alg11tr15_q&gt;mdb)
Periodicity: Q
Data available M: 2009m3 - 2023m9
Data available Q: 2009q1 - 2023q3
Data available A: 2009 - 2022
Text 99: 
Automatic update period: 1999|2015
Time shift: 
Note: 
Reporter: AL - Albania
Chapter 1: 02_NA - National accounts
Indicator: SC0201 - Gross domestic product total
Unit: 01_Curr_15_085_15_r - NCU m, 2015 reference prices (prev. year prices, incl. 'euro fixed' series)
Footnote 1: FZZ05 - According to ESA'10.
Footnote 2: FZZ90 - wiiw estimates.
Footnote 3:  - 
Footnote 4:  - 
Source 1: Z_ESTAT - Eurostat
Source 2: Z_wiiw - wiiw
Source 3:  - 
</t>
        </r>
      </text>
    </comment>
    <comment ref="K8" authorId="1" shapeId="0" xr:uid="{15F402D9-E369-4DC2-B561-67EC7CE7A97B}">
      <text>
        <r>
          <rPr>
            <sz val="9"/>
            <color indexed="81"/>
            <rFont val="Segoe UI"/>
            <family val="2"/>
          </rPr>
          <t xml:space="preserve">ID: 90862
Label: alg222r15_q
Database: wiiw Monthly Database - Public
Status: active
Calculation: SubScal(CPPY=100(L_alg222r15_q&gt;mdb),100)
Calculation_M: q-&gt;m EOP(L_alg222r15_q&gt;mdb)
Calculation_Q: 
Calculation_A: q-&gt;a CumPer(L_alg222r15_q&gt;mdb)
Periodicity: Q
Data available M: 2009m3 - 2023m9
Data available Q: 2009q1 - 2023q3
Data available A: 2009 - 2022
Text 99: 
Automatic update period: 1999|2015
Time shift: 
Note: 
Reporter: AL - Albania
Chapter 1: 02_NA - National accounts
Indicator: SC0212 - Household final consumption expenditure
Unit: 01_Curr_15_085_15_r - NCU m, 2015 reference prices (prev. year prices, incl. 'euro fixed' series)
Footnote 1: FZZ90 - wiiw estimates.
Footnote 2:  - 
Footnote 3:  - 
Footnote 4:  - 
Source 1: Z_ESTAT - Eurostat
Source 2: Z_wiiw - wiiw
Source 3:  - 
</t>
        </r>
      </text>
    </comment>
    <comment ref="L8" authorId="1" shapeId="0" xr:uid="{AE094998-EA58-4550-981E-72C75188F5C0}">
      <text>
        <r>
          <rPr>
            <sz val="9"/>
            <color indexed="81"/>
            <rFont val="Segoe UI"/>
            <family val="2"/>
          </rPr>
          <t xml:space="preserve">ID: 90906
Label: alg223r15_q
Database: wiiw Monthly Database - Public
Status: active
Calculation: SubScal(CPPY=100(L_alg223r15_q&gt;mdb),100)
Calculation_M: q-&gt;m EOP(L_alg223r15_q&gt;mdb)
Calculation_Q: 
Calculation_A: q-&gt;a CumPer(L_alg223r15_q&gt;mdb)
Periodicity: Q
Data available M: 2009m3 - 2023m9
Data available Q: 2009q1 - 2023q3
Data available A: 2009 - 2022
Text 99: 
Automatic update period: 1999|2015
Time shift: 
Note: 
Reporter: AL - Albania
Chapter 1: 02_NA - National accounts
Indicator: SC0214 - Government final consumption expenditure
Unit: 01_Curr_15_085_15_r - NCU m, 2015 reference prices (prev. year prices, incl. 'euro fixed' series)
Footnote 1: FZZ90 - wiiw estimates.
Footnote 2:  - 
Footnote 3:  - 
Footnote 4:  - 
Source 1: Z_ESTAT - Eurostat
Source 2: Z_wiiw - wiiw
Source 3:  - 
</t>
        </r>
      </text>
    </comment>
    <comment ref="M8" authorId="1" shapeId="0" xr:uid="{08C21822-BB0F-43C3-8276-1E1E7AAD660B}">
      <text>
        <r>
          <rPr>
            <sz val="9"/>
            <color indexed="81"/>
            <rFont val="Segoe UI"/>
            <family val="2"/>
          </rPr>
          <t xml:space="preserve">ID: 90950
Label: alg225r15_q
Database: wiiw Monthly Database - Public
Status: active
Calculation: SubScal(CPPY=100(L_alg225r15_q&gt;mdb),100)
Calculation_M: q-&gt;m EOP(L_alg225r15_q&gt;mdb)
Calculation_Q: 
Calculation_A: q-&gt;a CumPer(L_alg225r15_q&gt;mdb)
Periodicity: Q
Data available M: 2009m3 - 2023m9
Data available Q: 2009q1 - 2023q3
Data available A: 2009 - 2022
Text 99: 
Automatic update period: 1999|2015
Time shift: 
Note: 
Reporter: AL - Albania
Chapter 1: 02_NA - National accounts
Indicator: SC0218 - Gross fixed capital formation
Unit: 01_Curr_15_085_15_r - NCU m, 2015 reference prices (prev. year prices, incl. 'euro fixed' series)
Footnote 1: FZZ90 - wiiw estimates.
Footnote 2:  - 
Footnote 3:  - 
Footnote 4:  - 
Source 1: Z_ESTAT - Eurostat
Source 2: Z_wiiw - wiiw
Source 3:  - 
</t>
        </r>
      </text>
    </comment>
    <comment ref="N8" authorId="1" shapeId="0" xr:uid="{CA9E7CC7-F990-4D02-91A1-DD0D64E79C27}">
      <text>
        <r>
          <rPr>
            <sz val="9"/>
            <color indexed="81"/>
            <rFont val="Segoe UI"/>
            <family val="2"/>
          </rPr>
          <t xml:space="preserve">ID: 90972
Label: alg228r15_q
Database: wiiw Monthly Database - Public
Status: active
Calculation: SubScal(CPPY=100(L_alg228r15_q&gt;mdb),100)
Calculation_M: q-&gt;m EOP(L_alg228r15_q&gt;mdb)
Calculation_Q: 
Calculation_A: q-&gt;a CumPer(L_alg228r15_q&gt;mdb)
Periodicity: Q
Data available M: 2009m3 - 2023m9
Data available Q: 2009q1 - 2023q3
Data available A: 2009 - 2022
Text 99: 
Automatic update period: 1999|2015
Time shift: 
Note: 
Reporter: AL - Albania
Chapter 1: 02_NA - National accounts
Indicator: SC0221 - Exports of goods and services
Unit: 01_Curr_15_085_15_r - NCU m, 2015 reference prices (prev. year prices, incl. 'euro fixed' series)
Footnote 1: FZZ90 - wiiw estimates.
Footnote 2:  - 
Footnote 3:  - 
Footnote 4:  - 
Source 1: Z_ESTAT - Eurostat
Source 2: Z_wiiw - wiiw
Source 3:  - 
</t>
        </r>
      </text>
    </comment>
    <comment ref="O8" authorId="1" shapeId="0" xr:uid="{2DA6096C-FF48-486A-924F-0D1CA8ADE38B}">
      <text>
        <r>
          <rPr>
            <sz val="9"/>
            <color indexed="81"/>
            <rFont val="Segoe UI"/>
            <family val="2"/>
          </rPr>
          <t xml:space="preserve">ID: 90994
Label: alg229r15_q
Database: wiiw Monthly Database - Public
Status: active
Calculation: SubScal(CPPY=100(L_alg229r15_q&gt;mdb),100)
Calculation_M: q-&gt;m EOP(L_alg229r15_q&gt;mdb)
Calculation_Q: 
Calculation_A: q-&gt;a CumPer(L_alg229r15_q&gt;mdb)
Periodicity: Q
Data available M: 2009m3 - 2023m9
Data available Q: 2009q1 - 2023q3
Data available A: 2009 - 2022
Text 99: 
Automatic update period: 1999|2015
Time shift: 
Note: 
Reporter: AL - Albania
Chapter 1: 02_NA - National accounts
Indicator: SC0222 - Imports of goods and services
Unit: 01_Curr_15_085_15_r - NCU m, 2015 reference prices (prev. year prices, incl. 'euro fixed' series)
Footnote 1: FZZ90 - wiiw estimates.
Footnote 2:  - 
Footnote 3:  - 
Footnote 4:  - 
Source 1: Z_ESTAT - Eurostat
Source 2: Z_wiiw - wiiw
Source 3:  - 
</t>
        </r>
      </text>
    </comment>
    <comment ref="P8" authorId="1" shapeId="0" xr:uid="{1507EDF9-5069-477E-A138-08213B1C2C34}">
      <text>
        <r>
          <rPr>
            <sz val="9"/>
            <color indexed="81"/>
            <rFont val="Segoe UI"/>
            <family val="2"/>
          </rPr>
          <t xml:space="preserve">ID: 88599
Label: ale51_ta_q
Database: wiiw Monthly Database - Public
Status: active
Calculation: 
Calculation_M: q-&gt;m EOP(L_ale51_ta_q&gt;mdb)
Calculation_Q: 
Calculation_A: q-&gt;a AVG(L_ale51_ta_q&gt;mdb)
Periodicity: Q
Data available M: 2012m3 - 2023m9
Data available Q: 2012q1 - 2023q3
Data available A: 2012 - 2022
Text 99: 
Automatic update period: 1999|2015
Time shift: 
Note: Age: 15+
Reporter: AL - Albania
Chapter 1: 05_LAB - Labour market
Indicator: SC0501 - Employment, LFS
Unit: 02_Pers_11 - th persons, period average
Footnote 1: FAL09 - According to census October 2011.
Footnote 2:  - 
Footnote 3:  - 
Footnote 4:  - 
Source 1: QAL1 - Institute of Statistics of Albania
Source 2:  - 
Source 3:  - 
</t>
        </r>
      </text>
    </comment>
    <comment ref="Q8" authorId="1" shapeId="0" xr:uid="{E9EB165B-D3D1-4B76-A42B-8C7821F1E590}">
      <text>
        <r>
          <rPr>
            <sz val="9"/>
            <color indexed="81"/>
            <rFont val="Segoe UI"/>
            <family val="2"/>
          </rPr>
          <t xml:space="preserve">ID: 88607
Label: ale5u_ta_q
Database: wiiw Monthly Database - Public
Status: active
Calculation: 
Calculation_M: q-&gt;m EOP(L_ale5u_ta_q&gt;mdb)
Calculation_Q: 
Calculation_A: q-&gt;a AVG(L_ale5u_ta_q&gt;mdb)
Periodicity: Q
Data available M: 2012m3 - 2023m9
Data available Q: 2012q1 - 2023q3
Data available A: 2012 - 2022
Text 99: 
Automatic update period: 1999|2015
Time shift: 
Note: Census 2011.
Reporter: AL - Albania
Chapter 1: 05_LAB - Labour market
Indicator: SC0507 - Unemployment, LFS
Unit: 02_Pers_11 - th persons, period average
Footnote 1:  - 
Footnote 2:  - 
Footnote 3:  - 
Footnote 4:  - 
Source 1: QAL1 - Institute of Statistics of Albania
Source 2:  - 
Source 3:  - 
</t>
        </r>
      </text>
    </comment>
    <comment ref="R8" authorId="1" shapeId="0" xr:uid="{D95DDEAD-5188-4A78-B832-1C44A2101B5D}">
      <text>
        <r>
          <rPr>
            <sz val="9"/>
            <color indexed="81"/>
            <rFont val="Segoe UI"/>
            <family val="2"/>
          </rPr>
          <t xml:space="preserve">ID: 74124
Label: ale5u_tp_q
Database: wiiw Monthly Database - Public
Status: active
Calculation: 
Calculation_M: q-&gt;m EOP(L_ale5u_tp_q&gt;mdb)
Calculation_Q: 
Calculation_A: q-&gt;a AVG(L_ale5u_tp_q&gt;mdb)
Periodicity: Q
Data available M: 2012m3 - 2023m9
Data available Q: 2012q1 - 2023q3
Data available A: 2012 - 2022
Text 99: 
Automatic update period: 1999|2015
Time shift: 
Note: 15+
Reporter: AL - Albania
Chapter 1: 05_LAB - Labour market
Indicator: SC0508 - Unemployment rate, LFS
Unit: 02_Pers_21 - in %, period average
Footnote 1: FAL09 - According to census October 2011.
Footnote 2:  - 
Footnote 3:  - 
Footnote 4:  - 
Source 1: QAL1 - Institute of Statistics of Albania
Source 2:  - 
Source 3:  - 
</t>
        </r>
      </text>
    </comment>
    <comment ref="S8" authorId="1" shapeId="0" xr:uid="{5653C7FE-E090-4110-9665-B2664D10C765}">
      <text>
        <r>
          <rPr>
            <sz val="9"/>
            <color indexed="81"/>
            <rFont val="Segoe UI"/>
            <family val="2"/>
          </rPr>
          <t xml:space="preserve">ID: 59007
Label: alw11_tccx_q
Database: wiiw Monthly Database - Public
Status: active
Calculation: SubScal(L_alw11_tccx_q&gt;mdb,100)
Calculation_M: q-&gt;m EOP(L_alw11_tccx_q&gt;mdb)
Calculation_Q: CPPY=100(L_alw11_tn_q&gt;mdb)
Calculation_A: CPPY=100(L_alw11_tn_q&gt;mdb)
Periodicity: Q
Data available M: 1994m12 - 2023m9
Data available Q: 1994q4 - 2023q3
Data available A: 1999 - 2022
Text 99: 
Automatic update period: 1999|2015
Time shift: 
Note: 
Reporter: AL - Albania
Chapter 1: 06_WS - Wages
Indicator: SC0601 - Average monthly gross wages total
Unit: 04_Inom_32 - index nominal, corresponding period of previous year = 100
Footnote 1: FAL02 - Excluding private sector until 2015.
Footnote 2:  - 
Footnote 3:  - 
Footnote 4:  - 
Source 1: QAL1 - Institute of Statistics of Albania
Source 2: QAL2 - Bank of Albania
Source 3: Z_wiiw - wiiw
</t>
        </r>
      </text>
    </comment>
    <comment ref="T8" authorId="1" shapeId="0" xr:uid="{9F7D8CB4-1BFF-41E0-A9EA-9DAA110E3F73}">
      <text>
        <r>
          <rPr>
            <sz val="9"/>
            <color indexed="81"/>
            <rFont val="Segoe UI"/>
            <family val="2"/>
          </rPr>
          <t xml:space="preserve">ID: 766
Label: alfrr1tp
Database: wiiw Monthly Database - Public
Status: active
Calculation: 
Calculation_M: 
Calculation_Q: m-&gt;q EOP(L_alfrr1tp&gt;mdb)
Calculation_A: q-&gt;a EOP(L_alfrr1tp&gt;mdb)
Periodicity: Q
Data available M: 1992m7 - 2023m12
Data available Q: 1992q3 - 2023q4
Data available A: 1992 - 2023
Text 99: 
Automatic update period: 1999|2015
Time shift: 
Note: Until Jul. 2000 - IMF (Refinancing rate, ---&gt; BoA, Annual Report 1999, p.61 - Graph, Text p. 63)
Reporter: AL - Albania
Chapter 1: 10_DF - Domestic finance
Indicator: SC1050 - Central bank policy rate
Unit: 06_IntR_1 - % p.a., end of period
Footnote 1: FAL06 - One-week repo rate from August 2000, refinancing rate before.
Footnote 2:  - 
Footnote 3:  - 
Footnote 4:  - 
Source 1: QAL2 - Bank of Albania
Source 2:  - 
Source 3:  - 
</t>
        </r>
      </text>
    </comment>
    <comment ref="U8" authorId="1" shapeId="0" xr:uid="{BE80695D-B5ED-4234-8BDB-269B2FACA3B6}">
      <text>
        <r>
          <rPr>
            <sz val="9"/>
            <color indexed="81"/>
            <rFont val="Segoe UI"/>
            <family val="2"/>
          </rPr>
          <t xml:space="preserve">ID: 53476
Label: alp1p1tsax_uni
Database: wiiw Monthly Database - Public
Status: active
Calculation: 
Calculation_M: Index(L_alp1p1tse&gt;mdb,2015)
Calculation_Q: M-&gt;Q AVG(L_alp1p1tsax_uni&gt;mdb)
Calculation_A: Q-&gt;A AVG(L_alp1p1tsax_uni&gt;mdb)
Periodicity: Q
Data available M: 1991m12 - 2023m12
Data available Q: 1992q1 - 2023q4
Data available A: 1992 - 2023
Text 99: 
Automatic update period: 1999|2015
Time shift: 
Note: Unified monthly base index based on original Index December 1993=100
Reporter: AL - Albania
Chapter 1: 07_PRC - Prices
Indicator: SC0701 - Consumer prices
Unit: 03_I_1_085_15avg - index, monthly average, 2015 = 100
Footnote 1:  - 
Footnote 2:  - 
Footnote 3:  - 
Footnote 4:  - 
Source 1: QAL1 - Institute of Statistics of Albania
Source 2:  - 
Source 3:  - 
</t>
        </r>
      </text>
    </comment>
    <comment ref="V8" authorId="1" shapeId="0" xr:uid="{6968563A-C63B-4E65-8E62-49A8F5975F4F}">
      <text>
        <r>
          <rPr>
            <sz val="9"/>
            <color indexed="81"/>
            <rFont val="Segoe UI"/>
            <family val="2"/>
          </rPr>
          <t xml:space="preserve">ID: 972
Label: alp2xea
Database: wiiw Monthly Database - Public
Status: active
Calculation: 
Calculation_M: 
Calculation_Q: m-&gt;q AVG(L_alp2xea&gt;mdb)
Calculation_A: q-&gt;a AVG(L_alp2xea&gt;mdb)
Periodicity: Q
Data available M: 1994m1 - 2023m12
Data available Q: 1994q1 - 2023q4
Data available A: 1994 - 2023
Text 99: 
Automatic update period: 1999|2015
Time shift: 
Note: 
Reporter: AL - Albania
Chapter 1: 11_FF - Foreign finance
Indicator: SC1107 - Exchange rate nominal
Unit: 07_Exch_12 - NCU/EUR, period average
Footnote 1: FZZ21 - Up to December 1998 ECU.
Footnote 2:  - 
Footnote 3:  - 
Footnote 4:  - 
Source 1: QAL2 - Bank of Albania
Source 2:  - 
Source 3:  - 
</t>
        </r>
      </text>
    </comment>
    <comment ref="W8" authorId="1" shapeId="0" xr:uid="{2C634FEC-5133-4028-9536-E21F8A60B12A}">
      <text>
        <r>
          <rPr>
            <sz val="9"/>
            <color indexed="81"/>
            <rFont val="Segoe UI"/>
            <family val="2"/>
          </rPr>
          <t xml:space="preserve">ID: 79763
Label: ala1211tscx_q
Database: wiiw Monthly Database - Public
Status: active
Calculation: SubScal(L_ala1211tscx_q&gt;mdb,100)
Calculation_M: q-&gt;m EOP(L_ala1211tscx_q&gt;mdb)
Calculation_Q: CPPY=100(L_ala1211tsax_q_uni&gt;mdb)
Calculation_A: CPPY=100(L_ala1211tsax_q_uni&gt;mdb)
Periodicity: Q
Data available M: 2007m3 - 2023m9
Data available Q: 2007q1 - 2023q3
Data available A: 2007 - 2022
Text 99: 
Automatic update period: 1999|2015
Time shift: 
Note: 
Reporter: AL - Albania
Chapter 1: 04_PROD - Production
Indicator: SC0401 - Industrial output (BCD - NACE Rev. 2)
Unit: 05_Ireal_42_q - index real, corresponding period of previous year = 100 (quarterly data)
Footnote 1:  - 
Footnote 2:  - 
Footnote 3:  - 
Footnote 4:  - 
Source 1: QAL1 - Institute of Statistics of Albania
Source 2: Z_wiiw - wiiw
Source 3:  - 
</t>
        </r>
      </text>
    </comment>
    <comment ref="X8" authorId="1" shapeId="0" xr:uid="{7ADE9948-A1C7-42A4-A2F1-8A8DB3A03F76}">
      <text>
        <r>
          <rPr>
            <sz val="9"/>
            <color indexed="81"/>
            <rFont val="Segoe UI"/>
            <family val="2"/>
          </rPr>
          <t xml:space="preserve">ID: 87248
Label: allago2e_q
Database: wiiw Monthly Database - Hidden
Status: active
Calculation: SubScal(CPPY=100(AddNull(L_allago2e_q&gt;mdb,L_allase2e_q&gt;mdb)),100)
Calculation_M: Q-&gt;M EOP(L_allago2e_q&gt;mdb)
Calculation_Q: 
Calculation_A: q-&gt;a CumPer(L_allago2e_q&gt;mdb)
Periodicity: Q
Data available M: 2008m3 - 2023m9
Data available Q: 2008q1 - 2023q3
Data available A: 2008 - 2022
Text 99: 
Automatic update period: 1999|2015
Time shift: 
Note: 
Reporter: AL - Albania
Chapter 1: 11_FF - Foreign finance
Indicator: SC1111 - 1.A.a. Goods exports, fob, credit
Unit: 01_Curr_23 - EUR m
Footnote 1: FZZ80 - Based on BPM6.
Footnote 2:  - 
Footnote 3:  - 
Footnote 4:  - 
Source 1: QAL2 - Bank of Albania
Source 2:  - 
Source 3:  - 
</t>
        </r>
      </text>
    </comment>
    <comment ref="Y8" authorId="1" shapeId="0" xr:uid="{2606DD89-F379-4099-8F2E-5728C0E9A275}">
      <text>
        <r>
          <rPr>
            <sz val="9"/>
            <color indexed="81"/>
            <rFont val="Segoe UI"/>
            <family val="2"/>
          </rPr>
          <t xml:space="preserve">ID: 87285
Label: allago3e_q
Database: wiiw Monthly Database - Hidden
Status: active
Calculation: SubScal(CPPY=100(AddNull(L_allago3e_q&gt;mdb,L_allase3e_q&gt;mdb)),100)
Calculation_M: Q-&gt;M EOP(L_allago3e_q&gt;mdb)
Calculation_Q: 
Calculation_A: q-&gt;a CumPer(L_allago3e_q&gt;mdb)
Periodicity: Q
Data available M: 2008m3 - 2023m9
Data available Q: 2008q1 - 2023q3
Data available A: 2008 - 2022
Text 99: 
Automatic update period: 1999|2015
Time shift: 
Note: 
Reporter: AL - Albania
Chapter 1: 11_FF - Foreign finance
Indicator: SC1112 - 1.A.a. Goods imports, fob, debit
Unit: 01_Curr_23 - EUR m
Footnote 1: FZZ80 - Based on BPM6.
Footnote 2:  - 
Footnote 3:  - 
Footnote 4:  - 
Source 1: QAL2 - Bank of Albania
Source 2:  - 
Source 3:  - 
</t>
        </r>
      </text>
    </comment>
    <comment ref="Z8" authorId="1" shapeId="0" xr:uid="{9C2824BE-92A8-4A97-95E6-8047EB02AAE8}">
      <text>
        <r>
          <rPr>
            <sz val="9"/>
            <color indexed="81"/>
            <rFont val="Segoe UI"/>
            <family val="2"/>
          </rPr>
          <t xml:space="preserve">ID: 88720
Label: allacaepx_q
Database: wiiw Monthly Database - Public
Status: active
Calculation: 
Calculation_M: Q-&gt;M EOP(L_allacaepx_q&gt;mdb)
Calculation_Q: Share(L_allacaen_q&gt;mdb,Div(L_alg11tn_q&gt;mdb,L_alp2xea&gt;mdb))
Calculation_A: Share(L_allacaen_q&gt;mdb,Div(L_alg11tn_q&gt;mdb,L_alp2xea&gt;mdb))
Periodicity: Q
Data available M: 2008m3 - 2023m9
Data available Q: 2008q1 - 2023q3
Data available A: 2008 - 2022
Text 99: 
Automatic update period: 1999|2015
Time shift: 
Note: 
Reporter: AL - Albania
Chapter 1: 11_FF - Foreign finance
Indicator: SC1101 - Current account
Unit: 09_Share_%gdp - in % of GDP
Footnote 1: FZZ55 - From 2008 based on BPM6.
Footnote 2:  - 
Footnote 3:  - 
Footnote 4:  - 
Source 1: QAL2 - Bank of Albania
Source 2: Z_wiiw - wiiw
Source 3:  - 
</t>
        </r>
      </text>
    </comment>
    <comment ref="AA8" authorId="1" shapeId="0" xr:uid="{08CB4E3A-7A05-4B20-91E7-68C615F8633B}">
      <text>
        <r>
          <rPr>
            <sz val="9"/>
            <color indexed="81"/>
            <rFont val="Segoe UI"/>
            <family val="2"/>
          </rPr>
          <t xml:space="preserve">ID: 90334
Label: alg222px_q
Database: wiiw Monthly Database - Public
Status: active
Calculation: 
Calculation_M: Q-&gt;M EOP(L_alg222px_q&gt;mdb)
Calculation_Q: Share(L_alg222n_q&gt;mdb,L_alg11tzn_q&gt;mdb)
Calculation_A: Share(L_alg222n_q&gt;mdb,L_alg11tzn_q&gt;mdb)
Periodicity: Q
Data available M: 2008m3 - 2023m9
Data available Q: 2008q1 - 2023q3
Data available A: 2008 - 2022
Text 99: 
Automatic update period: 1999|2015
Time shift: 
Note: 
Reporter: AL - Albania
Chapter 1: 02_NA - National accounts
Indicator: SC0212 - Household final consumption expenditure
Unit: 09_Share_%gdp - in % of GDP
Footnote 1:  - 
Footnote 2:  - 
Footnote 3:  - 
Footnote 4:  - 
Source 1: Z_ESTAT - Eurostat
Source 2: Z_wiiw - wiiw
Source 3:  - 
</t>
        </r>
      </text>
    </comment>
    <comment ref="AB8" authorId="1" shapeId="0" xr:uid="{9BCA0361-7793-42CA-B08B-5C5238878574}">
      <text>
        <r>
          <rPr>
            <sz val="9"/>
            <color indexed="81"/>
            <rFont val="Segoe UI"/>
            <family val="2"/>
          </rPr>
          <t xml:space="preserve">ID: 90378
Label: alg223px_q
Database: wiiw Monthly Database - Public
Status: active
Calculation: 
Calculation_M: Q-&gt;M EOP(L_alg223px_q&gt;mdb)
Calculation_Q: Share(L_alg223n_q&gt;mdb,L_alg11tzn_q&gt;mdb)
Calculation_A: Share(L_alg223n_q&gt;mdb,L_alg11tzn_q&gt;mdb)
Periodicity: Q
Data available M: 2008m3 - 2023m9
Data available Q: 2008q1 - 2023q3
Data available A: 2008 - 2022
Text 99: 
Automatic update period: 1999|2015
Time shift: 
Note: 
Reporter: AL - Albania
Chapter 1: 02_NA - National accounts
Indicator: SC0214 - Government final consumption expenditure
Unit: 09_Share_%gdp - in % of GDP
Footnote 1:  - 
Footnote 2:  - 
Footnote 3:  - 
Footnote 4:  - 
Source 1: Z_ESTAT - Eurostat
Source 2: Z_wiiw - wiiw
Source 3:  - 
</t>
        </r>
      </text>
    </comment>
    <comment ref="AC8" authorId="1" shapeId="0" xr:uid="{B3718432-8D5F-4675-8246-4D32F5A7B789}">
      <text>
        <r>
          <rPr>
            <sz val="9"/>
            <color indexed="81"/>
            <rFont val="Segoe UI"/>
            <family val="2"/>
          </rPr>
          <t xml:space="preserve">ID: 90422
Label: alg225px_q
Database: wiiw Monthly Database - Public
Status: active
Calculation: 
Calculation_M: Q-&gt;M EOP(L_alg225px_q&gt;mdb)
Calculation_Q: Share(L_alg225n_q&gt;mdb,L_alg11tzn_q&gt;mdb)
Calculation_A: Share(L_alg225n_q&gt;mdb,L_alg11tzn_q&gt;mdb)
Periodicity: Q
Data available M: 2008m3 - 2023m9
Data available Q: 2008q1 - 2023q3
Data available A: 2008 - 2022
Text 99: 
Automatic update period: 1999|2015
Time shift: 
Note: 
Reporter: AL - Albania
Chapter 1: 02_NA - National accounts
Indicator: SC0218 - Gross fixed capital formation
Unit: 09_Share_%gdp - in % of GDP
Footnote 1:  - 
Footnote 2:  - 
Footnote 3:  - 
Footnote 4:  - 
Source 1: Z_ESTAT - Eurostat
Source 2: Z_wiiw - wiiw
Source 3:  - 
</t>
        </r>
      </text>
    </comment>
    <comment ref="AD8" authorId="1" shapeId="0" xr:uid="{E40AC7FB-46A0-4346-9D10-B9AE8142A56F}">
      <text>
        <r>
          <rPr>
            <sz val="9"/>
            <color indexed="81"/>
            <rFont val="Segoe UI"/>
            <family val="2"/>
          </rPr>
          <t xml:space="preserve">ID: 90488
Label: alg228px_q
Database: wiiw Monthly Database - Public
Status: active
Calculation: 
Calculation_M: Q-&gt;M EOP(L_alg228px_q&gt;mdb)
Calculation_Q: Share(L_alg228n_q&gt;mdb,L_alg11tzn_q&gt;mdb)
Calculation_A: Share(L_alg228n_q&gt;mdb,L_alg11tzn_q&gt;mdb)
Periodicity: Q
Data available M: 2008m3 - 2023m9
Data available Q: 2008q1 - 2023q3
Data available A: 2008 - 2022
Text 99: 
Automatic update period: 1999|2015
Time shift: 
Note: 
Reporter: AL - Albania
Chapter 1: 02_NA - National accounts
Indicator: SC0221 - Exports of goods and services
Unit: 09_Share_%gdp - in % of GDP
Footnote 1:  - 
Footnote 2:  - 
Footnote 3:  - 
Footnote 4:  - 
Source 1: Z_ESTAT - Eurostat
Source 2: Z_wiiw - wiiw
Source 3:  - 
</t>
        </r>
      </text>
    </comment>
    <comment ref="AE8" authorId="1" shapeId="0" xr:uid="{4BC42F16-8779-4F87-97B8-666BA6FB4121}">
      <text>
        <r>
          <rPr>
            <sz val="9"/>
            <color indexed="81"/>
            <rFont val="Segoe UI"/>
            <family val="2"/>
          </rPr>
          <t xml:space="preserve">ID: 90510
Label: alg229px_q
Database: wiiw Monthly Database - Public
Status: active
Calculation: 
Calculation_M: Q-&gt;M EOP(L_alg229px_q&gt;mdb)
Calculation_Q: Share(L_alg229n_q&gt;mdb,L_alg11tzn_q&gt;mdb)
Calculation_A: Share(L_alg229n_q&gt;mdb,L_alg11tzn_q&gt;mdb)
Periodicity: Q
Data available M: 2008m3 - 2023m9
Data available Q: 2008q1 - 2023q3
Data available A: 2008 - 2022
Text 99: 
Automatic update period: 1999|2015
Time shift: 
Note: 
Reporter: AL - Albania
Chapter 1: 02_NA - National accounts
Indicator: SC0222 - Imports of goods and services
Unit: 09_Share_%gdp - in % of GDP
Footnote 1:  - 
Footnote 2:  - 
Footnote 3:  - 
Footnote 4:  - 
Source 1: Z_ESTAT - Eurostat
Source 2: Z_wiiw - wiiw
Source 3:  - 
</t>
        </r>
      </text>
    </comment>
    <comment ref="AF8" authorId="1" shapeId="0" xr:uid="{81A02B1D-AB81-4144-8F54-614363DE923C}">
      <text>
        <r>
          <rPr>
            <sz val="9"/>
            <color indexed="81"/>
            <rFont val="Segoe UI"/>
            <family val="2"/>
          </rPr>
          <t xml:space="preserve">ID: 89608
Label: alfls14scx
Database: wiiw Monthly Database - Public
Status: active
Calculation: SubScal(L_alfls14scx&gt;mdb,100)
Calculation_M: CPPY=100(L_alfls14e&gt;mdb)
Calculation_Q: M-&gt;Q EOP(L_alfls14scx&gt;mdb)
Calculation_A: Q-&gt;A EOP(L_alfls14scx&gt;mdb)
Periodicity: Q
Data available M: 2004m1 - 2023m11
Data available Q: 2004q1 - 2023q3
Data available A: 2004 - 2022
Text 99: 
Automatic update period: 1999|2015
Time shift: 
Note: 
Reporter: AL - Albania
Chapter 1: 10_DF - Domestic finance
Indicator: SC1066 - Loans households (S14)
Unit: 04_Inom_32 - index nominal, corresponding period of previous year = 100
Footnote 1: FZZ70 - Including NPISHs (S15).
Footnote 2:  - 
Footnote 3:  - 
Footnote 4:  - 
Source 1: QAL2 - Bank of Albania
Source 2: Z_wiiw - wiiw
Source 3:  - 
</t>
        </r>
      </text>
    </comment>
    <comment ref="AG8" authorId="1" shapeId="0" xr:uid="{4F2D7C62-AF8C-413D-9FE7-93E0C822D5DF}">
      <text>
        <r>
          <rPr>
            <sz val="9"/>
            <color indexed="81"/>
            <rFont val="Segoe UI"/>
            <family val="2"/>
          </rPr>
          <t xml:space="preserve">ID: 140879
Label: albgdtpx_help_q
Database: wiiw Monthly Database - Hidden
Status: active
Calculation: 
Calculation_M: Q-&gt;M EOP(L_albgdtpx_help_q&gt;mdb)
Calculation_Q: Share(L_albgdtn_help_q&gt;mdb,L_alg11tnx_help_q&gt;mdb)
Calculation_A: Q-&gt;A EOP(L_albgdtpx_help_q&gt;mdb)
Periodicity: Q
Data available M: 2015m3 - 2023m9
Data available Q: 2015q1 - 2023q3
Data available A: 2015 - 2022
Text 99: 
Automatic update period: 1999|2015
Time shift: 
Note: 
Reporter: AL - Albania
Chapter 1: 10_DF - Domestic finance
Indicator: SC1009 - General government gross debt, total
Unit: 09_Share_%gdp - in % of GDP
Footnote 1:  - 
Footnote 2:  - 
Footnote 3:  - 
Footnote 4:  - 
Source 1: QAL3 - Ministry of Finance of Albania
Source 2: Z_wiiw - wiiw
Source 3:  - 
</t>
        </r>
      </text>
    </comment>
    <comment ref="G101" authorId="0" shapeId="0" xr:uid="{89D3908E-E8D0-455F-939E-77ED9E83DCF1}">
      <text>
        <r>
          <rPr>
            <b/>
            <sz val="9"/>
            <color indexed="81"/>
            <rFont val="Tahoma"/>
            <family val="2"/>
          </rPr>
          <t>BJ:</t>
        </r>
        <r>
          <rPr>
            <sz val="9"/>
            <color indexed="81"/>
            <rFont val="Tahoma"/>
            <family val="2"/>
          </rPr>
          <t xml:space="preserve">
from the budget for 2022</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BJ</author>
    <author>Alexandra Bykova</author>
  </authors>
  <commentList>
    <comment ref="B1" authorId="0" shapeId="0" xr:uid="{CEDF2A21-085C-4C9B-83B1-10645F378D78}">
      <text>
        <r>
          <rPr>
            <b/>
            <sz val="9"/>
            <color indexed="81"/>
            <rFont val="Tahoma"/>
            <family val="2"/>
          </rPr>
          <t>BJ:</t>
        </r>
        <r>
          <rPr>
            <sz val="9"/>
            <color indexed="81"/>
            <rFont val="Tahoma"/>
            <family val="2"/>
          </rPr>
          <t xml:space="preserve">
EU 27, seasonally and calendar adjusted
Eurostat</t>
        </r>
      </text>
    </comment>
    <comment ref="C1" authorId="0" shapeId="0" xr:uid="{81B3FFFD-082C-49D8-9059-5D95F4C31065}">
      <text>
        <r>
          <rPr>
            <b/>
            <sz val="9"/>
            <color indexed="81"/>
            <rFont val="Tahoma"/>
            <family val="2"/>
          </rPr>
          <t>BJ:</t>
        </r>
        <r>
          <rPr>
            <sz val="9"/>
            <color indexed="81"/>
            <rFont val="Tahoma"/>
            <family val="2"/>
          </rPr>
          <t xml:space="preserve">
Eurostat</t>
        </r>
      </text>
    </comment>
    <comment ref="D1" authorId="0" shapeId="0" xr:uid="{574AABE8-0F84-4568-B04B-0B9FF9FE2D77}">
      <text>
        <r>
          <rPr>
            <b/>
            <sz val="9"/>
            <color indexed="81"/>
            <rFont val="Tahoma"/>
            <family val="2"/>
          </rPr>
          <t>BJ:</t>
        </r>
        <r>
          <rPr>
            <sz val="9"/>
            <color indexed="81"/>
            <rFont val="Tahoma"/>
            <family val="2"/>
          </rPr>
          <t xml:space="preserve">
EU changing composition
Eurostat</t>
        </r>
      </text>
    </comment>
    <comment ref="E1" authorId="0" shapeId="0" xr:uid="{1C119347-A659-498D-8144-21E485A84FDA}">
      <text>
        <r>
          <rPr>
            <b/>
            <sz val="9"/>
            <color indexed="81"/>
            <rFont val="Tahoma"/>
            <family val="2"/>
          </rPr>
          <t>BJ:</t>
        </r>
        <r>
          <rPr>
            <sz val="9"/>
            <color indexed="81"/>
            <rFont val="Tahoma"/>
            <family val="2"/>
          </rPr>
          <t xml:space="preserve">
ECB</t>
        </r>
      </text>
    </comment>
    <comment ref="F1" authorId="0" shapeId="0" xr:uid="{1C233EEC-83D6-4BC6-877D-2F6F317BC042}">
      <text>
        <r>
          <rPr>
            <b/>
            <sz val="9"/>
            <color indexed="81"/>
            <rFont val="Tahoma"/>
            <family val="2"/>
          </rPr>
          <t>BJ:</t>
        </r>
        <r>
          <rPr>
            <sz val="9"/>
            <color indexed="81"/>
            <rFont val="Tahoma"/>
            <family val="2"/>
          </rPr>
          <t xml:space="preserve">
Crude oil, average, from WB pink sheets</t>
        </r>
      </text>
    </comment>
    <comment ref="G1" authorId="0" shapeId="0" xr:uid="{B96D9D39-405D-4146-A742-6FABEE4BB663}">
      <text>
        <r>
          <rPr>
            <sz val="9"/>
            <color indexed="81"/>
            <rFont val="Tahoma"/>
            <family val="2"/>
          </rPr>
          <t>General gov, nominal yoy growth, in NCU
wiiw</t>
        </r>
      </text>
    </comment>
    <comment ref="H1" authorId="0" shapeId="0" xr:uid="{3F11FF72-EF48-4A39-9577-728CE9256366}">
      <text>
        <r>
          <rPr>
            <b/>
            <sz val="9"/>
            <color indexed="81"/>
            <rFont val="Tahoma"/>
            <family val="2"/>
          </rPr>
          <t>BJ:</t>
        </r>
        <r>
          <rPr>
            <sz val="9"/>
            <color indexed="81"/>
            <rFont val="Tahoma"/>
            <family val="2"/>
          </rPr>
          <t xml:space="preserve">
General gov. budget - revenues NCU m (incl. 'euro fixed' series)
wiiw</t>
        </r>
      </text>
    </comment>
    <comment ref="I1" authorId="0" shapeId="0" xr:uid="{9AF717EC-733D-4724-929E-9032D9AA580D}">
      <text>
        <r>
          <rPr>
            <b/>
            <sz val="9"/>
            <color indexed="81"/>
            <rFont val="Tahoma"/>
            <family val="2"/>
          </rPr>
          <t>BJ:</t>
        </r>
        <r>
          <rPr>
            <sz val="9"/>
            <color indexed="81"/>
            <rFont val="Tahoma"/>
            <family val="2"/>
          </rPr>
          <t xml:space="preserve">
General gov. budget - balance
 in % of GDP
wiiw</t>
        </r>
      </text>
    </comment>
    <comment ref="J1" authorId="0" shapeId="0" xr:uid="{6BBCDD50-3691-44DF-A5ED-790EF2AF98E7}">
      <text>
        <r>
          <rPr>
            <b/>
            <sz val="9"/>
            <color indexed="81"/>
            <rFont val="Tahoma"/>
            <family val="2"/>
          </rPr>
          <t>BJ:</t>
        </r>
        <r>
          <rPr>
            <sz val="9"/>
            <color indexed="81"/>
            <rFont val="Tahoma"/>
            <family val="2"/>
          </rPr>
          <t xml:space="preserve">
For all GDP: 
NCU m, 2015 reference prices (prev. year prices, incl. 'euro fixed' series)
wiiw</t>
        </r>
      </text>
    </comment>
    <comment ref="K1" authorId="0" shapeId="0" xr:uid="{CFD75F30-B361-4493-8527-AE7908353F8A}">
      <text>
        <r>
          <rPr>
            <b/>
            <sz val="9"/>
            <color indexed="81"/>
            <rFont val="Tahoma"/>
            <family val="2"/>
          </rPr>
          <t>BJ:</t>
        </r>
        <r>
          <rPr>
            <sz val="9"/>
            <color indexed="81"/>
            <rFont val="Tahoma"/>
            <family val="2"/>
          </rPr>
          <t xml:space="preserve">
Households + NPISH
Only Households</t>
        </r>
      </text>
    </comment>
    <comment ref="M1" authorId="0" shapeId="0" xr:uid="{CFA0BDC0-23EB-49DA-9F9E-67418CFD4E21}">
      <text>
        <r>
          <rPr>
            <b/>
            <sz val="9"/>
            <color indexed="81"/>
            <rFont val="Tahoma"/>
            <family val="2"/>
          </rPr>
          <t>BJ:</t>
        </r>
        <r>
          <rPr>
            <sz val="9"/>
            <color indexed="81"/>
            <rFont val="Tahoma"/>
            <family val="2"/>
          </rPr>
          <t xml:space="preserve">
Gross capital formation</t>
        </r>
      </text>
    </comment>
    <comment ref="P1" authorId="0" shapeId="0" xr:uid="{53791459-DA23-4BE8-AFA8-5499CBFA8837}">
      <text>
        <r>
          <rPr>
            <b/>
            <sz val="9"/>
            <color indexed="81"/>
            <rFont val="Tahoma"/>
            <family val="2"/>
          </rPr>
          <t>Employment, LFS, thousand persons
wiiw</t>
        </r>
      </text>
    </comment>
    <comment ref="Q1" authorId="0" shapeId="0" xr:uid="{F5826D9B-58AD-414B-8785-A0F11A334915}">
      <text>
        <r>
          <rPr>
            <b/>
            <sz val="9"/>
            <color indexed="81"/>
            <rFont val="Tahoma"/>
            <family val="2"/>
          </rPr>
          <t>Unemployment, LFS, thousand persons
wiiw</t>
        </r>
      </text>
    </comment>
    <comment ref="R1" authorId="0" shapeId="0" xr:uid="{8A5CAAEE-1000-43B3-A0B8-A9291DABF5CF}">
      <text>
        <r>
          <rPr>
            <b/>
            <sz val="9"/>
            <color indexed="81"/>
            <rFont val="Tahoma"/>
            <family val="2"/>
          </rPr>
          <t>Unemployment, LFS, in %
wiiw</t>
        </r>
      </text>
    </comment>
    <comment ref="S1" authorId="0" shapeId="0" xr:uid="{EEEB813C-14C0-46CB-937A-F5AF02B02F4C}">
      <text>
        <r>
          <rPr>
            <sz val="9"/>
            <color indexed="81"/>
            <rFont val="Tahoma"/>
            <family val="2"/>
          </rPr>
          <t>Average monthly gross wages total, 
national currency (incl. 'euro fixed' series), yoy growth
wiiw</t>
        </r>
      </text>
    </comment>
    <comment ref="T1" authorId="0" shapeId="0" xr:uid="{2E88A733-DAB0-42CD-B4B7-2A6797C146E2}">
      <text>
        <r>
          <rPr>
            <b/>
            <sz val="9"/>
            <color indexed="81"/>
            <rFont val="Tahoma"/>
            <family val="2"/>
          </rPr>
          <t>BJ:</t>
        </r>
        <r>
          <rPr>
            <sz val="9"/>
            <color indexed="81"/>
            <rFont val="Tahoma"/>
            <family val="2"/>
          </rPr>
          <t xml:space="preserve">
Central bank policy rate, nominal
wiiw</t>
        </r>
      </text>
    </comment>
    <comment ref="U1" authorId="0" shapeId="0" xr:uid="{D86E5E1D-5449-4570-8E68-68485BAB527F}">
      <text>
        <r>
          <rPr>
            <b/>
            <sz val="9"/>
            <color indexed="81"/>
            <rFont val="Tahoma"/>
            <family val="2"/>
          </rPr>
          <t>BJ:</t>
        </r>
        <r>
          <rPr>
            <sz val="9"/>
            <color indexed="81"/>
            <rFont val="Tahoma"/>
            <family val="2"/>
          </rPr>
          <t xml:space="preserve">
Consumer prices index, monthly average, 2015 = 100
wiiw</t>
        </r>
      </text>
    </comment>
    <comment ref="V1" authorId="0" shapeId="0" xr:uid="{CAAB8404-ADD8-4CC4-AD43-966304FFEE9D}">
      <text>
        <r>
          <rPr>
            <b/>
            <sz val="9"/>
            <color indexed="81"/>
            <rFont val="Tahoma"/>
            <family val="2"/>
          </rPr>
          <t>BJ:</t>
        </r>
        <r>
          <rPr>
            <sz val="9"/>
            <color indexed="81"/>
            <rFont val="Tahoma"/>
            <family val="2"/>
          </rPr>
          <t xml:space="preserve">
Exchange rate nominal NCU/EUR, period average
wiiw</t>
        </r>
      </text>
    </comment>
    <comment ref="W1" authorId="0" shapeId="0" xr:uid="{952B62B9-B46C-4048-9688-438AABB886CA}">
      <text>
        <r>
          <rPr>
            <b/>
            <sz val="9"/>
            <color indexed="81"/>
            <rFont val="Tahoma"/>
            <family val="2"/>
          </rPr>
          <t>BJ:</t>
        </r>
        <r>
          <rPr>
            <sz val="9"/>
            <color indexed="81"/>
            <rFont val="Tahoma"/>
            <family val="2"/>
          </rPr>
          <t xml:space="preserve">
 Industrial output (BCD - NACE Rev. 2), index real, monthly average, 2015 = 100, yoy growth
wiiw</t>
        </r>
      </text>
    </comment>
    <comment ref="X1" authorId="0" shapeId="0" xr:uid="{E89B943C-CE8B-4236-95BD-C1EB36097D34}">
      <text>
        <r>
          <rPr>
            <b/>
            <sz val="9"/>
            <color indexed="81"/>
            <rFont val="Tahoma"/>
            <family val="2"/>
          </rPr>
          <t>BJ:</t>
        </r>
        <r>
          <rPr>
            <sz val="9"/>
            <color indexed="81"/>
            <rFont val="Tahoma"/>
            <family val="2"/>
          </rPr>
          <t xml:space="preserve">
Exports total, fob EUR m, yoy growth
wiiw
Alexandra: changed to BOP: exports of goods and services</t>
        </r>
      </text>
    </comment>
    <comment ref="Y1" authorId="0" shapeId="0" xr:uid="{BB649BA5-E728-459B-A018-18590D9923C1}">
      <text>
        <r>
          <rPr>
            <b/>
            <sz val="9"/>
            <color indexed="81"/>
            <rFont val="Tahoma"/>
            <family val="2"/>
          </rPr>
          <t>BJ:</t>
        </r>
        <r>
          <rPr>
            <sz val="9"/>
            <color indexed="81"/>
            <rFont val="Tahoma"/>
            <family val="2"/>
          </rPr>
          <t xml:space="preserve">
 Imports total, cif EUR m
wiiw
Alexandra: changed to BOP: imports of goods and services</t>
        </r>
      </text>
    </comment>
    <comment ref="Z1" authorId="0" shapeId="0" xr:uid="{9E97B2AA-D7FB-4810-BAAA-E5A7CF206DE7}">
      <text>
        <r>
          <rPr>
            <b/>
            <sz val="9"/>
            <color indexed="81"/>
            <rFont val="Tahoma"/>
            <family val="2"/>
          </rPr>
          <t>BJ:</t>
        </r>
        <r>
          <rPr>
            <sz val="9"/>
            <color indexed="81"/>
            <rFont val="Tahoma"/>
            <family val="2"/>
          </rPr>
          <t xml:space="preserve">
Current account in % of GDP
wiiw</t>
        </r>
      </text>
    </comment>
    <comment ref="AA1" authorId="0" shapeId="0" xr:uid="{18CFFEBB-DD67-4543-B173-9F192631FEE9}">
      <text>
        <r>
          <rPr>
            <b/>
            <sz val="9"/>
            <color indexed="81"/>
            <rFont val="Tahoma"/>
            <family val="2"/>
          </rPr>
          <t>BJ:</t>
        </r>
        <r>
          <rPr>
            <sz val="9"/>
            <color indexed="81"/>
            <rFont val="Tahoma"/>
            <family val="2"/>
          </rPr>
          <t xml:space="preserve">
Households + NPISH</t>
        </r>
      </text>
    </comment>
    <comment ref="AC1" authorId="0" shapeId="0" xr:uid="{55E0FB9E-A760-4D0E-A179-7A4C2C7A7221}">
      <text>
        <r>
          <rPr>
            <b/>
            <sz val="9"/>
            <color indexed="81"/>
            <rFont val="Tahoma"/>
            <family val="2"/>
          </rPr>
          <t>BJ:</t>
        </r>
        <r>
          <rPr>
            <sz val="9"/>
            <color indexed="81"/>
            <rFont val="Tahoma"/>
            <family val="2"/>
          </rPr>
          <t xml:space="preserve">
Gross capital formation</t>
        </r>
      </text>
    </comment>
    <comment ref="AF1" authorId="0" shapeId="0" xr:uid="{504AC845-62FF-42E8-BE46-C03121311B15}">
      <text>
        <r>
          <rPr>
            <b/>
            <sz val="9"/>
            <color indexed="81"/>
            <rFont val="Tahoma"/>
            <family val="2"/>
          </rPr>
          <t>BJ:</t>
        </r>
        <r>
          <rPr>
            <sz val="9"/>
            <color indexed="81"/>
            <rFont val="Tahoma"/>
            <family val="2"/>
          </rPr>
          <t xml:space="preserve">
loans to households, nominal, yoy growth rates</t>
        </r>
      </text>
    </comment>
    <comment ref="B8" authorId="1" shapeId="0" xr:uid="{32BE43E4-4A1D-4CBE-B097-47FFF43F82B2}">
      <text>
        <r>
          <rPr>
            <sz val="9"/>
            <color indexed="81"/>
            <rFont val="Segoe UI"/>
            <family val="2"/>
          </rPr>
          <t xml:space="preserve">ID: 144396
Label: eug11tscrx_q
Database: wiiw Monthly Database - Hidden
Status: active
Calculation: 
Calculation_M: SubScal(L_eug11tscx_q&gt;mdb,100)
Calculation_Q: SubScal(L_eug11tscx_q&gt;mdb,100)
Calculation_A: SubScal(L_eug11tscx_q&gt;mdb,100)
Periodicity: Q
Data available M: 1996m3 - 2023m9
Data available Q: 1996q1 - 2023q3
Data available A: 1996 - 2022
Text 99: 
Automatic update period: 1999|2015
Time shift: 
Note: 
Reporter: EU27_2020 - EU - 27 countries (from 2020)
Chapter 1: 02_NA - National accounts
Indicator: SC0201 - Gross domestic product total
Unit: 05_Ireal_36 - real growth rate to corresponding period of previous year in %
Footnote 1: FZZ05 - According to ESA'10.
Footnote 2:  - 
Footnote 3:  - 
Footnote 4:  - 
Source 1: Z_ESTAT - Eurostat
Source 2: Z_wiiw - wiiw
Source 3:  - 
</t>
        </r>
      </text>
    </comment>
    <comment ref="C8" authorId="1" shapeId="0" xr:uid="{A19CD387-52E4-42D4-A072-1FB4A027EE29}">
      <text>
        <r>
          <rPr>
            <sz val="9"/>
            <color indexed="81"/>
            <rFont val="Segoe UI"/>
            <family val="2"/>
          </rPr>
          <t xml:space="preserve">ID: 77811
Label: eup1p1tsa
Database: wiiw Monthly Database - Hidden
Status: active
Calculation: 
Calculation_M: 
Calculation_Q: m-&gt;q AVG(L_eup1p1tsa&gt;mdb)
Calculation_A: q-&gt;a AVG(L_eup1p1tsa&gt;mdb)
Periodicity: Q
Data available M: 1999m1 - 2023m12
Data available Q: 1999q1 - 2023q4
Data available A: 1999 - 2023
Text 99: 
Automatic update period: 1999|2015
Time shift: 
Note: 
Reporter: EU - European Union evolutionary
Chapter 1: 07_PRC - Prices
Indicator: SC0701 - Consumer prices
Unit: 03_I_1_085_15avg - index, monthly average, 2015 = 100
Footnote 1: FZZ40 - Based on HICP (Harmonized Index of Consumer Prices).
Footnote 2:  - 
Footnote 3:  - 
Footnote 4:  - 
Source 1: Z_ESTAT - Eurostat
Source 2:  - 
Source 3:  - 
</t>
        </r>
      </text>
    </comment>
    <comment ref="D8" authorId="1" shapeId="0" xr:uid="{4F4A948E-B737-4CD5-8BF7-0B8983EFDAC0}">
      <text>
        <r>
          <rPr>
            <sz val="9"/>
            <color indexed="81"/>
            <rFont val="Segoe UI"/>
            <family val="2"/>
          </rPr>
          <t xml:space="preserve">ID: 77812
Label: eup1p1tscx
Database: wiiw Monthly Database - Hidden
Status: active
Calculation: SubScal(L_eup1p1tscx&gt;mdb,100)
Calculation_M: CPPY=100(L_eup1p1tsa&gt;mdb)
Calculation_Q: CPPY=100(L_eup1p1tsa&gt;mdb)
Calculation_A: CPPY=100(L_eup1p1tsa&gt;mdb)
Periodicity: Q
Data available M: 1992m1 - 2023m12
Data available Q: 1992q1 - 2023q4
Data available A: 1992 - 2023
Text 99: 
Automatic update period: 1999|2015
Time shift: 
Note: 
Reporter: EU - European Union evolutionary
Chapter 1: 07_PRC - Prices
Indicator: SC0701 - Consumer prices
Unit: 03_I_32 - index, corresponding period of previous year = 100
Footnote 1: FZZ40 - Based on HICP (Harmonized Index of Consumer Prices).
Footnote 2:  - 
Footnote 3:  - 
Footnote 4:  - 
Source 1: Z_ESTAT - Eurostat
Source 2: Z_wiiw - wiiw
Source 3:  - 
</t>
        </r>
      </text>
    </comment>
    <comment ref="E8" authorId="1" shapeId="0" xr:uid="{6C9857C2-EA55-4F69-A708-F4D3B8C11AEA}">
      <text>
        <r>
          <rPr>
            <sz val="9"/>
            <color indexed="81"/>
            <rFont val="Segoe UI"/>
            <family val="2"/>
          </rPr>
          <t xml:space="preserve">ID: 144399
Label: eafrr1tp_help
Database: wiiw Monthly Database - Hidden
Status: active
Calculation: 
Calculation_M: L_eafrr1tp&gt;mdb
Calculation_Q: m-&gt;q AVG(L_eafrr1tp&gt;mdb)
Calculation_A: q-&gt;a AVG(L_eafrr1tp&gt;mdb)
Periodicity: Q
Data available M: 1999m1 - 2023m12
Data available Q: 1999q1 - 2023q4
Data available A: 1999 - 2023
Text 99: 
Automatic update period: 1999|2015
Time shift: 
Note: 
Reporter: EA - Euro area evolutionary
Chapter 1: 10_DF - Domestic finance
Indicator: SC1050 - Central bank policy rate
Unit: 06_IntR_6 - % p.a., period average
Footnote 1: FZZ50 - Official refinancing operation rates for euro area (ECB), rate in fixed rate tenders (between June 2000 and September 2008 the minimum bid rate in variable rate tenders was applied).
Footnote 2:  - 
Footnote 3:  - 
Footnote 4:  - 
Source 1: Z_ECB - European Central Bank
Source 2:  - 
Source 3:  - 
</t>
        </r>
      </text>
    </comment>
    <comment ref="F8" authorId="1" shapeId="0" xr:uid="{80D73CC3-9ABC-4659-8A97-C22B071A7DBB}">
      <text>
        <r>
          <rPr>
            <sz val="9"/>
            <color indexed="81"/>
            <rFont val="Segoe UI"/>
            <family val="2"/>
          </rPr>
          <t xml:space="preserve">ID: 101874
Label: usp2oila
Database: wiiw Monthly Database - Hidden
Status: active
Calculation: 
Calculation_M: 
Calculation_Q: M-&gt;Q AVG(L_usp2oila&gt;mdb)
Calculation_A: Q-&gt;A AVG(L_usp2oila&gt;mdb)
Periodicity: Q
Data available M: 1990m1 - 2023m12
Data available Q: 1990q1 - 2023q4
Data available A: 1990 - 2023
Text 99: 
Automatic update period: 1999|2015
Time shift: 
Note: Oil prices  &amp; Europe Brent Spot Price FOB (Dollars per Barrel) &amp; EIA (US) Source of the data. Gespeichert auf die EU&amp;US Karten.
Reporter: US - United States
Chapter 1: 11_FF - Foreign finance
Indicator:  - 
Unit:  - 
Footnote 1:  - 
Footnote 2:  - 
Footnote 3:  - 
Footnote 4:  - 
Source 1:  - 
Source 2:  - 
Source 3:  - 
</t>
        </r>
      </text>
    </comment>
    <comment ref="G8" authorId="1" shapeId="0" xr:uid="{43BA6AF5-B3B5-47C9-914B-1D816AD3C098}">
      <text>
        <r>
          <rPr>
            <sz val="9"/>
            <color indexed="81"/>
            <rFont val="Segoe UI"/>
            <family val="2"/>
          </rPr>
          <t xml:space="preserve">ID: 81846
Label: babg21n_q
Database: wiiw Monthly Database - Public
Status: active
Calculation: SubScal(CPPY=100(L_babg21n_q&gt;mdb),100)
Calculation_M: Q-&gt;M EOP(L_babg21n_q&gt;mdb)
Calculation_Q: 
Calculation_A: Q-&gt;A CUMPER(L_babg21n_q&gt;mdb)
Periodicity: Q
Data available M: 2005m3 - 2023m9
Data available Q: 2005q1 - 2023q3
Data available A: 2005 - 2022
Text 99: 
Automatic update period: 1999|2015
Time shift: 
Note: 
Reporter: BA - Bosnia and Herzegovina
Chapter 1: 10_DF - Domestic finance
Indicator: SC1021 - General gov. budget - expenditures
Unit: 01_Curr_12 - NCU m (incl. 'euro fixed' series)
Footnote 1: FBA16 - Excluding local government and public companies for roads and motorways.
Footnote 2:  - 
Footnote 3:  - 
Footnote 4:  - 
Source 1: QBA2 - Central Bank of Bosnia and Herzegovina
Source 2:  - 
Source 3:  - 
</t>
        </r>
      </text>
    </comment>
    <comment ref="H8" authorId="1" shapeId="0" xr:uid="{3CA813C1-B553-4DDE-B2AD-A1849A3AC230}">
      <text>
        <r>
          <rPr>
            <sz val="9"/>
            <color indexed="81"/>
            <rFont val="Segoe UI"/>
            <family val="2"/>
          </rPr>
          <t xml:space="preserve">ID: 81839
Label: babg11n_q
Database: wiiw Monthly Database - Public
Status: active
Calculation: SubScal(CPPY=100(L_babg11n_q&gt;mdb),100)
Calculation_M: Q-&gt;M EOP(L_babg11n_q&gt;mdb)
Calculation_Q: 
Calculation_A: Q-&gt;A CUMPER(L_babg11n_q&gt;mdb)
Periodicity: Q
Data available M: 2005m3 - 2023m9
Data available Q: 2005q1 - 2023q3
Data available A: 2005 - 2022
Text 99: 
Automatic update period: 1999|2015
Time shift: 
Note: 
Reporter: BA - Bosnia and Herzegovina
Chapter 1: 10_DF - Domestic finance
Indicator: SC1020 - General gov. budget - revenues
Unit: 01_Curr_12 - NCU m (incl. 'euro fixed' series)
Footnote 1: FBA16 - Excluding local government and public companies for roads and motorways.
Footnote 2:  - 
Footnote 3:  - 
Footnote 4:  - 
Source 1: QBA2 - Central Bank of Bosnia and Herzegovina
Source 2:  - 
Source 3:  - 
</t>
        </r>
      </text>
    </comment>
    <comment ref="I8" authorId="1" shapeId="0" xr:uid="{E3974CB3-B510-45A4-A10C-DD35307CE30A}">
      <text>
        <r>
          <rPr>
            <sz val="9"/>
            <color indexed="81"/>
            <rFont val="Segoe UI"/>
            <family val="2"/>
          </rPr>
          <t xml:space="preserve">ID: 89221
Label: babg31px_q
Database: wiiw Monthly Database - Public
Status: active
Calculation: 
Calculation_M: Q-&gt;M EOP(L_babg31px_q&gt;mdb)
Calculation_Q: Share(L_babg31nx_q&gt;mdb,L_bag11tn_q&gt;mdb)
Calculation_A: Share(L_babg31nx_q&gt;mdb,L_bag11tn_q&gt;mdb)
Periodicity: Q
Data available M: 2005m3 - 2023m9
Data available Q: 2005q1 - 2023q3
Data available A: 2005 - 2022
Text 99: 
Automatic update period: 1999|2015
Time shift: 
Note: 
Reporter: BA - Bosnia and Herzegovina
Chapter 1: 10_DF - Domestic finance
Indicator: SC1022 - General gov. budget - balance
Unit: 09_Share_%gdp - in % of GDP
Footnote 1: FBA16 - Excluding local government and public companies for roads and motorways.
Footnote 2:  - 
Footnote 3:  - 
Footnote 4:  - 
Source 1: QBA2 - Central Bank of Bosnia and Herzegovina
Source 2: Z_wiiw - wiiw
Source 3:  - 
</t>
        </r>
      </text>
    </comment>
    <comment ref="J8" authorId="1" shapeId="0" xr:uid="{F1F348FD-DE5D-416F-B840-C27DA83F9300}">
      <text>
        <r>
          <rPr>
            <sz val="9"/>
            <color indexed="81"/>
            <rFont val="Segoe UI"/>
            <family val="2"/>
          </rPr>
          <t xml:space="preserve">ID: 88620
Label: bag11tr15_q
Database: wiiw Monthly Database - Public
Status: active
Calculation: SubScal(CPPY=100(L_bag11tr15_q&gt;mdb),100)
Calculation_M: q-&gt;m EOP(L_bag11tr15_q&gt;mdb)
Calculation_Q: 
Calculation_A: q-&gt;a CumPer(L_bag11tr15_q&gt;mdb)
Periodicity: Q
Data available M: 2000m3 - 2023m9
Data available Q: 2000q1 - 2023q3
Data available A: 2000 - 2022
Text 99: 
Automatic update period: 1999|2015
Time shift: 
Note: orig. from NSO
Reporter: BA - Bosnia and Herzegovina
Chapter 1: 02_NA - National accounts
Indicator: SC0201 - Gross domestic product total
Unit: 01_Curr_15_085_15_r - NCU m, 2015 reference prices (prev. year prices, incl. 'euro fixed' series)
Footnote 1: FBA01 - According to ESA'10, FISIM not reallocated until 2014.
Footnote 2:  - 
Footnote 3:  - 
Footnote 4:  - 
Source 1: Z_ESTAT - Eurostat
Source 2: Z_wiiw - wiiw
Source 3:  - 
</t>
        </r>
      </text>
    </comment>
    <comment ref="K8" authorId="1" shapeId="0" xr:uid="{59EBC5D9-7BDE-4B88-99B9-A28517B19579}">
      <text>
        <r>
          <rPr>
            <sz val="9"/>
            <color indexed="81"/>
            <rFont val="Segoe UI"/>
            <family val="2"/>
          </rPr>
          <t xml:space="preserve">ID: 90863
Label: bag222r15_q
Database: wiiw Monthly Database - Public
Status: active
Calculation: SubScal(CPPY=100(L_bag222r15_q&gt;mdb),100)
Calculation_M: q-&gt;m EOP(L_bag222r15_q&gt;mdb)
Calculation_Q: 
Calculation_A: q-&gt;a CumPer(L_bag222r15_q&gt;mdb)
Periodicity: Q
Data available M: 2000m3 - 2023m9
Data available Q: 2000q1 - 2023q3
Data available A: 2000 - 2022
Text 99: 
Automatic update period: 1999|2015
Time shift: 
Note: orig. from NSO
Reporter: BA - Bosnia and Herzegovina
Chapter 1: 02_NA - National accounts
Indicator: SC0212 - Household final consumption expenditure
Unit: 01_Curr_15_085_15_r - NCU m, 2015 reference prices (prev. year prices, incl. 'euro fixed' series)
Footnote 1:  - 
Footnote 2:  - 
Footnote 3:  - 
Footnote 4:  - 
Source 1: Z_ESTAT - Eurostat
Source 2: Z_wiiw - wiiw
Source 3:  - 
</t>
        </r>
      </text>
    </comment>
    <comment ref="L8" authorId="1" shapeId="0" xr:uid="{9BFC5EF3-E671-4927-A3C6-706C167D8823}">
      <text>
        <r>
          <rPr>
            <sz val="9"/>
            <color indexed="81"/>
            <rFont val="Segoe UI"/>
            <family val="2"/>
          </rPr>
          <t xml:space="preserve">ID: 90907
Label: bag223r15_q
Database: wiiw Monthly Database - Public
Status: active
Calculation: SubScal(CPPY=100(L_bag223r15_q&gt;mdb),100)
Calculation_M: q-&gt;m EOP(L_bag223r15_q&gt;mdb)
Calculation_Q: 
Calculation_A: q-&gt;a CumPer(L_bag223r15_q&gt;mdb)
Periodicity: Q
Data available M: 2000m3 - 2023m9
Data available Q: 2000q1 - 2023q3
Data available A: 2000 - 2022
Text 99: 
Automatic update period: 1999|2015
Time shift: 
Note: orig. from NSO
Reporter: BA - Bosnia and Herzegovina
Chapter 1: 02_NA - National accounts
Indicator: SC0214 - Government final consumption expenditure
Unit: 01_Curr_15_085_15_r - NCU m, 2015 reference prices (prev. year prices, incl. 'euro fixed' series)
Footnote 1:  - 
Footnote 2:  - 
Footnote 3:  - 
Footnote 4:  - 
Source 1: Z_ESTAT - Eurostat
Source 2: Z_wiiw - wiiw
Source 3:  - 
</t>
        </r>
      </text>
    </comment>
    <comment ref="M8" authorId="1" shapeId="0" xr:uid="{AFB66F7F-9753-48AA-A95D-1069247D91EF}">
      <text>
        <r>
          <rPr>
            <sz val="9"/>
            <color indexed="81"/>
            <rFont val="Segoe UI"/>
            <family val="2"/>
          </rPr>
          <t xml:space="preserve">ID: 90929
Label: bag224r15_q
Database: wiiw Monthly Database - Public
Status: active
Calculation: SubScal(CPPY=100(L_bag224r15_q&gt;mdb),100)
Calculation_M: q-&gt;m EOP(L_bag224r15_q&gt;mdb)
Calculation_Q: 
Calculation_A: q-&gt;a CumPer(L_bag224r15_q&gt;mdb)
Periodicity: Q
Data available M: 2000m3 - 2023m9
Data available Q: 2000q1 - 2023q3
Data available A: 2000 - 2022
Text 99: 
Automatic update period: 1999|2015
Time shift: 
Note: orig. from NSO
Reporter: BA - Bosnia and Herzegovina
Chapter 1: 02_NA - National accounts
Indicator: SC0217 - Gross capital formation
Unit: 01_Curr_15_085_15_r - NCU m, 2015 reference prices (prev. year prices, incl. 'euro fixed' series)
Footnote 1:  - 
Footnote 2:  - 
Footnote 3:  - 
Footnote 4:  - 
Source 1: Z_ESTAT - Eurostat
Source 2: Z_wiiw - wiiw
Source 3:  - 
</t>
        </r>
      </text>
    </comment>
    <comment ref="N8" authorId="1" shapeId="0" xr:uid="{0BAA40D4-F2BC-4FB9-8E35-E067552E2203}">
      <text>
        <r>
          <rPr>
            <sz val="9"/>
            <color indexed="81"/>
            <rFont val="Segoe UI"/>
            <family val="2"/>
          </rPr>
          <t xml:space="preserve">ID: 90973
Label: bag228r15_q
Database: wiiw Monthly Database - Public
Status: active
Calculation: SubScal(CPPY=100(L_bag228r15_q&gt;mdb),100)
Calculation_M: q-&gt;m EOP(L_bag228r15_q&gt;mdb)
Calculation_Q: 
Calculation_A: q-&gt;a CumPer(L_bag228r15_q&gt;mdb)
Periodicity: Q
Data available M: 2000m3 - 2023m9
Data available Q: 2000q1 - 2023q3
Data available A: 2000 - 2022
Text 99: 
Automatic update period: 1999|2015
Time shift: 
Note: orig. from NSO
Reporter: BA - Bosnia and Herzegovina
Chapter 1: 02_NA - National accounts
Indicator: SC0221 - Exports of goods and services
Unit: 01_Curr_15_085_15_r - NCU m, 2015 reference prices (prev. year prices, incl. 'euro fixed' series)
Footnote 1:  - 
Footnote 2:  - 
Footnote 3:  - 
Footnote 4:  - 
Source 1: Z_ESTAT - Eurostat
Source 2: Z_wiiw - wiiw
Source 3:  - 
</t>
        </r>
      </text>
    </comment>
    <comment ref="O8" authorId="1" shapeId="0" xr:uid="{3FAC727D-4C4A-459F-8E2F-45048F00FA44}">
      <text>
        <r>
          <rPr>
            <sz val="9"/>
            <color indexed="81"/>
            <rFont val="Segoe UI"/>
            <family val="2"/>
          </rPr>
          <t xml:space="preserve">ID: 90995
Label: bag229r15_q
Database: wiiw Monthly Database - Public
Status: active
Calculation: SubScal(CPPY=100(L_bag229r15_q&gt;mdb),100)
Calculation_M: q-&gt;m EOP(L_bag229r15_q&gt;mdb)
Calculation_Q: 
Calculation_A: q-&gt;a CumPer(L_bag229r15_q&gt;mdb)
Periodicity: Q
Data available M: 2000m3 - 2023m9
Data available Q: 2000q1 - 2023q3
Data available A: 2000 - 2022
Text 99: 
Automatic update period: 1999|2015
Time shift: 
Note: orig. from NSO
Reporter: BA - Bosnia and Herzegovina
Chapter 1: 02_NA - National accounts
Indicator: SC0222 - Imports of goods and services
Unit: 01_Curr_15_085_15_r - NCU m, 2015 reference prices (prev. year prices, incl. 'euro fixed' series)
Footnote 1:  - 
Footnote 2:  - 
Footnote 3:  - 
Footnote 4:  - 
Source 1: Z_ESTAT - Eurostat
Source 2: Z_wiiw - wiiw
Source 3:  - 
</t>
        </r>
      </text>
    </comment>
    <comment ref="P8" authorId="1" shapeId="0" xr:uid="{0D3B672D-A2A1-4E23-882D-D36352563390}">
      <text>
        <r>
          <rPr>
            <sz val="9"/>
            <color indexed="81"/>
            <rFont val="Segoe UI"/>
            <family val="2"/>
          </rPr>
          <t xml:space="preserve">ID: 143839
Label: bae51_ta_q
Database: wiiw Monthly Database - Public
Status: active
Calculation: 
Calculation_M: q-&gt;m EOP(L_bae51_ta_q&gt;mdb)
Calculation_Q: 
Calculation_A: q-&gt;a AVG(L_bae51_ta_q&gt;mdb)
Periodicity: Q
Data available M: 2020m3 - 2023m9
Data available Q: 2020q1 - 2023q3
Data available A: 2020 - 2022
Text 99: 
Automatic update period: 1999|2015
Time shift: 
Note: 
Reporter: BA - Bosnia and Herzegovina
Chapter 1: 05_LAB - Labour market
Indicator: SC0501 - Employment, LFS
Unit: 02_Pers_11 - th persons, period average
Footnote 1: FZZ09 - From 2021 new methodology in line with the Integrated European Social Statistics Regulation (IESS).
Footnote 2: FBA03 - Population 15+; according to census 2013.
Footnote 3:  - 
Footnote 4:  - 
Source 1: QBA1 - Agency of Statistics of Bosnia and Herzegovina
Source 2:  - 
Source 3:  - 
</t>
        </r>
      </text>
    </comment>
    <comment ref="Q8" authorId="1" shapeId="0" xr:uid="{3F44D94E-3B3F-4EA6-9626-D6A65345749A}">
      <text>
        <r>
          <rPr>
            <sz val="9"/>
            <color indexed="81"/>
            <rFont val="Segoe UI"/>
            <family val="2"/>
          </rPr>
          <t xml:space="preserve">ID: 143843
Label: bae5u_ta_q
Database: wiiw Monthly Database - Public
Status: active
Calculation: 
Calculation_M: q-&gt;m EOP(L_bae5u_ta_q&gt;mdb)
Calculation_Q: 
Calculation_A: q-&gt;a AVG(L_bae5u_ta_q&gt;mdb)
Periodicity: Q
Data available M: 2020m3 - 2023m9
Data available Q: 2020q1 - 2023q3
Data available A: 2020 - 2022
Text 99: 
Automatic update period: 1999|2015
Time shift: 
Note: 
Reporter: BA - Bosnia and Herzegovina
Chapter 1: 05_LAB - Labour market
Indicator: SC0507 - Unemployment, LFS
Unit: 02_Pers_11 - th persons, period average
Footnote 1: FBA03 - Population 15+; according to census 2013.
Footnote 2:  - 
Footnote 3:  - 
Footnote 4:  - 
Source 1: QBA1 - Agency of Statistics of Bosnia and Herzegovina
Source 2:  - 
Source 3:  - 
</t>
        </r>
      </text>
    </comment>
    <comment ref="R8" authorId="1" shapeId="0" xr:uid="{F6EAA036-DD88-4879-A16B-FA311BB398ED}">
      <text>
        <r>
          <rPr>
            <sz val="9"/>
            <color indexed="81"/>
            <rFont val="Segoe UI"/>
            <family val="2"/>
          </rPr>
          <t xml:space="preserve">ID: 143844
Label: bae5u_tp_q
Database: wiiw Monthly Database - Public
Status: active
Calculation: 
Calculation_M: q-&gt;m EOP(L_bae5u_tp_q&gt;mdb)
Calculation_Q: 
Calculation_A: MulScal(Div(L_bae5u_ta_q&gt;mdb,Add(L_bae5u_ta_q&gt;mdb,L_bae51_ta_q&gt;mdb)),100)
Periodicity: Q
Data available M: 2020m3 - 2023m9
Data available Q: 2020q1 - 2023q3
Data available A: 2020 - 2022
Text 99: 
Automatic update period: 1999|2015
Time shift: 
Note: 
Reporter: BA - Bosnia and Herzegovina
Chapter 1: 05_LAB - Labour market
Indicator: SC0508 - Unemployment rate, LFS
Unit: 02_Pers_21 - in %, period average
Footnote 1: FBA03 - Population 15+; according to census 2013.
Footnote 2:  - 
Footnote 3:  - 
Footnote 4:  - 
Source 1: QBA1 - Agency of Statistics of Bosnia and Herzegovina
Source 2:  - 
Source 3:  - 
</t>
        </r>
      </text>
    </comment>
    <comment ref="S8" authorId="1" shapeId="0" xr:uid="{8EBAB2F8-6CAE-4976-AB32-68A4E6CA5D37}">
      <text>
        <r>
          <rPr>
            <sz val="9"/>
            <color indexed="81"/>
            <rFont val="Segoe UI"/>
            <family val="2"/>
          </rPr>
          <t xml:space="preserve">ID: 319
Label: baw11_tccx
Database: wiiw Monthly Database - Public
Status: active
Calculation: SubScal(L_baw11_tccx&gt;mdb,100)
Calculation_M: CPPY=100(L_baw11_tn&gt;mdb)
Calculation_Q: CPPY=100(L_baw11_tn&gt;mdb)
Calculation_A: CPPY=100(L_baw11_tn&gt;mdb)
Periodicity: Q
Data available M: 2003m1 - 2023m11
Data available Q: 2003q1 - 2023q3
Data available A: 2003 - 2022
Text 99: 
Automatic update period: 1999|2015
Time shift: 
Note: 
Reporter: BA - Bosnia and Herzegovina
Chapter 1: 06_WS - Wages
Indicator: SC0601 - Average monthly gross wages total
Unit: 04_Inom_32 - index nominal, corresponding period of previous year = 100
Footnote 1: FBA15 - From 2005 District Brcko included.
Footnote 2:  - 
Footnote 3:  - 
Footnote 4:  - 
Source 1: QBA1 - Agency of Statistics of Bosnia and Herzegovina
Source 2: QBA2 - Central Bank of Bosnia and Herzegovina
Source 3: Z_wiiw - wiiw
</t>
        </r>
      </text>
    </comment>
    <comment ref="T8" authorId="1" shapeId="0" xr:uid="{5556286E-E4D0-46E4-87B3-86E1E4A27C24}">
      <text>
        <r>
          <rPr>
            <sz val="9"/>
            <color indexed="81"/>
            <rFont val="Segoe UI"/>
            <family val="2"/>
          </rPr>
          <t xml:space="preserve">ID: 117771
Label: bafrr1tp
Database: wiiw Monthly Database - Hidden
Status: active
Calculation: 
Calculation_M: TimeSpan(L_eafrr1tp&gt;mdb,2000-)
Calculation_Q: m-&gt;q EOP(L_bafrr1tp&gt;mdb)
Calculation_A: q-&gt;a EOP(L_bafrr1tp&gt;mdb)
Periodicity: Q
Data available M: 2000m1 - 2023m12
Data available Q: 2000q1 - 2023q4
Data available A: 2000 - 2023
Text 99: 
Automatic update period: 1999|2015
Time shift: 
Note: euroarea policy rate
Reporter: BA - Bosnia and Herzegovina
Chapter 1: 10_DF - Domestic finance
Indicator: SC1050 - Central bank policy rate
Unit: 06_IntR_1 - % p.a., end of period
Footnote 1: FZZ50 - Official refinancing operation rates for euro area (ECB), rate in fixed rate tenders (between June 2000 and September 2008 the minimum bid rate in variable rate tenders was applied).
Footnote 2:  - 
Footnote 3:  - 
Footnote 4:  - 
Source 1: Z_ECB - European Central Bank
Source 2:  - 
Source 3:  - 
</t>
        </r>
      </text>
    </comment>
    <comment ref="U8" authorId="1" shapeId="0" xr:uid="{5186BCFD-2485-428A-A983-E1099C79B32D}">
      <text>
        <r>
          <rPr>
            <sz val="9"/>
            <color indexed="81"/>
            <rFont val="Segoe UI"/>
            <family val="2"/>
          </rPr>
          <t xml:space="preserve">ID: 91639
Label: bap1p1tsax_uni
Database: wiiw Monthly Database - Public
Status: active
Calculation: 
Calculation_M: Index(L_bap1p1tsa&gt;mdb,2015)
Calculation_Q: m-&gt;q AVG(L_bap1p1tsax_uni&gt;mdb)
Calculation_A: q-&gt;a AVG(L_bap1p1tsax_uni&gt;mdb)
Periodicity: Q
Data available M: 2005m1 - 2023m12
Data available Q: 2005q1 - 2023q4
Data available A: 2005 - 2023
Text 99: 
Automatic update period: 1999|2015
Time shift: 
Note: 
Reporter: BA - Bosnia and Herzegovina
Chapter 1: 07_PRC - Prices
Indicator: SC0701 - Consumer prices
Unit: 03_I_1_085_15avg - index, monthly average, 2015 = 100
Footnote 1:  - 
Footnote 2:  - 
Footnote 3:  - 
Footnote 4:  - 
Source 1: QBA1 - Agency of Statistics of Bosnia and Herzegovina
Source 2: Z_wiiw - wiiw
Source 3:  - 
</t>
        </r>
      </text>
    </comment>
    <comment ref="V8" authorId="1" shapeId="0" xr:uid="{4A3B2798-7D52-46E8-9C68-2CEC71918761}">
      <text>
        <r>
          <rPr>
            <sz val="9"/>
            <color indexed="81"/>
            <rFont val="Segoe UI"/>
            <family val="2"/>
          </rPr>
          <t xml:space="preserve">ID: 973
Label: bap2xea
Database: wiiw Monthly Database - Public
Status: active
Calculation: 
Calculation_M: 
Calculation_Q: m-&gt;q AVG(L_bap2xea&gt;mdb)
Calculation_A: q-&gt;a AVG(L_bap2xea&gt;mdb)
Periodicity: Q
Data available M: 2000m1 - 2024m1
Data available Q: 2000q1 - 2023q4
Data available A: 2000 - 2023
Text 99: 
Automatic update period: 1999|2015
Time shift: 
Note: 
Reporter: BA - Bosnia and Herzegovina
Chapter 1: 11_FF - Foreign finance
Indicator: SC1107 - Exchange rate nominal
Unit: 07_Exch_12 - NCU/EUR, period average
Footnote 1:  - 
Footnote 2:  - 
Footnote 3:  - 
Footnote 4:  - 
Source 1: QBA2 - Central Bank of Bosnia and Herzegovina
Source 2:  - 
Source 3:  - 
</t>
        </r>
      </text>
    </comment>
    <comment ref="W8" authorId="1" shapeId="0" xr:uid="{3FB88EFC-A389-4A76-BCC4-BF341CFE5418}">
      <text>
        <r>
          <rPr>
            <sz val="9"/>
            <color indexed="81"/>
            <rFont val="Segoe UI"/>
            <family val="2"/>
          </rPr>
          <t xml:space="preserve">ID: 71107
Label: baa1211tscx
Database: wiiw Monthly Database - Public
Status: active
Calculation: SubScal(L_baa1211tscx&gt;mdb,100)
Calculation_M: CPPY=100(L_baa1211tsa&gt;mdb)
Calculation_Q: CPPY=100(L_baa1211tsa&gt;mdb)
Calculation_A: CPPY=100(L_baa1211tsa&gt;mdb)
Periodicity: Q
Data available M: 2007m1 - 2023m12
Data available Q: 2007q1 - 2023q4
Data available A: 2007 - 2023
Text 99: 
Automatic update period: 1999|2015
Time shift: 
Note: 
Reporter: BA - Bosnia and Herzegovina
Chapter 1: 04_PROD - Production
Indicator: SC0401 - Industrial output (BCD - NACE Rev. 2)
Unit: 05_Ireal_32 - index real, corresponding period of previous year = 100
Footnote 1: FZZ13 - Enterprises with 20 and more employees and smaller enterprises with additional criteria.
Footnote 2:  - 
Footnote 3:  - 
Footnote 4:  - 
Source 1: Z_ESTAT - Eurostat
Source 2: Z_wiiw - wiiw
Source 3:  - 
</t>
        </r>
      </text>
    </comment>
    <comment ref="X8" authorId="1" shapeId="0" xr:uid="{66A336FB-CA04-4F39-9D98-40CFF537749D}">
      <text>
        <r>
          <rPr>
            <sz val="9"/>
            <color indexed="81"/>
            <rFont val="Segoe UI"/>
            <family val="2"/>
          </rPr>
          <t xml:space="preserve">ID: 87252
Label: balago2ex_q
Database: wiiw Monthly Database - Hidden
Status: active
Calculation: SubScal(CPPY=100(AddNull(L_balago2ex_q&gt;mdb,L_balase2ex_q&gt;mdb)),100)
Calculation_M: q-&gt;m EOP(L_balago2ex_q&gt;mdb)
Calculation_Q: Div(L_balago2n_q&gt;mdb,L_bap2xea&gt;mdb)
Calculation_A: Q-&gt;A CUMPER(L_balago2ex_q&gt;mdb)
Periodicity: Q
Data available M: 2008m3 - 2023m9
Data available Q: 2008q1 - 2023q3
Data available A: 2008 - 2022
Text 99: 
Automatic update period: 1999|2015
Time shift: 
Note: 
Reporter: BA - Bosnia and Herzegovina
Chapter 1: 11_FF - Foreign finance
Indicator: SC1111 - 1.A.a. Goods exports, fob, credit
Unit: 01_Curr_23 - EUR m
Footnote 1: FZZ80 - Based on BPM6.
Footnote 2: FZZ29 - Calculated from NCU to EUR using the average exchange rate.
Footnote 3:  - 
Footnote 4:  - 
Source 1: QBA2 - Central Bank of Bosnia and Herzegovina
Source 2: Z_wiiw - wiiw
Source 3:  - 
</t>
        </r>
      </text>
    </comment>
    <comment ref="Y8" authorId="1" shapeId="0" xr:uid="{CC807244-2B95-494E-9BE1-A24C6454EB45}">
      <text>
        <r>
          <rPr>
            <sz val="9"/>
            <color indexed="81"/>
            <rFont val="Segoe UI"/>
            <family val="2"/>
          </rPr>
          <t xml:space="preserve">ID: 87289
Label: balago3ex_q
Database: wiiw Monthly Database - Hidden
Status: active
Calculation: SubScal(CPPY=100(AddNull(L_balago3ex_q&gt;mdb,L_balase3ex_q&gt;mdb)),100)
Calculation_M: q-&gt;m EOP(L_balago3ex_q&gt;mdb)
Calculation_Q: Div(L_balago3n_q&gt;mdb,L_bap2xea&gt;mdb)
Calculation_A: Q-&gt;A CUMPER(L_balago3ex_q&gt;mdb)
Periodicity: Q
Data available M: 2008m3 - 2023m9
Data available Q: 2008q1 - 2023q3
Data available A: 2008 - 2022
Text 99: 
Automatic update period: 1999|2015
Time shift: 
Note: 
Reporter: BA - Bosnia and Herzegovina
Chapter 1: 11_FF - Foreign finance
Indicator: SC1112 - 1.A.a. Goods imports, fob, debit
Unit: 01_Curr_23 - EUR m
Footnote 1: FZZ80 - Based on BPM6.
Footnote 2: FZZ29 - Calculated from NCU to EUR using the average exchange rate.
Footnote 3:  - 
Footnote 4:  - 
Source 1: QBA2 - Central Bank of Bosnia and Herzegovina
Source 2: Z_wiiw - wiiw
Source 3:  - 
</t>
        </r>
      </text>
    </comment>
    <comment ref="Z8" authorId="1" shapeId="0" xr:uid="{90C7D427-41B3-465C-9836-E35421D16502}">
      <text>
        <r>
          <rPr>
            <sz val="9"/>
            <color indexed="81"/>
            <rFont val="Segoe UI"/>
            <family val="2"/>
          </rPr>
          <t xml:space="preserve">ID: 88722
Label: balacaepx_q
Database: wiiw Monthly Database - Public
Status: active
Calculation: 
Calculation_M: Q-&gt;M EOP(L_balacaepx_q&gt;mdb)
Calculation_Q: Share(L_balacaenx_q&gt;mdb,Div(L_bag11tn_q&gt;mdb,L_bap2xea&gt;mdb))
Calculation_A: Share(L_balacaenx_q&gt;mdb,Div(L_bag11tn_q&gt;mdb,L_bap2xea&gt;mdb))
Periodicity: Q
Data available M: 2001m3 - 2023m9
Data available Q: 2001q1 - 2023q3
Data available A: 2001 - 2022
Text 99: 
Automatic update period: 1999|2015
Time shift: 
Note: 
Reporter: BA - Bosnia and Herzegovina
Chapter 1: 11_FF - Foreign finance
Indicator: SC1101 - Current account
Unit: 09_Share_%gdp - in % of GDP
Footnote 1: FZZ55 - From 2008 based on BPM6.
Footnote 2:  - 
Footnote 3:  - 
Footnote 4:  - 
Source 1: QBA2 - Central Bank of Bosnia and Herzegovina
Source 2: Z_wiiw - wiiw
Source 3:  - 
</t>
        </r>
      </text>
    </comment>
    <comment ref="AA8" authorId="1" shapeId="0" xr:uid="{F0E1728F-6F30-4A19-A0E1-10C00207E9CC}">
      <text>
        <r>
          <rPr>
            <sz val="9"/>
            <color indexed="81"/>
            <rFont val="Segoe UI"/>
            <family val="2"/>
          </rPr>
          <t xml:space="preserve">ID: 90335
Label: bag222px_q
Database: wiiw Monthly Database - Public
Status: active
Calculation: 
Calculation_M: Q-&gt;M EOP(L_bag222px_q&gt;mdb)
Calculation_Q: Share(L_bag222n_q&gt;mdb,L_bag11tzn_q&gt;mdb)
Calculation_A: Share(L_bag222n_q&gt;mdb,L_bag11tzn_q&gt;mdb)
Periodicity: Q
Data available M: 2000m3 - 2023m9
Data available Q: 2000q1 - 2023q3
Data available A: 2000 - 2022
Text 99: 
Automatic update period: 1999|2015
Time shift: 
Note: 
Reporter: BA - Bosnia and Herzegovina
Chapter 1: 02_NA - National accounts
Indicator: SC0212 - Household final consumption expenditure
Unit: 09_Share_%gdp - in % of GDP
Footnote 1:  - 
Footnote 2:  - 
Footnote 3:  - 
Footnote 4:  - 
Source 1: Z_ESTAT - Eurostat
Source 2: Z_wiiw - wiiw
Source 3:  - 
</t>
        </r>
      </text>
    </comment>
    <comment ref="AB8" authorId="1" shapeId="0" xr:uid="{84484DC6-7A5C-485F-A393-67FE08A9ED03}">
      <text>
        <r>
          <rPr>
            <sz val="9"/>
            <color indexed="81"/>
            <rFont val="Segoe UI"/>
            <family val="2"/>
          </rPr>
          <t xml:space="preserve">ID: 90379
Label: bag223px_q
Database: wiiw Monthly Database - Public
Status: active
Calculation: 
Calculation_M: Q-&gt;M EOP(L_bag223px_q&gt;mdb)
Calculation_Q: Share(L_bag223n_q&gt;mdb,L_bag11tzn_q&gt;mdb)
Calculation_A: Share(L_bag223n_q&gt;mdb,L_bag11tzn_q&gt;mdb)
Periodicity: Q
Data available M: 2000m3 - 2023m9
Data available Q: 2000q1 - 2023q3
Data available A: 2000 - 2022
Text 99: 
Automatic update period: 1999|2015
Time shift: 
Note: 
Reporter: BA - Bosnia and Herzegovina
Chapter 1: 02_NA - National accounts
Indicator: SC0214 - Government final consumption expenditure
Unit: 09_Share_%gdp - in % of GDP
Footnote 1:  - 
Footnote 2:  - 
Footnote 3:  - 
Footnote 4:  - 
Source 1: Z_ESTAT - Eurostat
Source 2: Z_wiiw - wiiw
Source 3:  - 
</t>
        </r>
      </text>
    </comment>
    <comment ref="AC8" authorId="1" shapeId="0" xr:uid="{75B93B92-A7AF-4B2B-AE92-A7ACF6E9F771}">
      <text>
        <r>
          <rPr>
            <sz val="9"/>
            <color indexed="81"/>
            <rFont val="Segoe UI"/>
            <family val="2"/>
          </rPr>
          <t xml:space="preserve">ID: 90401
Label: bag224px_q
Database: wiiw Monthly Database - Public
Status: active
Calculation: 
Calculation_M: Q-&gt;M EOP(L_bag224px_q&gt;mdb)
Calculation_Q: Share(L_bag224n_q&gt;mdb,L_bag11tzn_q&gt;mdb)
Calculation_A: Share(L_bag224n_q&gt;mdb,L_bag11tzn_q&gt;mdb)
Periodicity: Q
Data available M: 2000m3 - 2023m9
Data available Q: 2000q1 - 2023q3
Data available A: 2000 - 2022
Text 99: 
Automatic update period: 1999|2015
Time shift: 
Note: 
Reporter: BA - Bosnia and Herzegovina
Chapter 1: 02_NA - National accounts
Indicator: SC0217 - Gross capital formation
Unit: 09_Share_%gdp - in % of GDP
Footnote 1:  - 
Footnote 2:  - 
Footnote 3:  - 
Footnote 4:  - 
Source 1: Z_ESTAT - Eurostat
Source 2: Z_wiiw - wiiw
Source 3:  - 
</t>
        </r>
      </text>
    </comment>
    <comment ref="AD8" authorId="1" shapeId="0" xr:uid="{7026D21B-D4EF-4194-9DCB-340E6F6FCF36}">
      <text>
        <r>
          <rPr>
            <sz val="9"/>
            <color indexed="81"/>
            <rFont val="Segoe UI"/>
            <family val="2"/>
          </rPr>
          <t xml:space="preserve">ID: 90489
Label: bag228px_q
Database: wiiw Monthly Database - Public
Status: active
Calculation: 
Calculation_M: Q-&gt;M EOP(L_bag228px_q&gt;mdb)
Calculation_Q: Share(L_bag228n_q&gt;mdb,L_bag11tzn_q&gt;mdb)
Calculation_A: Share(L_bag228n_q&gt;mdb,L_bag11tzn_q&gt;mdb)
Periodicity: Q
Data available M: 2000m3 - 2023m9
Data available Q: 2000q1 - 2023q3
Data available A: 2000 - 2022
Text 99: 
Automatic update period: 1999|2015
Time shift: 
Note: 
Reporter: BA - Bosnia and Herzegovina
Chapter 1: 02_NA - National accounts
Indicator: SC0221 - Exports of goods and services
Unit: 09_Share_%gdp - in % of GDP
Footnote 1:  - 
Footnote 2:  - 
Footnote 3:  - 
Footnote 4:  - 
Source 1: Z_ESTAT - Eurostat
Source 2: Z_wiiw - wiiw
Source 3:  - 
</t>
        </r>
      </text>
    </comment>
    <comment ref="AE8" authorId="1" shapeId="0" xr:uid="{1DA4CFBB-8BB0-47D1-9558-38B869B290AE}">
      <text>
        <r>
          <rPr>
            <sz val="9"/>
            <color indexed="81"/>
            <rFont val="Segoe UI"/>
            <family val="2"/>
          </rPr>
          <t xml:space="preserve">ID: 90511
Label: bag229px_q
Database: wiiw Monthly Database - Public
Status: active
Calculation: 
Calculation_M: Q-&gt;M EOP(L_bag229px_q&gt;mdb)
Calculation_Q: Share(L_bag229n_q&gt;mdb,L_bag11tzn_q&gt;mdb)
Calculation_A: Share(L_bag229n_q&gt;mdb,L_bag11tzn_q&gt;mdb)
Periodicity: Q
Data available M: 2000m3 - 2023m9
Data available Q: 2000q1 - 2023q3
Data available A: 2000 - 2022
Text 99: 
Automatic update period: 1999|2015
Time shift: 
Note: 
Reporter: BA - Bosnia and Herzegovina
Chapter 1: 02_NA - National accounts
Indicator: SC0222 - Imports of goods and services
Unit: 09_Share_%gdp - in % of GDP
Footnote 1:  - 
Footnote 2:  - 
Footnote 3:  - 
Footnote 4:  - 
Source 1: Z_ESTAT - Eurostat
Source 2: Z_wiiw - wiiw
Source 3:  - 
</t>
        </r>
      </text>
    </comment>
    <comment ref="AF8" authorId="1" shapeId="0" xr:uid="{3A2C6B4F-88A3-4AEE-A466-B35F5379B00C}">
      <text>
        <r>
          <rPr>
            <sz val="9"/>
            <color indexed="81"/>
            <rFont val="Segoe UI"/>
            <family val="2"/>
          </rPr>
          <t xml:space="preserve">ID: 89609
Label: bafls14scx
Database: wiiw Monthly Database - Public
Status: active
Calculation: SubScal(L_bafls14scx&gt;mdb,100)
Calculation_M: CPPY=100(L_bafls14e&gt;mdb)
Calculation_Q: M-&gt;Q EOP(L_bafls14scx&gt;mdb)
Calculation_A: Q-&gt;A EOP(L_bafls14scx&gt;mdb)
Periodicity: Q
Data available M: 2001m1 - 2023m11
Data available Q: 2001q1 - 2023q3
Data available A: 2001 - 2022
Text 99: 
Automatic update period: 1999|2015
Time shift: 
Note: 
Reporter: BA - Bosnia and Herzegovina
Chapter 1: 10_DF - Domestic finance
Indicator: SC1066 - Loans households (S14)
Unit: 04_Inom_32 - index nominal, corresponding period of previous year = 100
Footnote 1:  - 
Footnote 2:  - 
Footnote 3:  - 
Footnote 4:  - 
Source 1: QBA2 - Central Bank of Bosnia and Herzegovina
Source 2: Z_wiiw - wiiw
Source 3:  - 
</t>
        </r>
      </text>
    </comment>
    <comment ref="AG8" authorId="1" shapeId="0" xr:uid="{81D5F2AB-B705-406F-8507-A9DF0DE410D8}">
      <text>
        <r>
          <rPr>
            <sz val="9"/>
            <color indexed="81"/>
            <rFont val="Segoe UI"/>
            <family val="2"/>
          </rPr>
          <t xml:space="preserve">ID: 
Label: 
Database: 
Status: UNKNOWN
Calculation: 
Calculation_M: 
Calculation_Q: 
Calculation_A: 
Periodicity: Q
Data available M: 
Data available Q: 
Data available A: 
Text 99: 
Automatic update period: 1999|2015
Time shift: 
Note: 
</t>
        </r>
      </text>
    </comment>
    <comment ref="G101" authorId="0" shapeId="0" xr:uid="{EF120FCF-2F8A-4D36-97F1-677146EA584E}">
      <text>
        <r>
          <rPr>
            <b/>
            <sz val="9"/>
            <color indexed="81"/>
            <rFont val="Tahoma"/>
            <family val="2"/>
          </rPr>
          <t>BJ:</t>
        </r>
        <r>
          <rPr>
            <sz val="9"/>
            <color indexed="81"/>
            <rFont val="Tahoma"/>
            <family val="2"/>
          </rPr>
          <t xml:space="preserve">
from the budget for 2022</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BJ</author>
    <author>Alexandra Bykova</author>
  </authors>
  <commentList>
    <comment ref="B1" authorId="0" shapeId="0" xr:uid="{D0E2EB4B-5D63-4572-A102-529F3480388C}">
      <text>
        <r>
          <rPr>
            <b/>
            <sz val="9"/>
            <color indexed="81"/>
            <rFont val="Tahoma"/>
            <family val="2"/>
          </rPr>
          <t>BJ:</t>
        </r>
        <r>
          <rPr>
            <sz val="9"/>
            <color indexed="81"/>
            <rFont val="Tahoma"/>
            <family val="2"/>
          </rPr>
          <t xml:space="preserve">
EU 27, seasonally and calendar adjusted
Eurostat</t>
        </r>
      </text>
    </comment>
    <comment ref="C1" authorId="0" shapeId="0" xr:uid="{DD86167E-EBC4-4BFB-99E7-0C4FF33A708B}">
      <text>
        <r>
          <rPr>
            <b/>
            <sz val="9"/>
            <color indexed="81"/>
            <rFont val="Tahoma"/>
            <family val="2"/>
          </rPr>
          <t>BJ:</t>
        </r>
        <r>
          <rPr>
            <sz val="9"/>
            <color indexed="81"/>
            <rFont val="Tahoma"/>
            <family val="2"/>
          </rPr>
          <t xml:space="preserve">
Eurostat</t>
        </r>
      </text>
    </comment>
    <comment ref="D1" authorId="0" shapeId="0" xr:uid="{03F6DEAD-C593-427D-98C9-3F59AECB0D5A}">
      <text>
        <r>
          <rPr>
            <b/>
            <sz val="9"/>
            <color indexed="81"/>
            <rFont val="Tahoma"/>
            <family val="2"/>
          </rPr>
          <t>BJ:</t>
        </r>
        <r>
          <rPr>
            <sz val="9"/>
            <color indexed="81"/>
            <rFont val="Tahoma"/>
            <family val="2"/>
          </rPr>
          <t xml:space="preserve">
EU changing composition
Eurostat</t>
        </r>
      </text>
    </comment>
    <comment ref="E1" authorId="0" shapeId="0" xr:uid="{20CBCE38-9867-418D-AF9F-584D86A1FFED}">
      <text>
        <r>
          <rPr>
            <b/>
            <sz val="9"/>
            <color indexed="81"/>
            <rFont val="Tahoma"/>
            <family val="2"/>
          </rPr>
          <t>BJ:</t>
        </r>
        <r>
          <rPr>
            <sz val="9"/>
            <color indexed="81"/>
            <rFont val="Tahoma"/>
            <family val="2"/>
          </rPr>
          <t xml:space="preserve">
ECB</t>
        </r>
      </text>
    </comment>
    <comment ref="F1" authorId="0" shapeId="0" xr:uid="{BE2A88A7-B661-4DEB-9C72-8AC796C065EF}">
      <text>
        <r>
          <rPr>
            <b/>
            <sz val="9"/>
            <color indexed="81"/>
            <rFont val="Tahoma"/>
            <family val="2"/>
          </rPr>
          <t>BJ:</t>
        </r>
        <r>
          <rPr>
            <sz val="9"/>
            <color indexed="81"/>
            <rFont val="Tahoma"/>
            <family val="2"/>
          </rPr>
          <t xml:space="preserve">
Crude oil, average, from WB pink sheets</t>
        </r>
      </text>
    </comment>
    <comment ref="G1" authorId="0" shapeId="0" xr:uid="{636B4DD8-6D4F-4987-8DA0-545747E37BC3}">
      <text>
        <r>
          <rPr>
            <sz val="9"/>
            <color indexed="81"/>
            <rFont val="Tahoma"/>
            <family val="2"/>
          </rPr>
          <t>General gov, nominal yoy growth, in NCU
wiiw</t>
        </r>
      </text>
    </comment>
    <comment ref="H1" authorId="0" shapeId="0" xr:uid="{AF5BF7A9-7FD2-4991-B0BE-B2C4FC639FD8}">
      <text>
        <r>
          <rPr>
            <b/>
            <sz val="9"/>
            <color indexed="81"/>
            <rFont val="Tahoma"/>
            <family val="2"/>
          </rPr>
          <t>BJ:</t>
        </r>
        <r>
          <rPr>
            <sz val="9"/>
            <color indexed="81"/>
            <rFont val="Tahoma"/>
            <family val="2"/>
          </rPr>
          <t xml:space="preserve">
General gov. budget - revenues NCU m (incl. 'euro fixed' series)
wiiw</t>
        </r>
      </text>
    </comment>
    <comment ref="I1" authorId="0" shapeId="0" xr:uid="{BCC47988-9569-405F-9348-16A647410BAF}">
      <text>
        <r>
          <rPr>
            <b/>
            <sz val="9"/>
            <color indexed="81"/>
            <rFont val="Tahoma"/>
            <family val="2"/>
          </rPr>
          <t>BJ:</t>
        </r>
        <r>
          <rPr>
            <sz val="9"/>
            <color indexed="81"/>
            <rFont val="Tahoma"/>
            <family val="2"/>
          </rPr>
          <t xml:space="preserve">
General gov. budget - balance
 in % of GDP
wiiw</t>
        </r>
      </text>
    </comment>
    <comment ref="J1" authorId="0" shapeId="0" xr:uid="{0A783B3A-8CE3-4001-9FC4-1A86A854D0F5}">
      <text>
        <r>
          <rPr>
            <b/>
            <sz val="9"/>
            <color indexed="81"/>
            <rFont val="Tahoma"/>
            <family val="2"/>
          </rPr>
          <t>BJ:</t>
        </r>
        <r>
          <rPr>
            <sz val="9"/>
            <color indexed="81"/>
            <rFont val="Tahoma"/>
            <family val="2"/>
          </rPr>
          <t xml:space="preserve">
For all GDP: 
NCU m, 2015 reference prices (prev. year prices, incl. 'euro fixed' series)
wiiw</t>
        </r>
      </text>
    </comment>
    <comment ref="K1" authorId="0" shapeId="0" xr:uid="{D4590DD4-D3E3-48B3-9E01-E786F8987049}">
      <text>
        <r>
          <rPr>
            <b/>
            <sz val="9"/>
            <color indexed="81"/>
            <rFont val="Tahoma"/>
            <family val="2"/>
          </rPr>
          <t>BJ:</t>
        </r>
        <r>
          <rPr>
            <sz val="9"/>
            <color indexed="81"/>
            <rFont val="Tahoma"/>
            <family val="2"/>
          </rPr>
          <t xml:space="preserve">
Households + NPISH
Only Households</t>
        </r>
      </text>
    </comment>
    <comment ref="M1" authorId="0" shapeId="0" xr:uid="{F0CA79AF-D438-4433-8C1B-F589459EFDC2}">
      <text>
        <r>
          <rPr>
            <b/>
            <sz val="9"/>
            <color indexed="81"/>
            <rFont val="Tahoma"/>
            <family val="2"/>
          </rPr>
          <t>BJ:</t>
        </r>
        <r>
          <rPr>
            <sz val="9"/>
            <color indexed="81"/>
            <rFont val="Tahoma"/>
            <family val="2"/>
          </rPr>
          <t xml:space="preserve">
Gross capital formation</t>
        </r>
      </text>
    </comment>
    <comment ref="P1" authorId="0" shapeId="0" xr:uid="{7DC66BE9-93A0-4DC3-94FE-2C1D14568857}">
      <text>
        <r>
          <rPr>
            <b/>
            <sz val="9"/>
            <color indexed="81"/>
            <rFont val="Tahoma"/>
            <family val="2"/>
          </rPr>
          <t>Employment, LFS, thousand persons
wiiw</t>
        </r>
      </text>
    </comment>
    <comment ref="Q1" authorId="0" shapeId="0" xr:uid="{E646F669-7867-46CE-8739-EAD6C4CBE641}">
      <text>
        <r>
          <rPr>
            <b/>
            <sz val="9"/>
            <color indexed="81"/>
            <rFont val="Tahoma"/>
            <family val="2"/>
          </rPr>
          <t>Unemployment, LFS, thousand persons
wiiw</t>
        </r>
      </text>
    </comment>
    <comment ref="R1" authorId="0" shapeId="0" xr:uid="{C15AC78E-B10F-4988-B621-99BC7DC0D3A7}">
      <text>
        <r>
          <rPr>
            <b/>
            <sz val="9"/>
            <color indexed="81"/>
            <rFont val="Tahoma"/>
            <family val="2"/>
          </rPr>
          <t>Unemployment, LFS, in %
wiiw</t>
        </r>
      </text>
    </comment>
    <comment ref="S1" authorId="0" shapeId="0" xr:uid="{749FF6FB-F651-462D-A590-0834E90F8E4F}">
      <text>
        <r>
          <rPr>
            <sz val="9"/>
            <color indexed="81"/>
            <rFont val="Tahoma"/>
            <family val="2"/>
          </rPr>
          <t>Average monthly gross wages total, 
national currency (incl. 'euro fixed' series), yoy growth
wiiw</t>
        </r>
      </text>
    </comment>
    <comment ref="T1" authorId="0" shapeId="0" xr:uid="{DE339FED-BC62-4F72-873C-ADAAB4110041}">
      <text>
        <r>
          <rPr>
            <b/>
            <sz val="9"/>
            <color indexed="81"/>
            <rFont val="Tahoma"/>
            <family val="2"/>
          </rPr>
          <t>BJ:</t>
        </r>
        <r>
          <rPr>
            <sz val="9"/>
            <color indexed="81"/>
            <rFont val="Tahoma"/>
            <family val="2"/>
          </rPr>
          <t xml:space="preserve">
Central bank policy rate, nominal
wiiw</t>
        </r>
      </text>
    </comment>
    <comment ref="U1" authorId="0" shapeId="0" xr:uid="{A02449E6-0BA8-4687-9C66-2F89B574D98A}">
      <text>
        <r>
          <rPr>
            <b/>
            <sz val="9"/>
            <color indexed="81"/>
            <rFont val="Tahoma"/>
            <family val="2"/>
          </rPr>
          <t>BJ:</t>
        </r>
        <r>
          <rPr>
            <sz val="9"/>
            <color indexed="81"/>
            <rFont val="Tahoma"/>
            <family val="2"/>
          </rPr>
          <t xml:space="preserve">
Consumer prices index, monthly average, 2015 = 100
wiiw</t>
        </r>
      </text>
    </comment>
    <comment ref="V1" authorId="0" shapeId="0" xr:uid="{2F3B620E-45E6-42A3-B473-48564AE043FC}">
      <text>
        <r>
          <rPr>
            <b/>
            <sz val="9"/>
            <color indexed="81"/>
            <rFont val="Tahoma"/>
            <family val="2"/>
          </rPr>
          <t>BJ:</t>
        </r>
        <r>
          <rPr>
            <sz val="9"/>
            <color indexed="81"/>
            <rFont val="Tahoma"/>
            <family val="2"/>
          </rPr>
          <t xml:space="preserve">
Exchange rate nominal NCU/EUR, period average
wiiw</t>
        </r>
      </text>
    </comment>
    <comment ref="W1" authorId="0" shapeId="0" xr:uid="{768391CC-D551-45CE-992E-905CE75A2589}">
      <text>
        <r>
          <rPr>
            <b/>
            <sz val="9"/>
            <color indexed="81"/>
            <rFont val="Tahoma"/>
            <family val="2"/>
          </rPr>
          <t>BJ:</t>
        </r>
        <r>
          <rPr>
            <sz val="9"/>
            <color indexed="81"/>
            <rFont val="Tahoma"/>
            <family val="2"/>
          </rPr>
          <t xml:space="preserve">
 Industrial output (BCD - NACE Rev. 2), index real, monthly average, 2015 = 100, yoy growth
wiiw</t>
        </r>
      </text>
    </comment>
    <comment ref="X1" authorId="0" shapeId="0" xr:uid="{D9B463F2-BC48-4408-9F9B-63812CA2D7C4}">
      <text>
        <r>
          <rPr>
            <b/>
            <sz val="9"/>
            <color indexed="81"/>
            <rFont val="Tahoma"/>
            <family val="2"/>
          </rPr>
          <t>BJ:</t>
        </r>
        <r>
          <rPr>
            <sz val="9"/>
            <color indexed="81"/>
            <rFont val="Tahoma"/>
            <family val="2"/>
          </rPr>
          <t xml:space="preserve">
Exports total, fob EUR m, yoy growth
wiiw
Alexandra: changed to BOP: exports of goods and services</t>
        </r>
      </text>
    </comment>
    <comment ref="Y1" authorId="0" shapeId="0" xr:uid="{D266E244-82B7-48D6-8D9C-0DA9F18A9660}">
      <text>
        <r>
          <rPr>
            <b/>
            <sz val="9"/>
            <color indexed="81"/>
            <rFont val="Tahoma"/>
            <family val="2"/>
          </rPr>
          <t>BJ:</t>
        </r>
        <r>
          <rPr>
            <sz val="9"/>
            <color indexed="81"/>
            <rFont val="Tahoma"/>
            <family val="2"/>
          </rPr>
          <t xml:space="preserve">
 Imports total, cif EUR m
wiiw
Alexandra: changed to BOP: imports of goods and services</t>
        </r>
      </text>
    </comment>
    <comment ref="Z1" authorId="0" shapeId="0" xr:uid="{54645119-4F00-4CC9-96B5-D15B99886A1B}">
      <text>
        <r>
          <rPr>
            <b/>
            <sz val="9"/>
            <color indexed="81"/>
            <rFont val="Tahoma"/>
            <family val="2"/>
          </rPr>
          <t>BJ:</t>
        </r>
        <r>
          <rPr>
            <sz val="9"/>
            <color indexed="81"/>
            <rFont val="Tahoma"/>
            <family val="2"/>
          </rPr>
          <t xml:space="preserve">
Current account in % of GDP
wiiw</t>
        </r>
      </text>
    </comment>
    <comment ref="AA1" authorId="0" shapeId="0" xr:uid="{94ECBD8B-2BC3-4508-BC09-00549B6D0E12}">
      <text>
        <r>
          <rPr>
            <b/>
            <sz val="9"/>
            <color indexed="81"/>
            <rFont val="Tahoma"/>
            <family val="2"/>
          </rPr>
          <t>BJ:</t>
        </r>
        <r>
          <rPr>
            <sz val="9"/>
            <color indexed="81"/>
            <rFont val="Tahoma"/>
            <family val="2"/>
          </rPr>
          <t xml:space="preserve">
Households + NPISH</t>
        </r>
      </text>
    </comment>
    <comment ref="AC1" authorId="0" shapeId="0" xr:uid="{6A5C4342-F2CF-4CF8-9D3F-DBDCDA77558D}">
      <text>
        <r>
          <rPr>
            <b/>
            <sz val="9"/>
            <color indexed="81"/>
            <rFont val="Tahoma"/>
            <family val="2"/>
          </rPr>
          <t>BJ:</t>
        </r>
        <r>
          <rPr>
            <sz val="9"/>
            <color indexed="81"/>
            <rFont val="Tahoma"/>
            <family val="2"/>
          </rPr>
          <t xml:space="preserve">
Gross capital formation</t>
        </r>
      </text>
    </comment>
    <comment ref="AF1" authorId="0" shapeId="0" xr:uid="{63365B42-E151-4A6C-A774-C4F3C26DB200}">
      <text>
        <r>
          <rPr>
            <b/>
            <sz val="9"/>
            <color indexed="81"/>
            <rFont val="Tahoma"/>
            <family val="2"/>
          </rPr>
          <t>BJ:</t>
        </r>
        <r>
          <rPr>
            <sz val="9"/>
            <color indexed="81"/>
            <rFont val="Tahoma"/>
            <family val="2"/>
          </rPr>
          <t xml:space="preserve">
loans to households, nominal, yoy growth rates</t>
        </r>
      </text>
    </comment>
    <comment ref="B8" authorId="1" shapeId="0" xr:uid="{4BA58EE1-25B0-4279-A812-BDBCCBCF3007}">
      <text>
        <r>
          <rPr>
            <sz val="9"/>
            <color indexed="81"/>
            <rFont val="Segoe UI"/>
            <family val="2"/>
          </rPr>
          <t xml:space="preserve">ID: 144396
Label: eug11tscrx_q
Database: wiiw Monthly Database - Hidden
Status: active
Calculation: 
Calculation_M: SubScal(L_eug11tscx_q&gt;mdb,100)
Calculation_Q: SubScal(L_eug11tscx_q&gt;mdb,100)
Calculation_A: SubScal(L_eug11tscx_q&gt;mdb,100)
Periodicity: Q
Data available M: 1996m3 - 2023m9
Data available Q: 1996q1 - 2023q3
Data available A: 1996 - 2022
Text 99: 
Automatic update period: 1999|2015
Time shift: 
Note: 
Reporter: EU27_2020 - EU - 27 countries (from 2020)
Chapter 1: 02_NA - National accounts
Indicator: SC0201 - Gross domestic product total
Unit: 05_Ireal_36 - real growth rate to corresponding period of previous year in %
Footnote 1: FZZ05 - According to ESA'10.
Footnote 2:  - 
Footnote 3:  - 
Footnote 4:  - 
Source 1: Z_ESTAT - Eurostat
Source 2: Z_wiiw - wiiw
Source 3:  - 
</t>
        </r>
      </text>
    </comment>
    <comment ref="C8" authorId="1" shapeId="0" xr:uid="{DA2D9866-1BA4-4AF3-9734-F8A5F1D045BB}">
      <text>
        <r>
          <rPr>
            <sz val="9"/>
            <color indexed="81"/>
            <rFont val="Segoe UI"/>
            <family val="2"/>
          </rPr>
          <t xml:space="preserve">ID: 77811
Label: eup1p1tsa
Database: wiiw Monthly Database - Hidden
Status: active
Calculation: 
Calculation_M: 
Calculation_Q: m-&gt;q AVG(L_eup1p1tsa&gt;mdb)
Calculation_A: q-&gt;a AVG(L_eup1p1tsa&gt;mdb)
Periodicity: Q
Data available M: 1999m1 - 2023m12
Data available Q: 1999q1 - 2023q4
Data available A: 1999 - 2023
Text 99: 
Automatic update period: 1999|2015
Time shift: 
Note: 
Reporter: EU - European Union evolutionary
Chapter 1: 07_PRC - Prices
Indicator: SC0701 - Consumer prices
Unit: 03_I_1_085_15avg - index, monthly average, 2015 = 100
Footnote 1: FZZ40 - Based on HICP (Harmonized Index of Consumer Prices).
Footnote 2:  - 
Footnote 3:  - 
Footnote 4:  - 
Source 1: Z_ESTAT - Eurostat
Source 2:  - 
Source 3:  - 
</t>
        </r>
      </text>
    </comment>
    <comment ref="D8" authorId="1" shapeId="0" xr:uid="{6270ADAF-8447-456D-9A8E-2666EFFFF9DB}">
      <text>
        <r>
          <rPr>
            <sz val="9"/>
            <color indexed="81"/>
            <rFont val="Segoe UI"/>
            <family val="2"/>
          </rPr>
          <t xml:space="preserve">ID: 77812
Label: eup1p1tscx
Database: wiiw Monthly Database - Hidden
Status: active
Calculation: SubScal(L_eup1p1tscx&gt;mdb,100)
Calculation_M: CPPY=100(L_eup1p1tsa&gt;mdb)
Calculation_Q: CPPY=100(L_eup1p1tsa&gt;mdb)
Calculation_A: CPPY=100(L_eup1p1tsa&gt;mdb)
Periodicity: Q
Data available M: 1992m1 - 2023m12
Data available Q: 1992q1 - 2023q4
Data available A: 1992 - 2023
Text 99: 
Automatic update period: 1999|2015
Time shift: 
Note: 
Reporter: EU - European Union evolutionary
Chapter 1: 07_PRC - Prices
Indicator: SC0701 - Consumer prices
Unit: 03_I_32 - index, corresponding period of previous year = 100
Footnote 1: FZZ40 - Based on HICP (Harmonized Index of Consumer Prices).
Footnote 2:  - 
Footnote 3:  - 
Footnote 4:  - 
Source 1: Z_ESTAT - Eurostat
Source 2: Z_wiiw - wiiw
Source 3:  - 
</t>
        </r>
      </text>
    </comment>
    <comment ref="E8" authorId="1" shapeId="0" xr:uid="{0B94B46F-92C6-4A6E-9A0B-0358AAF9B196}">
      <text>
        <r>
          <rPr>
            <sz val="9"/>
            <color indexed="81"/>
            <rFont val="Segoe UI"/>
            <family val="2"/>
          </rPr>
          <t xml:space="preserve">ID: 144399
Label: eafrr1tp_help
Database: wiiw Monthly Database - Hidden
Status: active
Calculation: 
Calculation_M: L_eafrr1tp&gt;mdb
Calculation_Q: m-&gt;q AVG(L_eafrr1tp&gt;mdb)
Calculation_A: q-&gt;a AVG(L_eafrr1tp&gt;mdb)
Periodicity: Q
Data available M: 1999m1 - 2023m12
Data available Q: 1999q1 - 2023q4
Data available A: 1999 - 2023
Text 99: 
Automatic update period: 1999|2015
Time shift: 
Note: 
Reporter: EA - Euro area evolutionary
Chapter 1: 10_DF - Domestic finance
Indicator: SC1050 - Central bank policy rate
Unit: 06_IntR_6 - % p.a., period average
Footnote 1: FZZ50 - Official refinancing operation rates for euro area (ECB), rate in fixed rate tenders (between June 2000 and September 2008 the minimum bid rate in variable rate tenders was applied).
Footnote 2:  - 
Footnote 3:  - 
Footnote 4:  - 
Source 1: Z_ECB - European Central Bank
Source 2:  - 
Source 3:  - 
</t>
        </r>
      </text>
    </comment>
    <comment ref="F8" authorId="1" shapeId="0" xr:uid="{BBA518B8-D96F-4638-B05A-7A23984EFE09}">
      <text>
        <r>
          <rPr>
            <sz val="9"/>
            <color indexed="81"/>
            <rFont val="Segoe UI"/>
            <family val="2"/>
          </rPr>
          <t xml:space="preserve">ID: 101874
Label: usp2oila
Database: wiiw Monthly Database - Hidden
Status: active
Calculation: 
Calculation_M: 
Calculation_Q: M-&gt;Q AVG(L_usp2oila&gt;mdb)
Calculation_A: Q-&gt;A AVG(L_usp2oila&gt;mdb)
Periodicity: Q
Data available M: 1990m1 - 2023m12
Data available Q: 1990q1 - 2023q4
Data available A: 1990 - 2023
Text 99: 
Automatic update period: 1999|2015
Time shift: 
Note: Oil prices  &amp; Europe Brent Spot Price FOB (Dollars per Barrel) &amp; EIA (US) Source of the data. Gespeichert auf die EU&amp;US Karten.
Reporter: US - United States
Chapter 1: 11_FF - Foreign finance
Indicator:  - 
Unit:  - 
Footnote 1:  - 
Footnote 2:  - 
Footnote 3:  - 
Footnote 4:  - 
Source 1:  - 
Source 2:  - 
Source 3:  - 
</t>
        </r>
      </text>
    </comment>
    <comment ref="G8" authorId="1" shapeId="0" xr:uid="{FF6C2ECF-465E-4742-892D-F4A47298F6FC}">
      <text>
        <r>
          <rPr>
            <sz val="9"/>
            <color indexed="81"/>
            <rFont val="Segoe UI"/>
            <family val="2"/>
          </rPr>
          <t xml:space="preserve">ID: 53383
Label: mebg21nx
Database: wiiw Monthly Database - Public
Status: active
Calculation: SubScal(CPPY=100(L_mebg21nx&gt;mdb),100)
Calculation_M: DeCum(L_mebg21nu&gt;mdb)
Calculation_Q: M-&gt;Q CUMPER(L_mebg21nx&gt;mdb)
Calculation_A: Q-&gt;A CUMPER(L_mebg21nx&gt;mdb)
Periodicity: Q
Data available M: 2006m3 - 2023m11
Data available Q: 2006q1 - 2023q3
Data available A: 2006 - 2022
Text 99: 
Automatic update period: 1999|2015
Time shift: 
Note: -
Reporter: ME - Montenegro
Chapter 1: 10_DF - Domestic finance
Indicator: SC1021 - General gov. budget - expenditures
Unit: 01_Curr_12 - NCU m (incl. 'euro fixed' series)
Footnote 1: FME14 - From 2012 central government budget only.
Footnote 2:  - 
Footnote 3:  - 
Footnote 4:  - 
Source 1: QME3 - Ministry of Finance of Montenegro
Source 2: Z_wiiw - wiiw
Source 3:  - 
</t>
        </r>
      </text>
    </comment>
    <comment ref="H8" authorId="1" shapeId="0" xr:uid="{EF545DE1-1215-4D11-B28E-0781FE16B482}">
      <text>
        <r>
          <rPr>
            <sz val="9"/>
            <color indexed="81"/>
            <rFont val="Segoe UI"/>
            <family val="2"/>
          </rPr>
          <t xml:space="preserve">ID: 53382
Label: mebg11nx
Database: wiiw Monthly Database - Public
Status: active
Calculation: SubScal(CPPY=100(L_mebg11nx&gt;mdb),100)
Calculation_M: DeCum(L_mebg11nu&gt;mdb)
Calculation_Q: M-&gt;Q CUMPER(L_mebg11nx&gt;mdb)
Calculation_A: Q-&gt;A CUMPER(L_mebg11nx&gt;mdb)
Periodicity: Q
Data available M: 2006m3 - 2023m11
Data available Q: 2006q1 - 2023q3
Data available A: 2006 - 2022
Text 99: 
Automatic update period: 1999|2015
Time shift: 
Note: -
Reporter: ME - Montenegro
Chapter 1: 10_DF - Domestic finance
Indicator: SC1020 - General gov. budget - revenues
Unit: 01_Curr_12 - NCU m (incl. 'euro fixed' series)
Footnote 1: FME14 - From 2012 central government budget only.
Footnote 2:  - 
Footnote 3:  - 
Footnote 4:  - 
Source 1: QME3 - Ministry of Finance of Montenegro
Source 2: Z_wiiw - wiiw
Source 3:  - 
</t>
        </r>
      </text>
    </comment>
    <comment ref="I8" authorId="1" shapeId="0" xr:uid="{7CDA8699-0186-4501-B5DB-70A34E019E0D}">
      <text>
        <r>
          <rPr>
            <sz val="9"/>
            <color indexed="81"/>
            <rFont val="Segoe UI"/>
            <family val="2"/>
          </rPr>
          <t xml:space="preserve">ID: 89223
Label: mebg31px_q
Database: wiiw Monthly Database - Public
Status: active
Calculation: 
Calculation_M: Q-&gt;M EOP(L_mebg31px_q&gt;mdb)
Calculation_Q: Share(L_mebg31nx&gt;mdb,L_meg11tn_q&gt;mdb)
Calculation_A: Share(L_mebg31nx&gt;mdb,L_meg11tn_q&gt;mdb)
Periodicity: Q
Data available M: 2010m3 - 2023m9
Data available Q: 2010q1 - 2023q3
Data available A: 2010 - 2022
Text 99: 
Automatic update period: 1999|2015
Time shift: 
Note: -
Reporter: ME - Montenegro
Chapter 1: 10_DF - Domestic finance
Indicator: SC1022 - General gov. budget - balance
Unit: 09_Share_%gdp - in % of GDP
Footnote 1: FME14 - From 2012 central government budget only.
Footnote 2:  - 
Footnote 3:  - 
Footnote 4:  - 
Source 1: QME3 - Ministry of Finance of Montenegro
Source 2: Z_wiiw - wiiw
Source 3:  - 
</t>
        </r>
      </text>
    </comment>
    <comment ref="J8" authorId="1" shapeId="0" xr:uid="{5244E3EE-4258-4646-8564-04F38CBBDCFF}">
      <text>
        <r>
          <rPr>
            <sz val="9"/>
            <color indexed="81"/>
            <rFont val="Segoe UI"/>
            <family val="2"/>
          </rPr>
          <t xml:space="preserve">ID: 88660
Label: meg11tr15_q
Database: wiiw Monthly Database - Public
Status: active
Calculation: SubScal(CPPY=100(L_meg11tr15_q&gt;mdb),100)
Calculation_M: q-&gt;m EOP(L_meg11tr15_q&gt;mdb)
Calculation_Q: 
Calculation_A: q-&gt;a CumPer(L_meg11tr15_q&gt;mdb)
Periodicity: Q
Data available M: 2010m3 - 2023m9
Data available Q: 2010q1 - 2023q3
Data available A: 2010 - 2022
Text 99: 
Automatic update period: 1999|2015
Time shift: 
Note: wiiw calc. Reihe from pyp
Reporter: ME - Montenegro
Chapter 1: 02_NA - National accounts
Indicator: SC0201 - Gross domestic product total
Unit: 01_Curr_15_085_15_r - NCU m, 2015 reference prices (prev. year prices, incl. 'euro fixed' series)
Footnote 1: FZZ05 - According to ESA'10.
Footnote 2: FZZ90 - wiiw estimates.
Footnote 3:  - 
Footnote 4:  - 
Source 1: QME1 - Statistical Office of Montenegro
Source 2: Z_wiiw - wiiw
Source 3:  - 
</t>
        </r>
      </text>
    </comment>
    <comment ref="K8" authorId="1" shapeId="0" xr:uid="{5D06FA89-4B18-40FC-BDD3-DA715DFA1333}">
      <text>
        <r>
          <rPr>
            <sz val="9"/>
            <color indexed="81"/>
            <rFont val="Segoe UI"/>
            <family val="2"/>
          </rPr>
          <t xml:space="preserve">ID: 90873
Label: meg222r15_q
Database: wiiw Monthly Database - Public
Status: active
Calculation: SubScal(CPPY=100(L_meg222r15_q&gt;mdb),100)
Calculation_M: q-&gt;m EOP(L_meg222r15_q&gt;mdb)
Calculation_Q: 
Calculation_A: q-&gt;a CumPer(L_meg222r15_q&gt;mdb)
Periodicity: Q
Data available M: 2010m3 - 2023m9
Data available Q: 2010q1 - 2023q3
Data available A: 2010 - 2022
Text 99: 
Automatic update period: 1999|2015
Time shift: 
Note: wiiw calc. Reihe from pyp
Reporter: ME - Montenegro
Chapter 1: 02_NA - National accounts
Indicator: SC0212 - Household final consumption expenditure
Unit: 01_Curr_15_085_15_r - NCU m, 2015 reference prices (prev. year prices, incl. 'euro fixed' series)
Footnote 1: FZZ07 - Including expenditures of NPISHs.
Footnote 2: FZZ90 - wiiw estimates.
Footnote 3:  - 
Footnote 4:  - 
Source 1: QME1 - Statistical Office of Montenegro
Source 2: Z_wiiw - wiiw
Source 3:  - 
</t>
        </r>
      </text>
    </comment>
    <comment ref="L8" authorId="1" shapeId="0" xr:uid="{E163B983-26B6-4510-A25B-94BF22F5550A}">
      <text>
        <r>
          <rPr>
            <sz val="9"/>
            <color indexed="81"/>
            <rFont val="Segoe UI"/>
            <family val="2"/>
          </rPr>
          <t xml:space="preserve">ID: 90917
Label: meg223r15_q
Database: wiiw Monthly Database - Public
Status: active
Calculation: SubScal(CPPY=100(L_meg223r15_q&gt;mdb),100)
Calculation_M: q-&gt;m EOP(L_meg223r15_q&gt;mdb)
Calculation_Q: 
Calculation_A: q-&gt;a CumPer(L_meg223r15_q&gt;mdb)
Periodicity: Q
Data available M: 2010m3 - 2023m9
Data available Q: 2010q1 - 2023q3
Data available A: 2010 - 2022
Text 99: 
Automatic update period: 1999|2015
Time shift: 
Note: wiiw calc. Reihe from pyp
Reporter: ME - Montenegro
Chapter 1: 02_NA - National accounts
Indicator: SC0214 - Government final consumption expenditure
Unit: 01_Curr_15_085_15_r - NCU m, 2015 reference prices (prev. year prices, incl. 'euro fixed' series)
Footnote 1: FZZ90 - wiiw estimates.
Footnote 2:  - 
Footnote 3:  - 
Footnote 4:  - 
Source 1: QME1 - Statistical Office of Montenegro
Source 2: Z_wiiw - wiiw
Source 3:  - 
</t>
        </r>
      </text>
    </comment>
    <comment ref="M8" authorId="1" shapeId="0" xr:uid="{8CBF9A2A-E946-4A9F-B853-AA9B8E59F9CB}">
      <text>
        <r>
          <rPr>
            <sz val="9"/>
            <color indexed="81"/>
            <rFont val="Segoe UI"/>
            <family val="2"/>
          </rPr>
          <t xml:space="preserve">ID: 90939
Label: meg224r15_q
Database: wiiw Monthly Database - Public
Status: active
Calculation: SubScal(CPPY=100(L_meg224r15_q&gt;mdb),100)
Calculation_M: q-&gt;m EOP(L_meg224r15_q&gt;mdb)
Calculation_Q: 
Calculation_A: q-&gt;a CumPer(L_meg224r15_q&gt;mdb)
Periodicity: Q
Data available M: 2010m3 - 2023m9
Data available Q: 2010q1 - 2023q3
Data available A: 2010 - 2022
Text 99: 
Automatic update period: 1999|2015
Time shift: 
Note: wiiw calc. Reihe from pyp
Reporter: ME - Montenegro
Chapter 1: 02_NA - National accounts
Indicator: SC0217 - Gross capital formation
Unit: 01_Curr_15_085_15_r - NCU m, 2015 reference prices (prev. year prices, incl. 'euro fixed' series)
Footnote 1: FZZ90 - wiiw estimates.
Footnote 2:  - 
Footnote 3:  - 
Footnote 4:  - 
Source 1: QME1 - Statistical Office of Montenegro
Source 2: Z_wiiw - wiiw
Source 3:  - 
</t>
        </r>
      </text>
    </comment>
    <comment ref="N8" authorId="1" shapeId="0" xr:uid="{D059EE49-8A90-41BA-9FCA-A612513D2DBA}">
      <text>
        <r>
          <rPr>
            <sz val="9"/>
            <color indexed="81"/>
            <rFont val="Segoe UI"/>
            <family val="2"/>
          </rPr>
          <t xml:space="preserve">ID: 90983
Label: meg228r15_q
Database: wiiw Monthly Database - Public
Status: active
Calculation: SubScal(CPPY=100(L_meg228r15_q&gt;mdb),100)
Calculation_M: q-&gt;m EOP(L_meg228r15_q&gt;mdb)
Calculation_Q: 
Calculation_A: q-&gt;a CumPer(L_meg228r15_q&gt;mdb)
Periodicity: Q
Data available M: 2010m3 - 2023m9
Data available Q: 2010q1 - 2023q3
Data available A: 2010 - 2022
Text 99: 
Automatic update period: 1999|2015
Time shift: 
Note: wiiw calc. Reihe from pyp
Reporter: ME - Montenegro
Chapter 1: 02_NA - National accounts
Indicator: SC0221 - Exports of goods and services
Unit: 01_Curr_15_085_15_r - NCU m, 2015 reference prices (prev. year prices, incl. 'euro fixed' series)
Footnote 1: FZZ90 - wiiw estimates.
Footnote 2:  - 
Footnote 3:  - 
Footnote 4:  - 
Source 1: QME1 - Statistical Office of Montenegro
Source 2: Z_wiiw - wiiw
Source 3:  - 
</t>
        </r>
      </text>
    </comment>
    <comment ref="O8" authorId="1" shapeId="0" xr:uid="{4CB5FEC2-E371-49D8-B8C4-68D77C15334E}">
      <text>
        <r>
          <rPr>
            <sz val="9"/>
            <color indexed="81"/>
            <rFont val="Segoe UI"/>
            <family val="2"/>
          </rPr>
          <t xml:space="preserve">ID: 91005
Label: meg229r15_q
Database: wiiw Monthly Database - Public
Status: active
Calculation: SubScal(CPPY=100(L_meg229r15_q&gt;mdb),100)
Calculation_M: q-&gt;m EOP(L_meg229r15_q&gt;mdb)
Calculation_Q: 
Calculation_A: q-&gt;a CumPer(L_meg229r15_q&gt;mdb)
Periodicity: Q
Data available M: 2010m3 - 2023m9
Data available Q: 2010q1 - 2023q3
Data available A: 2010 - 2022
Text 99: 
Automatic update period: 1999|2015
Time shift: 
Note: wiiw calc. Reihe from pyp
Reporter: ME - Montenegro
Chapter 1: 02_NA - National accounts
Indicator: SC0222 - Imports of goods and services
Unit: 01_Curr_15_085_15_r - NCU m, 2015 reference prices (prev. year prices, incl. 'euro fixed' series)
Footnote 1: FZZ90 - wiiw estimates.
Footnote 2:  - 
Footnote 3:  - 
Footnote 4:  - 
Source 1: QME1 - Statistical Office of Montenegro
Source 2: Z_wiiw - wiiw
Source 3:  - 
</t>
        </r>
      </text>
    </comment>
    <comment ref="P8" authorId="1" shapeId="0" xr:uid="{29ECB99B-B6B0-4698-A397-23223DFCA37E}">
      <text>
        <r>
          <rPr>
            <sz val="9"/>
            <color indexed="81"/>
            <rFont val="Segoe UI"/>
            <family val="2"/>
          </rPr>
          <t xml:space="preserve">ID: 53372
Label: mee51_ta_q
Database: wiiw Monthly Database - Public
Status: active
Calculation: 
Calculation_M: q-&gt;m EOP(L_mee51_ta_q&gt;mdb)
Calculation_Q: 
Calculation_A: q-&gt;a AVG(L_mee51_ta_q&gt;mdb)
Periodicity: Q
Data available M: 2008m3 - 2023m9
Data available Q: 2008q1 - 2023q3
Data available A: 2008 - 2022
Text 99: 
Automatic update period: 1999|2015
Time shift: 
Note: 
Reporter: ME - Montenegro
Chapter 1: 05_LAB - Labour market
Indicator: SC0501 - Employment, LFS
Unit: 02_Pers_11 - th persons, period average
Footnote 1: FZZ09 - From 2021 new methodology in line with the Integrated European Social Statistics Regulation (IESS).
Footnote 2: FME09 - From 2011 according to census April 2011.
Footnote 3:  - 
Footnote 4:  - 
Source 1: QME1 - Statistical Office of Montenegro
Source 2:  - 
Source 3:  - 
</t>
        </r>
      </text>
    </comment>
    <comment ref="Q8" authorId="1" shapeId="0" xr:uid="{2C80E5F9-BEF5-4707-AD83-246ED0203901}">
      <text>
        <r>
          <rPr>
            <sz val="9"/>
            <color indexed="81"/>
            <rFont val="Segoe UI"/>
            <family val="2"/>
          </rPr>
          <t xml:space="preserve">ID: 53376
Label: mee5u_ta_q
Database: wiiw Monthly Database - Public
Status: active
Calculation: 
Calculation_M: q-&gt;m EOP(L_mee5u_ta_q&gt;mdb)
Calculation_Q: 
Calculation_A: q-&gt;a AVG(L_mee5u_ta_q&gt;mdb)
Periodicity: Q
Data available M: 2008m3 - 2023m9
Data available Q: 2008q1 - 2023q3
Data available A: 2008 - 2022
Text 99: 
Automatic update period: 1999|2015
Time shift: 
Note: 
Reporter: ME - Montenegro
Chapter 1: 05_LAB - Labour market
Indicator: SC0507 - Unemployment, LFS
Unit: 02_Pers_11 - th persons, period average
Footnote 1: FZZ09 - From 2021 new methodology in line with the Integrated European Social Statistics Regulation (IESS).
Footnote 2: FME09 - From 2011 according to census April 2011.
Footnote 3:  - 
Footnote 4:  - 
Source 1: QME1 - Statistical Office of Montenegro
Source 2:  - 
Source 3:  - 
</t>
        </r>
      </text>
    </comment>
    <comment ref="R8" authorId="1" shapeId="0" xr:uid="{7307F1E3-1993-4A94-A647-A3B14F56A7CA}">
      <text>
        <r>
          <rPr>
            <sz val="9"/>
            <color indexed="81"/>
            <rFont val="Segoe UI"/>
            <family val="2"/>
          </rPr>
          <t xml:space="preserve">ID: 53378
Label: mee5u_tp_q
Database: wiiw Monthly Database - Public
Status: active
Calculation: 
Calculation_M: q-&gt;m EOP(L_mee5u_tp_q&gt;mdb)
Calculation_Q: 
Calculation_A: MulScal(Div(L_mee5u_ta_q&gt;mdb,Add(L_mee5u_ta_q&gt;mdb,L_mee51_ta_q&gt;mdb)),100)
Periodicity: Q
Data available M: 2008m3 - 2023m9
Data available Q: 2008q1 - 2023q3
Data available A: 2008 - 2022
Text 99: 
Automatic update period: 1999|2015
Time shift: 
Note: 
Reporter: ME - Montenegro
Chapter 1: 05_LAB - Labour market
Indicator: SC0508 - Unemployment rate, LFS
Unit: 02_Pers_21 - in %, period average
Footnote 1: FZZ09 - From 2021 new methodology in line with the Integrated European Social Statistics Regulation (IESS).
Footnote 2: FME09 - From 2011 according to census April 2011.
Footnote 3:  - 
Footnote 4:  - 
Source 1: QME1 - Statistical Office of Montenegro
Source 2:  - 
Source 3:  - 
</t>
        </r>
      </text>
    </comment>
    <comment ref="S8" authorId="1" shapeId="0" xr:uid="{222E6E45-3AF0-423C-9324-6D9830926677}">
      <text>
        <r>
          <rPr>
            <sz val="9"/>
            <color indexed="81"/>
            <rFont val="Segoe UI"/>
            <family val="2"/>
          </rPr>
          <t xml:space="preserve">ID: 321
Label: mew11_tccx
Database: wiiw Monthly Database - Public
Status: active
Calculation: SubScal(L_mew11_tccx&gt;mdb,100)
Calculation_M: CPPY=100(L_mew11_tn&gt;mdb)
Calculation_Q: CPPY=100(L_mew11_tn&gt;mdb)
Calculation_A: CPPY=100(L_mew11_tn&gt;mdb)
Periodicity: Q
Data available M: 2005m1 - 2023m12
Data available Q: 2005q1 - 2023q4
Data available A: 2005 - 2023
Text 99: 
Automatic update period: 1999|2015
Time shift: 
Note: 
Reporter: ME - Montenegro
Chapter 1: 06_WS - Wages
Indicator: SC0601 - Average monthly gross wages total
Unit: 04_Inom_32 - index nominal, corresponding period of previous year = 100
Footnote 1: FME01 - From 2007 wages actually received (previous wages divided by all registered employees).
Footnote 2:  - 
Footnote 3:  - 
Footnote 4:  - 
Source 1: QME1 - Statistical Office of Montenegro
Source 2: Z_wiiw - wiiw
Source 3:  - 
</t>
        </r>
      </text>
    </comment>
    <comment ref="T8" authorId="1" shapeId="0" xr:uid="{FE6738EE-77B4-4AB6-9F44-78A8376F9393}">
      <text>
        <r>
          <rPr>
            <sz val="9"/>
            <color indexed="81"/>
            <rFont val="Segoe UI"/>
            <family val="2"/>
          </rPr>
          <t xml:space="preserve">ID: 55352
Label: mefrr1tp
Database: wiiw Monthly Database - Public
Status: active
Calculation: 
Calculation_M: 
Calculation_Q: M-&gt;Q EOP(L_mefrr1tp&gt;mdb)
Calculation_A: Q-&gt;A EOP(L_mefrr1tp&gt;mdb)
Periodicity: Q
Data available M: 2005m9 - 2023m12
Data available Q: 2005q3 - 2023q4
Data available A: 2005 - 2023
Text 99: 
Automatic update period: 1999|2015
Time shift: 
Note: Details siehe wSTATISTIKwiiw_national_dataME10 Domestic financeME10_Interest_2011ff_M.xlsx &amp; W:STATISTIKwiiw_MDBMEWALNIR2005-2011.xlsx
Reporter: ME - Montenegro
Chapter 1: 10_DF - Domestic finance
Indicator: SC1050 - Central bank policy rate
Unit: 06_IntR_1 - % p.a., end of period
Footnote 1: FME08 - Average weighted lending interest rate of commercial banks (Montenegro uses euro as national currency).
Footnote 2:  - 
Footnote 3:  - 
Footnote 4:  - 
Source 1: QME2 - Central Bank of Montenegro
Source 2:  - 
Source 3:  - 
</t>
        </r>
      </text>
    </comment>
    <comment ref="U8" authorId="1" shapeId="0" xr:uid="{C3F9F4EC-1B93-4C53-8213-C6CF279BE8FF}">
      <text>
        <r>
          <rPr>
            <sz val="9"/>
            <color indexed="81"/>
            <rFont val="Segoe UI"/>
            <family val="2"/>
          </rPr>
          <t xml:space="preserve">ID: 101896
Label: mep1p1tsax
Database: wiiw Monthly Database - Hidden
Status: active
Calculation: 
Calculation_M: Index PP based(L_mep1p1tsb&gt;mdb,2015)
Calculation_Q: M-&gt;Q AVG(L_mep1p1tsax&gt;mdb)
Calculation_A: Q-&gt;A AVG(L_mep1p1tsax&gt;mdb)
Periodicity: Q
Data available M: 2000m12 - 2023m12
Data available Q: 2001q1 - 2023q4
Data available A: 2001 - 2023
Text 99: 
Automatic update period: 1999|2015
Time shift: 
Note: 
Reporter: ME - Montenegro
Chapter 1: 07_PRC - Prices
Indicator: SC0701 - Consumer prices
Unit: 03_I_1_085_15avg - index, monthly average, 2015 = 100
Footnote 1: FZZ10 - Index caluclated based on previous period growth rates. Please do not use for comparisons with previous year.
Footnote 2: FME03 - Until 2007 cost of living.
Footnote 3:  - 
Footnote 4:  - 
Source 1: QME1 - Statistical Office of Montenegro
Source 2:  - 
Source 3:  - 
</t>
        </r>
      </text>
    </comment>
    <comment ref="V8" authorId="1" shapeId="0" xr:uid="{21C6A540-C72E-4479-9280-9BD2C1447BEC}">
      <text>
        <r>
          <rPr>
            <sz val="9"/>
            <color indexed="81"/>
            <rFont val="Segoe UI"/>
            <family val="2"/>
          </rPr>
          <t xml:space="preserve">ID: 1945
Label: mep2xea
Database: wiiw Monthly Database - Hidden
Status: active
Calculation: 
Calculation_M: 
Calculation_Q: m-&gt;q AVG(L_mep2xea&gt;mdb)
Calculation_A: q-&gt;a AVG(L_mep2xea&gt;mdb)
Periodicity: Q
Data available M: 2001m1 - 2024m1
Data available Q: 2001q1 - 2023q4
Data available A: 2001 - 2023
Text 99: 
Automatic update period: 1999|2015
Time shift: 
Note: 
Reporter: ME - Montenegro
Chapter 1: 11_FF - Foreign finance
Indicator: SC1107 - Exchange rate nominal
Unit: 07_Exch_12 - NCU/EUR, period average
Footnote 1:  - 
Footnote 2:  - 
Footnote 3:  - 
Footnote 4:  - 
Source 1: Z_wiiw - wiiw
Source 2:  - 
Source 3:  - 
</t>
        </r>
      </text>
    </comment>
    <comment ref="W8" authorId="1" shapeId="0" xr:uid="{9174ED4B-F589-47C1-945A-C613379FCBC2}">
      <text>
        <r>
          <rPr>
            <sz val="9"/>
            <color indexed="81"/>
            <rFont val="Segoe UI"/>
            <family val="2"/>
          </rPr>
          <t xml:space="preserve">ID: 70535
Label: mea1211tscx
Database: wiiw Monthly Database - Public
Status: active
Calculation: SubScal(L_mea1211tscx&gt;mdb,100)
Calculation_M: CPPY=100(L_mea1211tsa&gt;mdb)
Calculation_Q: CPPY=100(L_mea1211tsa&gt;mdb)
Calculation_A: CPPY=100(L_mea1211tsa&gt;mdb)
Periodicity: Q
Data available M: 2001m1 - 2023m11
Data available Q: 2001q1 - 2023q3
Data available A: 2001 - 2022
Text 99: 
Automatic update period: 1999|2015
Time shift: 
Note: 
Reporter: ME - Montenegro
Chapter 1: 04_PROD - Production
Indicator: SC0401 - Industrial output (BCD - NACE Rev. 2)
Unit: 05_Ireal_32 - index real, corresponding period of previous year = 100
Footnote 1: FZZ02 - Enterprises with 5 and more employees.
Footnote 2:  - 
Footnote 3:  - 
Footnote 4:  - 
Source 1: Z_ESTAT - Eurostat
Source 2: Z_wiiw - wiiw
Source 3:  - 
</t>
        </r>
      </text>
    </comment>
    <comment ref="X8" authorId="1" shapeId="0" xr:uid="{EE413DE9-3EC9-4FC2-BD81-F8914CE33A2F}">
      <text>
        <r>
          <rPr>
            <sz val="9"/>
            <color indexed="81"/>
            <rFont val="Segoe UI"/>
            <family val="2"/>
          </rPr>
          <t xml:space="preserve">ID: 87269
Label: melago2e_q
Database: wiiw Monthly Database - Hidden
Status: active
Calculation: SubScal(CPPY=100(AddNull(L_melago2e_q&gt;mdb,L_melase2e_q&gt;mdb)),100)
Calculation_M: q-&gt;m EOP(L_melago2e_q&gt;mdb)
Calculation_Q: 
Calculation_A: Q-&gt;A CUMPER(L_melago2e_q&gt;mdb)
Periodicity: Q
Data available M: 2010m3 - 2023m9
Data available Q: 2010q1 - 2023q3
Data available A: 2010 - 2022
Text 99: 
Automatic update period: 1999|2015
Time shift: 
Note: 
Reporter: ME - Montenegro
Chapter 1: 11_FF - Foreign finance
Indicator: SC1111 - 1.A.a. Goods exports, fob, credit
Unit: 01_Curr_23 - EUR m
Footnote 1: FZZ80 - Based on BPM6.
Footnote 2:  - 
Footnote 3:  - 
Footnote 4:  - 
Source 1: QME2 - Central Bank of Montenegro
Source 2:  - 
Source 3:  - 
</t>
        </r>
      </text>
    </comment>
    <comment ref="Y8" authorId="1" shapeId="0" xr:uid="{F48A202E-0BAD-437E-B7A3-88EC0098EABC}">
      <text>
        <r>
          <rPr>
            <sz val="9"/>
            <color indexed="81"/>
            <rFont val="Segoe UI"/>
            <family val="2"/>
          </rPr>
          <t xml:space="preserve">ID: 87306
Label: melago3e_q
Database: wiiw Monthly Database - Hidden
Status: active
Calculation: SubScal(CPPY=100(AddNull(L_melago3e_q&gt;mdb,L_melase3e_q&gt;mdb)),100)
Calculation_M: q-&gt;m EOP(L_melago3e_q&gt;mdb)
Calculation_Q: 
Calculation_A: Q-&gt;A CUMPER(L_melago3e_q&gt;mdb)
Periodicity: Q
Data available M: 2010m3 - 2023m9
Data available Q: 2010q1 - 2023q3
Data available A: 2010 - 2022
Text 99: 
Automatic update period: 1999|2015
Time shift: 
Note: 
Reporter: ME - Montenegro
Chapter 1: 11_FF - Foreign finance
Indicator: SC1112 - 1.A.a. Goods imports, fob, debit
Unit: 01_Curr_23 - EUR m
Footnote 1: FZZ80 - Based on BPM6.
Footnote 2:  - 
Footnote 3:  - 
Footnote 4:  - 
Source 1: QME2 - Central Bank of Montenegro
Source 2:  - 
Source 3:  - 
</t>
        </r>
      </text>
    </comment>
    <comment ref="Z8" authorId="1" shapeId="0" xr:uid="{853428D1-270A-4519-BC8C-93A72A5067D4}">
      <text>
        <r>
          <rPr>
            <sz val="9"/>
            <color indexed="81"/>
            <rFont val="Segoe UI"/>
            <family val="2"/>
          </rPr>
          <t xml:space="preserve">ID: 88740
Label: melacaepx_q
Database: wiiw Monthly Database - Public
Status: active
Calculation: 
Calculation_M: Q-&gt;M EOP(L_melacaepx_q&gt;mdb)
Calculation_Q: Share(L_melacaen_q&gt;mdb,Div(L_meg11tn_q&gt;mdb,L_mep2xea&gt;mdb))
Calculation_A: Share(L_melacaen_q&gt;mdb,Div(L_meg11tn_q&gt;mdb,L_mep2xea&gt;mdb))
Periodicity: Q
Data available M: 2010m3 - 2023m9
Data available Q: 2010q1 - 2023q3
Data available A: 2010 - 2022
Text 99: 
Automatic update period: 1999|2015
Time shift: 
Note: 
Reporter: ME - Montenegro
Chapter 1: 11_FF - Foreign finance
Indicator: SC1101 - Current account
Unit: 09_Share_%gdp - in % of GDP
Footnote 1: FME11 - From 2010 based on BPM6.
Footnote 2:  - 
Footnote 3:  - 
Footnote 4:  - 
Source 1: QME2 - Central Bank of Montenegro
Source 2: Z_wiiw - wiiw
Source 3:  - 
</t>
        </r>
      </text>
    </comment>
    <comment ref="AA8" authorId="1" shapeId="0" xr:uid="{D5A0D2AE-EBBB-4122-88FD-26C58605B6F6}">
      <text>
        <r>
          <rPr>
            <sz val="9"/>
            <color indexed="81"/>
            <rFont val="Segoe UI"/>
            <family val="2"/>
          </rPr>
          <t xml:space="preserve">ID: 90345
Label: meg222px_q
Database: wiiw Monthly Database - Public
Status: active
Calculation: 
Calculation_M: Q-&gt;M EOP(L_meg222px_q&gt;mdb)
Calculation_Q: Share(L_meg222n_q&gt;mdb,L_meg11tzn_q&gt;mdb)
Calculation_A: Share(L_meg222n_q&gt;mdb,L_meg11tzn_q&gt;mdb)
Periodicity: Q
Data available M: 2010m3 - 2023m9
Data available Q: 2010q1 - 2023q3
Data available A: 2010 - 2022
Text 99: 
Automatic update period: 1999|2015
Time shift: 
Note: 
Reporter: ME - Montenegro
Chapter 1: 02_NA - National accounts
Indicator: SC0212 - Household final consumption expenditure
Unit: 09_Share_%gdp - in % of GDP
Footnote 1: FZZ07 - Including expenditures of NPISHs.
Footnote 2:  - 
Footnote 3:  - 
Footnote 4:  - 
Source 1: QME1 - Statistical Office of Montenegro
Source 2: Z_wiiw - wiiw
Source 3:  - 
</t>
        </r>
      </text>
    </comment>
    <comment ref="AB8" authorId="1" shapeId="0" xr:uid="{FCC50876-3AB6-4547-BAD3-1FC4E76EE3D0}">
      <text>
        <r>
          <rPr>
            <sz val="9"/>
            <color indexed="81"/>
            <rFont val="Segoe UI"/>
            <family val="2"/>
          </rPr>
          <t xml:space="preserve">ID: 90389
Label: meg223px_q
Database: wiiw Monthly Database - Public
Status: active
Calculation: 
Calculation_M: Q-&gt;M EOP(L_meg223px_q&gt;mdb)
Calculation_Q: Share(L_meg223n_q&gt;mdb,L_meg11tzn_q&gt;mdb)
Calculation_A: Share(L_meg223n_q&gt;mdb,L_meg11tzn_q&gt;mdb)
Periodicity: Q
Data available M: 2010m3 - 2023m9
Data available Q: 2010q1 - 2023q3
Data available A: 2010 - 2022
Text 99: 
Automatic update period: 1999|2015
Time shift: 
Note: 
Reporter: ME - Montenegro
Chapter 1: 02_NA - National accounts
Indicator: SC0214 - Government final consumption expenditure
Unit: 09_Share_%gdp - in % of GDP
Footnote 1:  - 
Footnote 2:  - 
Footnote 3:  - 
Footnote 4:  - 
Source 1: QME1 - Statistical Office of Montenegro
Source 2: Z_wiiw - wiiw
Source 3:  - 
</t>
        </r>
      </text>
    </comment>
    <comment ref="AC8" authorId="1" shapeId="0" xr:uid="{930B88B1-1861-4489-A038-3328393A6C7B}">
      <text>
        <r>
          <rPr>
            <sz val="9"/>
            <color indexed="81"/>
            <rFont val="Segoe UI"/>
            <family val="2"/>
          </rPr>
          <t xml:space="preserve">ID: 90411
Label: meg224px_q
Database: wiiw Monthly Database - Public
Status: active
Calculation: 
Calculation_M: Q-&gt;M EOP(L_meg224px_q&gt;mdb)
Calculation_Q: Share(L_meg224n_q&gt;mdb,L_meg11tzn_q&gt;mdb)
Calculation_A: Share(L_meg224n_q&gt;mdb,L_meg11tzn_q&gt;mdb)
Periodicity: Q
Data available M: 2010m3 - 2023m9
Data available Q: 2010q1 - 2023q3
Data available A: 2010 - 2022
Text 99: 
Automatic update period: 1999|2015
Time shift: 
Note: 
Reporter: ME - Montenegro
Chapter 1: 02_NA - National accounts
Indicator: SC0217 - Gross capital formation
Unit: 09_Share_%gdp - in % of GDP
Footnote 1:  - 
Footnote 2:  - 
Footnote 3:  - 
Footnote 4:  - 
Source 1: QME1 - Statistical Office of Montenegro
Source 2: Z_wiiw - wiiw
Source 3:  - 
</t>
        </r>
      </text>
    </comment>
    <comment ref="AD8" authorId="1" shapeId="0" xr:uid="{8C59AF96-0F0A-45AB-A59C-96C66F58A174}">
      <text>
        <r>
          <rPr>
            <sz val="9"/>
            <color indexed="81"/>
            <rFont val="Segoe UI"/>
            <family val="2"/>
          </rPr>
          <t xml:space="preserve">ID: 90499
Label: meg228px_q
Database: wiiw Monthly Database - Public
Status: active
Calculation: 
Calculation_M: Q-&gt;M EOP(L_meg228px_q&gt;mdb)
Calculation_Q: Share(L_meg228n_q&gt;mdb,L_meg11tzn_q&gt;mdb)
Calculation_A: Share(L_meg228n_q&gt;mdb,L_meg11tzn_q&gt;mdb)
Periodicity: Q
Data available M: 2010m3 - 2023m9
Data available Q: 2010q1 - 2023q3
Data available A: 2010 - 2022
Text 99: 
Automatic update period: 1999|2015
Time shift: 
Note: 
Reporter: ME - Montenegro
Chapter 1: 02_NA - National accounts
Indicator: SC0221 - Exports of goods and services
Unit: 09_Share_%gdp - in % of GDP
Footnote 1:  - 
Footnote 2:  - 
Footnote 3:  - 
Footnote 4:  - 
Source 1: QME1 - Statistical Office of Montenegro
Source 2: Z_wiiw - wiiw
Source 3:  - 
</t>
        </r>
      </text>
    </comment>
    <comment ref="AE8" authorId="1" shapeId="0" xr:uid="{1FEEFEA7-31D0-4550-A42E-2D00C2724138}">
      <text>
        <r>
          <rPr>
            <sz val="9"/>
            <color indexed="81"/>
            <rFont val="Segoe UI"/>
            <family val="2"/>
          </rPr>
          <t xml:space="preserve">ID: 90521
Label: meg229px_q
Database: wiiw Monthly Database - Public
Status: active
Calculation: 
Calculation_M: Q-&gt;M EOP(L_meg229px_q&gt;mdb)
Calculation_Q: Share(L_meg229n_q&gt;mdb,L_meg11tzn_q&gt;mdb)
Calculation_A: Share(L_meg229n_q&gt;mdb,L_meg11tzn_q&gt;mdb)
Periodicity: Q
Data available M: 2010m3 - 2023m9
Data available Q: 2010q1 - 2023q3
Data available A: 2010 - 2022
Text 99: 
Automatic update period: 1999|2015
Time shift: 
Note: 
Reporter: ME - Montenegro
Chapter 1: 02_NA - National accounts
Indicator: SC0222 - Imports of goods and services
Unit: 09_Share_%gdp - in % of GDP
Footnote 1:  - 
Footnote 2:  - 
Footnote 3:  - 
Footnote 4:  - 
Source 1: QME1 - Statistical Office of Montenegro
Source 2: Z_wiiw - wiiw
Source 3:  - 
</t>
        </r>
      </text>
    </comment>
    <comment ref="AF8" authorId="1" shapeId="0" xr:uid="{67931C99-10EA-4F35-9410-625107BF6E0E}">
      <text>
        <r>
          <rPr>
            <sz val="9"/>
            <color indexed="81"/>
            <rFont val="Segoe UI"/>
            <family val="2"/>
          </rPr>
          <t xml:space="preserve">ID: 89619
Label: mefls14scx
Database: wiiw Monthly Database - Public
Status: active
Calculation: SubScal(L_mefls14scx&gt;mdb,100)
Calculation_M: CPPY=100(L_mefls14e&gt;mdb)
Calculation_Q: M-&gt;Q EOP(L_mefls14scx&gt;mdb)
Calculation_A: Q-&gt;A EOP(L_mefls14scx&gt;mdb)
Periodicity: Q
Data available M: 2002m12 - 2023m12
Data available Q: 2002q4 - 2023q4
Data available A: 2002 - 2023
Text 99: 
Automatic update period: 1999|2015
Time shift: 
Note: 
Reporter: ME - Montenegro
Chapter 1: 10_DF - Domestic finance
Indicator: SC1066 - Loans households (S14)
Unit: 04_Inom_32 - index nominal, corresponding period of previous year = 100
Footnote 1: FME15 - From 2010 according to ESA'10.
Footnote 2:  - 
Footnote 3:  - 
Footnote 4:  - 
Source 1: QME2 - Central Bank of Montenegro
Source 2: Z_wiiw - wiiw
Source 3:  - 
</t>
        </r>
      </text>
    </comment>
    <comment ref="AG8" authorId="1" shapeId="0" xr:uid="{23A2EA6D-1A13-4813-862A-B879EE9B1F96}">
      <text>
        <r>
          <rPr>
            <sz val="9"/>
            <color indexed="81"/>
            <rFont val="Segoe UI"/>
            <family val="2"/>
          </rPr>
          <t xml:space="preserve">ID: 
Label: 
Database: 
Status: UNKNOWN
Calculation: 
Calculation_M: 
Calculation_Q: 
Calculation_A: 
Periodicity: Q
Data available M: 
Data available Q: 
Data available A: 
Text 99: 
Automatic update period: 1999|2015
Time shift: 
Note: 
</t>
        </r>
      </text>
    </comment>
    <comment ref="G101" authorId="0" shapeId="0" xr:uid="{F5DA0824-DFFB-4C82-A316-FEAEE2BB4410}">
      <text>
        <r>
          <rPr>
            <b/>
            <sz val="9"/>
            <color indexed="81"/>
            <rFont val="Tahoma"/>
            <family val="2"/>
          </rPr>
          <t>BJ:</t>
        </r>
        <r>
          <rPr>
            <sz val="9"/>
            <color indexed="81"/>
            <rFont val="Tahoma"/>
            <family val="2"/>
          </rPr>
          <t xml:space="preserve">
from the budget for 2022</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BJ</author>
    <author>Alexandra Bykova</author>
  </authors>
  <commentList>
    <comment ref="B1" authorId="0" shapeId="0" xr:uid="{22797737-B991-46C7-B62F-2B1F474A3269}">
      <text>
        <r>
          <rPr>
            <b/>
            <sz val="9"/>
            <color indexed="81"/>
            <rFont val="Tahoma"/>
            <family val="2"/>
          </rPr>
          <t>BJ:</t>
        </r>
        <r>
          <rPr>
            <sz val="9"/>
            <color indexed="81"/>
            <rFont val="Tahoma"/>
            <family val="2"/>
          </rPr>
          <t xml:space="preserve">
EU 27, seasonally and calendar adjusted
Eurostat</t>
        </r>
      </text>
    </comment>
    <comment ref="C1" authorId="0" shapeId="0" xr:uid="{33441580-0712-4CBB-B211-D100D4AB903A}">
      <text>
        <r>
          <rPr>
            <b/>
            <sz val="9"/>
            <color indexed="81"/>
            <rFont val="Tahoma"/>
            <family val="2"/>
          </rPr>
          <t>BJ:</t>
        </r>
        <r>
          <rPr>
            <sz val="9"/>
            <color indexed="81"/>
            <rFont val="Tahoma"/>
            <family val="2"/>
          </rPr>
          <t xml:space="preserve">
Eurostat</t>
        </r>
      </text>
    </comment>
    <comment ref="D1" authorId="0" shapeId="0" xr:uid="{BB2FD2A3-CC28-4388-B6A1-9BC4D49F4142}">
      <text>
        <r>
          <rPr>
            <b/>
            <sz val="9"/>
            <color indexed="81"/>
            <rFont val="Tahoma"/>
            <family val="2"/>
          </rPr>
          <t>BJ:</t>
        </r>
        <r>
          <rPr>
            <sz val="9"/>
            <color indexed="81"/>
            <rFont val="Tahoma"/>
            <family val="2"/>
          </rPr>
          <t xml:space="preserve">
EU changing composition
Eurostat</t>
        </r>
      </text>
    </comment>
    <comment ref="E1" authorId="0" shapeId="0" xr:uid="{09D130B8-33C9-4361-9243-93F1BD010DD6}">
      <text>
        <r>
          <rPr>
            <b/>
            <sz val="9"/>
            <color indexed="81"/>
            <rFont val="Tahoma"/>
            <family val="2"/>
          </rPr>
          <t>BJ:</t>
        </r>
        <r>
          <rPr>
            <sz val="9"/>
            <color indexed="81"/>
            <rFont val="Tahoma"/>
            <family val="2"/>
          </rPr>
          <t xml:space="preserve">
ECB</t>
        </r>
      </text>
    </comment>
    <comment ref="F1" authorId="0" shapeId="0" xr:uid="{8D4F1425-7C44-444B-86A1-4BADCD9C51CB}">
      <text>
        <r>
          <rPr>
            <b/>
            <sz val="9"/>
            <color indexed="81"/>
            <rFont val="Tahoma"/>
            <family val="2"/>
          </rPr>
          <t>BJ:</t>
        </r>
        <r>
          <rPr>
            <sz val="9"/>
            <color indexed="81"/>
            <rFont val="Tahoma"/>
            <family val="2"/>
          </rPr>
          <t xml:space="preserve">
Crude oil, average, from WB pink sheets</t>
        </r>
      </text>
    </comment>
    <comment ref="G1" authorId="0" shapeId="0" xr:uid="{B6AA2B29-E9CA-44D3-A9E7-DF04B6EF1F67}">
      <text>
        <r>
          <rPr>
            <sz val="9"/>
            <color indexed="81"/>
            <rFont val="Tahoma"/>
            <family val="2"/>
          </rPr>
          <t>General gov, nominal yoy growth, in NCU
wiiw</t>
        </r>
      </text>
    </comment>
    <comment ref="H1" authorId="0" shapeId="0" xr:uid="{7606BD54-866D-4611-A396-9B15702CF125}">
      <text>
        <r>
          <rPr>
            <b/>
            <sz val="9"/>
            <color indexed="81"/>
            <rFont val="Tahoma"/>
            <family val="2"/>
          </rPr>
          <t>BJ:</t>
        </r>
        <r>
          <rPr>
            <sz val="9"/>
            <color indexed="81"/>
            <rFont val="Tahoma"/>
            <family val="2"/>
          </rPr>
          <t xml:space="preserve">
General gov. budget - revenues NCU m (incl. 'euro fixed' series)
wiiw</t>
        </r>
      </text>
    </comment>
    <comment ref="I1" authorId="0" shapeId="0" xr:uid="{719DD079-67F0-4F15-A66D-1370EE114E3A}">
      <text>
        <r>
          <rPr>
            <b/>
            <sz val="9"/>
            <color indexed="81"/>
            <rFont val="Tahoma"/>
            <family val="2"/>
          </rPr>
          <t>BJ:</t>
        </r>
        <r>
          <rPr>
            <sz val="9"/>
            <color indexed="81"/>
            <rFont val="Tahoma"/>
            <family val="2"/>
          </rPr>
          <t xml:space="preserve">
General gov. budget - balance
 in % of GDP
wiiw</t>
        </r>
      </text>
    </comment>
    <comment ref="J1" authorId="0" shapeId="0" xr:uid="{DE986D69-9061-4779-B212-3BA7B89607FA}">
      <text>
        <r>
          <rPr>
            <b/>
            <sz val="9"/>
            <color indexed="81"/>
            <rFont val="Tahoma"/>
            <family val="2"/>
          </rPr>
          <t>BJ:</t>
        </r>
        <r>
          <rPr>
            <sz val="9"/>
            <color indexed="81"/>
            <rFont val="Tahoma"/>
            <family val="2"/>
          </rPr>
          <t xml:space="preserve">
For all GDP: 
NCU m, 2015 reference prices (prev. year prices, incl. 'euro fixed' series)
wiiw</t>
        </r>
      </text>
    </comment>
    <comment ref="K1" authorId="0" shapeId="0" xr:uid="{BAB98155-DE16-473D-BF5B-539B9F918C2F}">
      <text>
        <r>
          <rPr>
            <b/>
            <sz val="9"/>
            <color indexed="81"/>
            <rFont val="Tahoma"/>
            <family val="2"/>
          </rPr>
          <t>BJ:</t>
        </r>
        <r>
          <rPr>
            <sz val="9"/>
            <color indexed="81"/>
            <rFont val="Tahoma"/>
            <family val="2"/>
          </rPr>
          <t xml:space="preserve">
Households + NPISH
Only Households</t>
        </r>
      </text>
    </comment>
    <comment ref="M1" authorId="0" shapeId="0" xr:uid="{F30D50B4-1BA3-4028-8046-CA640CB0C199}">
      <text>
        <r>
          <rPr>
            <b/>
            <sz val="9"/>
            <color indexed="81"/>
            <rFont val="Tahoma"/>
            <family val="2"/>
          </rPr>
          <t>BJ:</t>
        </r>
        <r>
          <rPr>
            <sz val="9"/>
            <color indexed="81"/>
            <rFont val="Tahoma"/>
            <family val="2"/>
          </rPr>
          <t xml:space="preserve">
Gross capital formation</t>
        </r>
      </text>
    </comment>
    <comment ref="P1" authorId="0" shapeId="0" xr:uid="{BE377A16-5F94-45E0-8913-01AE4DD7369B}">
      <text>
        <r>
          <rPr>
            <b/>
            <sz val="9"/>
            <color indexed="81"/>
            <rFont val="Tahoma"/>
            <family val="2"/>
          </rPr>
          <t>Employment, LFS, thousand persons
wiiw</t>
        </r>
      </text>
    </comment>
    <comment ref="Q1" authorId="0" shapeId="0" xr:uid="{C3FC7252-9E5D-425C-B1CA-E5CBD14677F0}">
      <text>
        <r>
          <rPr>
            <b/>
            <sz val="9"/>
            <color indexed="81"/>
            <rFont val="Tahoma"/>
            <family val="2"/>
          </rPr>
          <t>Unemployment, LFS, thousand persons
wiiw</t>
        </r>
      </text>
    </comment>
    <comment ref="R1" authorId="0" shapeId="0" xr:uid="{8A27F5DA-C5C9-452D-8484-F4B750E07DD8}">
      <text>
        <r>
          <rPr>
            <b/>
            <sz val="9"/>
            <color indexed="81"/>
            <rFont val="Tahoma"/>
            <family val="2"/>
          </rPr>
          <t>Unemployment, LFS, in %
wiiw</t>
        </r>
      </text>
    </comment>
    <comment ref="S1" authorId="0" shapeId="0" xr:uid="{A9DB7D86-E18C-4743-AC22-59525D22293F}">
      <text>
        <r>
          <rPr>
            <sz val="9"/>
            <color indexed="81"/>
            <rFont val="Tahoma"/>
            <family val="2"/>
          </rPr>
          <t>Average monthly gross wages total, 
national currency (incl. 'euro fixed' series), yoy growth
wiiw</t>
        </r>
      </text>
    </comment>
    <comment ref="T1" authorId="0" shapeId="0" xr:uid="{6BC79B6D-ED16-4EF7-AB15-9D570EB4ED88}">
      <text>
        <r>
          <rPr>
            <b/>
            <sz val="9"/>
            <color indexed="81"/>
            <rFont val="Tahoma"/>
            <family val="2"/>
          </rPr>
          <t>BJ:</t>
        </r>
        <r>
          <rPr>
            <sz val="9"/>
            <color indexed="81"/>
            <rFont val="Tahoma"/>
            <family val="2"/>
          </rPr>
          <t xml:space="preserve">
Central bank policy rate, nominal
wiiw</t>
        </r>
      </text>
    </comment>
    <comment ref="U1" authorId="0" shapeId="0" xr:uid="{F32A20D5-AA91-40FB-AF2A-64A96565D21F}">
      <text>
        <r>
          <rPr>
            <b/>
            <sz val="9"/>
            <color indexed="81"/>
            <rFont val="Tahoma"/>
            <family val="2"/>
          </rPr>
          <t>BJ:</t>
        </r>
        <r>
          <rPr>
            <sz val="9"/>
            <color indexed="81"/>
            <rFont val="Tahoma"/>
            <family val="2"/>
          </rPr>
          <t xml:space="preserve">
Consumer prices index, monthly average, 2015 = 100
wiiw</t>
        </r>
      </text>
    </comment>
    <comment ref="V1" authorId="0" shapeId="0" xr:uid="{6235233E-962D-439C-A051-E14EF0C7E9DF}">
      <text>
        <r>
          <rPr>
            <b/>
            <sz val="9"/>
            <color indexed="81"/>
            <rFont val="Tahoma"/>
            <family val="2"/>
          </rPr>
          <t>BJ:</t>
        </r>
        <r>
          <rPr>
            <sz val="9"/>
            <color indexed="81"/>
            <rFont val="Tahoma"/>
            <family val="2"/>
          </rPr>
          <t xml:space="preserve">
Exchange rate nominal NCU/EUR, period average
wiiw</t>
        </r>
      </text>
    </comment>
    <comment ref="W1" authorId="0" shapeId="0" xr:uid="{879D3EDF-1904-4544-B80A-92E77C8720D0}">
      <text>
        <r>
          <rPr>
            <b/>
            <sz val="9"/>
            <color indexed="81"/>
            <rFont val="Tahoma"/>
            <family val="2"/>
          </rPr>
          <t>BJ:</t>
        </r>
        <r>
          <rPr>
            <sz val="9"/>
            <color indexed="81"/>
            <rFont val="Tahoma"/>
            <family val="2"/>
          </rPr>
          <t xml:space="preserve">
 Industrial output (BCD - NACE Rev. 2), index real, monthly average, 2015 = 100, yoy growth
wiiw</t>
        </r>
      </text>
    </comment>
    <comment ref="X1" authorId="0" shapeId="0" xr:uid="{98A64AEF-9923-471F-B2B1-BC0BB0122DF7}">
      <text>
        <r>
          <rPr>
            <b/>
            <sz val="9"/>
            <color indexed="81"/>
            <rFont val="Tahoma"/>
            <family val="2"/>
          </rPr>
          <t>BJ:</t>
        </r>
        <r>
          <rPr>
            <sz val="9"/>
            <color indexed="81"/>
            <rFont val="Tahoma"/>
            <family val="2"/>
          </rPr>
          <t xml:space="preserve">
Exports total, fob EUR m, yoy growth
wiiw
Alexandra: changed to BOP: exports of goods and services</t>
        </r>
      </text>
    </comment>
    <comment ref="Y1" authorId="0" shapeId="0" xr:uid="{F61EFF74-E682-4CD4-B7D4-B8B8E5F4D1BF}">
      <text>
        <r>
          <rPr>
            <b/>
            <sz val="9"/>
            <color indexed="81"/>
            <rFont val="Tahoma"/>
            <family val="2"/>
          </rPr>
          <t>BJ:</t>
        </r>
        <r>
          <rPr>
            <sz val="9"/>
            <color indexed="81"/>
            <rFont val="Tahoma"/>
            <family val="2"/>
          </rPr>
          <t xml:space="preserve">
 Imports total, cif EUR m
wiiw
Alexandra: changed to BOP: imports of goods and services</t>
        </r>
      </text>
    </comment>
    <comment ref="Z1" authorId="0" shapeId="0" xr:uid="{7CF1E32D-067C-4BA1-8D66-5974C7545953}">
      <text>
        <r>
          <rPr>
            <b/>
            <sz val="9"/>
            <color indexed="81"/>
            <rFont val="Tahoma"/>
            <family val="2"/>
          </rPr>
          <t>BJ:</t>
        </r>
        <r>
          <rPr>
            <sz val="9"/>
            <color indexed="81"/>
            <rFont val="Tahoma"/>
            <family val="2"/>
          </rPr>
          <t xml:space="preserve">
Current account in % of GDP
wiiw</t>
        </r>
      </text>
    </comment>
    <comment ref="AA1" authorId="0" shapeId="0" xr:uid="{8377EE70-50F6-4518-A2AF-6AD97FDACC49}">
      <text>
        <r>
          <rPr>
            <b/>
            <sz val="9"/>
            <color indexed="81"/>
            <rFont val="Tahoma"/>
            <family val="2"/>
          </rPr>
          <t>BJ:</t>
        </r>
        <r>
          <rPr>
            <sz val="9"/>
            <color indexed="81"/>
            <rFont val="Tahoma"/>
            <family val="2"/>
          </rPr>
          <t xml:space="preserve">
Households + NPISH</t>
        </r>
      </text>
    </comment>
    <comment ref="AC1" authorId="0" shapeId="0" xr:uid="{352CFED1-E142-475E-9951-D579236F37E0}">
      <text>
        <r>
          <rPr>
            <b/>
            <sz val="9"/>
            <color indexed="81"/>
            <rFont val="Tahoma"/>
            <family val="2"/>
          </rPr>
          <t>BJ:</t>
        </r>
        <r>
          <rPr>
            <sz val="9"/>
            <color indexed="81"/>
            <rFont val="Tahoma"/>
            <family val="2"/>
          </rPr>
          <t xml:space="preserve">
Gross capital formation</t>
        </r>
      </text>
    </comment>
    <comment ref="AF1" authorId="0" shapeId="0" xr:uid="{F13DA994-B46D-4E32-BB6F-88A7D2C2A9D1}">
      <text>
        <r>
          <rPr>
            <b/>
            <sz val="9"/>
            <color indexed="81"/>
            <rFont val="Tahoma"/>
            <family val="2"/>
          </rPr>
          <t>BJ:</t>
        </r>
        <r>
          <rPr>
            <sz val="9"/>
            <color indexed="81"/>
            <rFont val="Tahoma"/>
            <family val="2"/>
          </rPr>
          <t xml:space="preserve">
loans to households, nominal, yoy growth rates</t>
        </r>
      </text>
    </comment>
    <comment ref="B8" authorId="1" shapeId="0" xr:uid="{573605BA-0DC2-4676-A751-30F6A7A503B1}">
      <text>
        <r>
          <rPr>
            <sz val="9"/>
            <color indexed="81"/>
            <rFont val="Segoe UI"/>
            <family val="2"/>
          </rPr>
          <t xml:space="preserve">ID: 144396
Label: eug11tscrx_q
Database: wiiw Monthly Database - Hidden
Status: active
Calculation: 
Calculation_M: SubScal(L_eug11tscx_q&gt;mdb,100)
Calculation_Q: SubScal(L_eug11tscx_q&gt;mdb,100)
Calculation_A: SubScal(L_eug11tscx_q&gt;mdb,100)
Periodicity: Q
Data available M: 1996m3 - 2023m9
Data available Q: 1996q1 - 2023q3
Data available A: 1996 - 2022
Text 99: 
Automatic update period: 1999|2015
Time shift: 
Note: 
Reporter: EU27_2020 - EU - 27 countries (from 2020)
Chapter 1: 02_NA - National accounts
Indicator: SC0201 - Gross domestic product total
Unit: 05_Ireal_36 - real growth rate to corresponding period of previous year in %
Footnote 1: FZZ05 - According to ESA'10.
Footnote 2:  - 
Footnote 3:  - 
Footnote 4:  - 
Source 1: Z_ESTAT - Eurostat
Source 2: Z_wiiw - wiiw
Source 3:  - 
</t>
        </r>
      </text>
    </comment>
    <comment ref="C8" authorId="1" shapeId="0" xr:uid="{483BA40A-5CF4-43CC-98F5-D26574035281}">
      <text>
        <r>
          <rPr>
            <sz val="9"/>
            <color indexed="81"/>
            <rFont val="Segoe UI"/>
            <family val="2"/>
          </rPr>
          <t xml:space="preserve">ID: 77811
Label: eup1p1tsa
Database: wiiw Monthly Database - Hidden
Status: active
Calculation: 
Calculation_M: 
Calculation_Q: m-&gt;q AVG(L_eup1p1tsa&gt;mdb)
Calculation_A: q-&gt;a AVG(L_eup1p1tsa&gt;mdb)
Periodicity: Q
Data available M: 1999m1 - 2023m12
Data available Q: 1999q1 - 2023q4
Data available A: 1999 - 2023
Text 99: 
Automatic update period: 1999|2015
Time shift: 
Note: 
Reporter: EU - European Union evolutionary
Chapter 1: 07_PRC - Prices
Indicator: SC0701 - Consumer prices
Unit: 03_I_1_085_15avg - index, monthly average, 2015 = 100
Footnote 1: FZZ40 - Based on HICP (Harmonized Index of Consumer Prices).
Footnote 2:  - 
Footnote 3:  - 
Footnote 4:  - 
Source 1: Z_ESTAT - Eurostat
Source 2:  - 
Source 3:  - 
</t>
        </r>
      </text>
    </comment>
    <comment ref="D8" authorId="1" shapeId="0" xr:uid="{41F766A4-DC14-466F-840C-8853CCB21368}">
      <text>
        <r>
          <rPr>
            <sz val="9"/>
            <color indexed="81"/>
            <rFont val="Segoe UI"/>
            <family val="2"/>
          </rPr>
          <t xml:space="preserve">ID: 77812
Label: eup1p1tscx
Database: wiiw Monthly Database - Hidden
Status: active
Calculation: SubScal(L_eup1p1tscx&gt;mdb,100)
Calculation_M: CPPY=100(L_eup1p1tsa&gt;mdb)
Calculation_Q: CPPY=100(L_eup1p1tsa&gt;mdb)
Calculation_A: CPPY=100(L_eup1p1tsa&gt;mdb)
Periodicity: Q
Data available M: 1992m1 - 2023m12
Data available Q: 1992q1 - 2023q4
Data available A: 1992 - 2023
Text 99: 
Automatic update period: 1999|2015
Time shift: 
Note: 
Reporter: EU - European Union evolutionary
Chapter 1: 07_PRC - Prices
Indicator: SC0701 - Consumer prices
Unit: 03_I_32 - index, corresponding period of previous year = 100
Footnote 1: FZZ40 - Based on HICP (Harmonized Index of Consumer Prices).
Footnote 2:  - 
Footnote 3:  - 
Footnote 4:  - 
Source 1: Z_ESTAT - Eurostat
Source 2: Z_wiiw - wiiw
Source 3:  - 
</t>
        </r>
      </text>
    </comment>
    <comment ref="E8" authorId="1" shapeId="0" xr:uid="{7D2EE6B9-573D-4D95-8A76-0DA13BF29A1C}">
      <text>
        <r>
          <rPr>
            <sz val="9"/>
            <color indexed="81"/>
            <rFont val="Segoe UI"/>
            <family val="2"/>
          </rPr>
          <t xml:space="preserve">ID: 144399
Label: eafrr1tp_help
Database: wiiw Monthly Database - Hidden
Status: active
Calculation: 
Calculation_M: L_eafrr1tp&gt;mdb
Calculation_Q: m-&gt;q AVG(L_eafrr1tp&gt;mdb)
Calculation_A: q-&gt;a AVG(L_eafrr1tp&gt;mdb)
Periodicity: Q
Data available M: 1999m1 - 2023m12
Data available Q: 1999q1 - 2023q4
Data available A: 1999 - 2023
Text 99: 
Automatic update period: 1999|2015
Time shift: 
Note: 
Reporter: EA - Euro area evolutionary
Chapter 1: 10_DF - Domestic finance
Indicator: SC1050 - Central bank policy rate
Unit: 06_IntR_6 - % p.a., period average
Footnote 1: FZZ50 - Official refinancing operation rates for euro area (ECB), rate in fixed rate tenders (between June 2000 and September 2008 the minimum bid rate in variable rate tenders was applied).
Footnote 2:  - 
Footnote 3:  - 
Footnote 4:  - 
Source 1: Z_ECB - European Central Bank
Source 2:  - 
Source 3:  - 
</t>
        </r>
      </text>
    </comment>
    <comment ref="F8" authorId="1" shapeId="0" xr:uid="{E1E0BCD2-189D-45FE-956F-5DE1F6C71C9F}">
      <text>
        <r>
          <rPr>
            <sz val="9"/>
            <color indexed="81"/>
            <rFont val="Segoe UI"/>
            <family val="2"/>
          </rPr>
          <t xml:space="preserve">ID: 101874
Label: usp2oila
Database: wiiw Monthly Database - Hidden
Status: active
Calculation: 
Calculation_M: 
Calculation_Q: M-&gt;Q AVG(L_usp2oila&gt;mdb)
Calculation_A: Q-&gt;A AVG(L_usp2oila&gt;mdb)
Periodicity: Q
Data available M: 1990m1 - 2023m12
Data available Q: 1990q1 - 2023q4
Data available A: 1990 - 2023
Text 99: 
Automatic update period: 1999|2015
Time shift: 
Note: Oil prices  &amp; Europe Brent Spot Price FOB (Dollars per Barrel) &amp; EIA (US) Source of the data. Gespeichert auf die EU&amp;US Karten.
Reporter: US - United States
Chapter 1: 11_FF - Foreign finance
Indicator:  - 
Unit:  - 
Footnote 1:  - 
Footnote 2:  - 
Footnote 3:  - 
Footnote 4:  - 
Source 1:  - 
Source 2:  - 
Source 3:  - 
</t>
        </r>
      </text>
    </comment>
    <comment ref="G8" authorId="1" shapeId="0" xr:uid="{F3BB68C3-FFA8-4499-9023-2E36C5EAAD0E}">
      <text>
        <r>
          <rPr>
            <sz val="9"/>
            <color indexed="81"/>
            <rFont val="Segoe UI"/>
            <family val="2"/>
          </rPr>
          <t xml:space="preserve">ID: 838
Label: mkbg21n
Database: wiiw Monthly Database - Public
Status: active
Calculation: SubScal(CPPY=100(L_mkbg21n&gt;mdb),100)
Calculation_M: 
Calculation_Q: m-&gt;q CumPer(L_mkbg21n&gt;mdb)
Calculation_A: m-&gt;a CumPer(L_mkbg21n&gt;mdb)
Periodicity: Q
Data available M: 2004m1 - 2023m12
Data available Q: 2004q1 - 2023q4
Data available A: 2004 - 2023
Text 99: 
Automatic update period: 1999|2015
Time shift: 
Note: 
Reporter: MK - North Macedonia
Chapter 1: 10_DF - Domestic finance
Indicator: SC1021 - General gov. budget - expenditures
Unit: 01_Curr_12 - NCU m (incl. 'euro fixed' series)
Footnote 1: FMK10 - Central government budget plus extra-budgetary funds.
Footnote 2:  - 
Footnote 3:  - 
Footnote 4:  - 
Source 1: QMK3 - Ministry of Finance of North Macedonia
Source 2:  - 
Source 3:  - 
</t>
        </r>
      </text>
    </comment>
    <comment ref="H8" authorId="1" shapeId="0" xr:uid="{32BD7C1F-B40D-41E2-BBE7-A29C5F0F313B}">
      <text>
        <r>
          <rPr>
            <sz val="9"/>
            <color indexed="81"/>
            <rFont val="Segoe UI"/>
            <family val="2"/>
          </rPr>
          <t xml:space="preserve">ID: 822
Label: mkbg11n
Database: wiiw Monthly Database - Public
Status: active
Calculation: SubScal(CPPY=100(L_mkbg11n&gt;mdb),100)
Calculation_M: 
Calculation_Q: m-&gt;q CumPer(L_mkbg11n&gt;mdb)
Calculation_A: m-&gt;a CumPer(L_mkbg11n&gt;mdb)
Periodicity: Q
Data available M: 2004m1 - 2023m12
Data available Q: 2004q1 - 2023q4
Data available A: 2004 - 2023
Text 99: 
Automatic update period: 1999|2015
Time shift: 
Note: 
Reporter: MK - North Macedonia
Chapter 1: 10_DF - Domestic finance
Indicator: SC1020 - General gov. budget - revenues
Unit: 01_Curr_12 - NCU m (incl. 'euro fixed' series)
Footnote 1: FMK10 - Central government budget plus extra-budgetary funds.
Footnote 2:  - 
Footnote 3:  - 
Footnote 4:  - 
Source 1: QMK3 - Ministry of Finance of North Macedonia
Source 2:  - 
Source 3:  - 
</t>
        </r>
      </text>
    </comment>
    <comment ref="I8" authorId="1" shapeId="0" xr:uid="{C02BD893-81C1-4BE7-A0B8-84715ADD039F}">
      <text>
        <r>
          <rPr>
            <sz val="9"/>
            <color indexed="81"/>
            <rFont val="Segoe UI"/>
            <family val="2"/>
          </rPr>
          <t xml:space="preserve">ID: 89224
Label: mkbg31px_q
Database: wiiw Monthly Database - Public
Status: active
Calculation: 
Calculation_M: Q-&gt;M EOP(L_mkbg31px_q&gt;mdb)
Calculation_Q: Share(L_mkbg31nx&gt;mdb,L_mkg11tn_q&gt;mdb)
Calculation_A: Share(L_mkbg31nx&gt;mdb,L_mkg11tn_q&gt;mdb)
Periodicity: Q
Data available M: 2004m3 - 2023m9
Data available Q: 2004q1 - 2023q3
Data available A: 2004 - 2022
Text 99: 
Automatic update period: 1999|2015
Time shift: 
Note: -
Reporter: MK - North Macedonia
Chapter 1: 10_DF - Domestic finance
Indicator: SC1022 - General gov. budget - balance
Unit: 09_Share_%gdp - in % of GDP
Footnote 1: FMK10 - Central government budget plus extra-budgetary funds.
Footnote 2:  - 
Footnote 3:  - 
Footnote 4:  - 
Source 1: QMK3 - Ministry of Finance of North Macedonia
Source 2: Z_wiiw - wiiw
Source 3:  - 
</t>
        </r>
      </text>
    </comment>
    <comment ref="J8" authorId="1" shapeId="0" xr:uid="{99AE3E11-B81A-4B5E-BCA6-7015AC616A59}">
      <text>
        <r>
          <rPr>
            <sz val="9"/>
            <color indexed="81"/>
            <rFont val="Segoe UI"/>
            <family val="2"/>
          </rPr>
          <t xml:space="preserve">ID: 88656
Label: mkg11tr15_q
Database: wiiw Monthly Database - Public
Status: active
Calculation: SubScal(CPPY=100(L_mkg11tr15_q&gt;mdb),100)
Calculation_M: q-&gt;m EOP(L_mkg11tr15_q&gt;mdb)
Calculation_Q: 
Calculation_A: q-&gt;a CumPer(L_mkg11tr15_q&gt;mdb)
Periodicity: Q
Data available M: 2000m3 - 2023m9
Data available Q: 2000q1 - 2023q3
Data available A: 2000 - 2022
Text 99: 
Automatic update period: 1999|2015
Time shift: 
Note: 
Reporter: MK - North Macedonia
Chapter 1: 02_NA - National accounts
Indicator: SC0201 - Gross domestic product total
Unit: 01_Curr_15_085_15_r - NCU m, 2015 reference prices (prev. year prices, incl. 'euro fixed' series)
Footnote 1: FZZ05 - According to ESA'10.
Footnote 2:  - 
Footnote 3:  - 
Footnote 4:  - 
Source 1: Z_ESTAT - Eurostat
Source 2:  - 
Source 3:  - 
</t>
        </r>
      </text>
    </comment>
    <comment ref="K8" authorId="1" shapeId="0" xr:uid="{35363A86-B629-4DC4-9EB0-7CDD86950D7D}">
      <text>
        <r>
          <rPr>
            <sz val="9"/>
            <color indexed="81"/>
            <rFont val="Segoe UI"/>
            <family val="2"/>
          </rPr>
          <t xml:space="preserve">ID: 90874
Label: mkg222r15_q
Database: wiiw Monthly Database - Public
Status: active
Calculation: SubScal(CPPY=100(L_mkg222r15_q&gt;mdb),100)
Calculation_M: q-&gt;m EOP(L_mkg222r15_q&gt;mdb)
Calculation_Q: 
Calculation_A: q-&gt;a CumPer(L_mkg222r15_q&gt;mdb)
Periodicity: Q
Data available M: 2000m3 - 2023m9
Data available Q: 2000q1 - 2023q3
Data available A: 2000 - 2022
Text 99: 
Automatic update period: 1999|2015
Time shift: 
Note: 
Reporter: MK - North Macedonia
Chapter 1: 02_NA - National accounts
Indicator: SC0212 - Household final consumption expenditure
Unit: 01_Curr_15_085_15_r - NCU m, 2015 reference prices (prev. year prices, incl. 'euro fixed' series)
Footnote 1: FZZ07 - Including expenditures of NPISHs.
Footnote 2:  - 
Footnote 3:  - 
Footnote 4:  - 
Source 1: Z_ESTAT - Eurostat
Source 2:  - 
Source 3:  - 
</t>
        </r>
      </text>
    </comment>
    <comment ref="L8" authorId="1" shapeId="0" xr:uid="{AA16ED7A-5DFF-41C6-A6C5-2A46C374F88A}">
      <text>
        <r>
          <rPr>
            <sz val="9"/>
            <color indexed="81"/>
            <rFont val="Segoe UI"/>
            <family val="2"/>
          </rPr>
          <t xml:space="preserve">ID: 90918
Label: mkg223r15_q
Database: wiiw Monthly Database - Public
Status: active
Calculation: SubScal(CPPY=100(L_mkg223r15_q&gt;mdb),100)
Calculation_M: q-&gt;m EOP(L_mkg223r15_q&gt;mdb)
Calculation_Q: 
Calculation_A: q-&gt;a CumPer(L_mkg223r15_q&gt;mdb)
Periodicity: Q
Data available M: 2000m3 - 2023m9
Data available Q: 2000q1 - 2023q3
Data available A: 2000 - 2022
Text 99: 
Automatic update period: 1999|2015
Time shift: 
Note: 
Reporter: MK - North Macedonia
Chapter 1: 02_NA - National accounts
Indicator: SC0214 - Government final consumption expenditure
Unit: 01_Curr_15_085_15_r - NCU m, 2015 reference prices (prev. year prices, incl. 'euro fixed' series)
Footnote 1:  - 
Footnote 2:  - 
Footnote 3:  - 
Footnote 4:  - 
Source 1: Z_ESTAT - Eurostat
Source 2:  - 
Source 3:  - 
</t>
        </r>
      </text>
    </comment>
    <comment ref="M8" authorId="1" shapeId="0" xr:uid="{15AEC16E-7F33-40A6-93FE-CA624CFD6BC7}">
      <text>
        <r>
          <rPr>
            <sz val="9"/>
            <color indexed="81"/>
            <rFont val="Segoe UI"/>
            <family val="2"/>
          </rPr>
          <t xml:space="preserve">ID: 90940
Label: mkg224r15_q
Database: wiiw Monthly Database - Public
Status: active
Calculation: SubScal(CPPY=100(L_mkg224r15_q&gt;mdb),100)
Calculation_M: q-&gt;m EOP(L_mkg224r15_q&gt;mdb)
Calculation_Q: 
Calculation_A: q-&gt;a CumPer(L_mkg224r15_q&gt;mdb)
Periodicity: Q
Data available M: 2000m3 - 2023m9
Data available Q: 2000q1 - 2023q3
Data available A: 2000 - 2022
Text 99: 
Automatic update period: 1999|2015
Time shift: 
Note: 
Reporter: MK - North Macedonia
Chapter 1: 02_NA - National accounts
Indicator: SC0217 - Gross capital formation
Unit: 01_Curr_15_085_15_r - NCU m, 2015 reference prices (prev. year prices, incl. 'euro fixed' series)
Footnote 1:  - 
Footnote 2:  - 
Footnote 3:  - 
Footnote 4:  - 
Source 1: Z_ESTAT - Eurostat
Source 2:  - 
Source 3:  - 
</t>
        </r>
      </text>
    </comment>
    <comment ref="N8" authorId="1" shapeId="0" xr:uid="{787EC2A5-A49D-4AC0-8B08-D656CCD87113}">
      <text>
        <r>
          <rPr>
            <sz val="9"/>
            <color indexed="81"/>
            <rFont val="Segoe UI"/>
            <family val="2"/>
          </rPr>
          <t xml:space="preserve">ID: 90984
Label: mkg228r15_q
Database: wiiw Monthly Database - Public
Status: active
Calculation: SubScal(CPPY=100(L_mkg228r15_q&gt;mdb),100)
Calculation_M: q-&gt;m EOP(L_mkg228r15_q&gt;mdb)
Calculation_Q: 
Calculation_A: q-&gt;a CumPer(L_mkg228r15_q&gt;mdb)
Periodicity: Q
Data available M: 2000m3 - 2023m9
Data available Q: 2000q1 - 2023q3
Data available A: 2000 - 2022
Text 99: 
Automatic update period: 1999|2015
Time shift: 
Note: 
Reporter: MK - North Macedonia
Chapter 1: 02_NA - National accounts
Indicator: SC0221 - Exports of goods and services
Unit: 01_Curr_15_085_15_r - NCU m, 2015 reference prices (prev. year prices, incl. 'euro fixed' series)
Footnote 1:  - 
Footnote 2:  - 
Footnote 3:  - 
Footnote 4:  - 
Source 1: Z_ESTAT - Eurostat
Source 2:  - 
Source 3:  - 
</t>
        </r>
      </text>
    </comment>
    <comment ref="O8" authorId="1" shapeId="0" xr:uid="{40A9377A-0967-4A9B-AF6F-230E9642C7AD}">
      <text>
        <r>
          <rPr>
            <sz val="9"/>
            <color indexed="81"/>
            <rFont val="Segoe UI"/>
            <family val="2"/>
          </rPr>
          <t xml:space="preserve">ID: 91006
Label: mkg229r15_q
Database: wiiw Monthly Database - Public
Status: active
Calculation: SubScal(CPPY=100(L_mkg229r15_q&gt;mdb),100)
Calculation_M: q-&gt;m EOP(L_mkg229r15_q&gt;mdb)
Calculation_Q: 
Calculation_A: q-&gt;a CumPer(L_mkg229r15_q&gt;mdb)
Periodicity: Q
Data available M: 2000m3 - 2023m9
Data available Q: 2000q1 - 2023q3
Data available A: 2000 - 2022
Text 99: 
Automatic update period: 1999|2015
Time shift: 
Note: 
Reporter: MK - North Macedonia
Chapter 1: 02_NA - National accounts
Indicator: SC0222 - Imports of goods and services
Unit: 01_Curr_15_085_15_r - NCU m, 2015 reference prices (prev. year prices, incl. 'euro fixed' series)
Footnote 1:  - 
Footnote 2:  - 
Footnote 3:  - 
Footnote 4:  - 
Source 1: Z_ESTAT - Eurostat
Source 2:  - 
Source 3:  - 
</t>
        </r>
      </text>
    </comment>
    <comment ref="P8" authorId="1" shapeId="0" xr:uid="{9630BEFE-AA9A-421F-BCDB-6788C9EC690C}">
      <text>
        <r>
          <rPr>
            <sz val="9"/>
            <color indexed="81"/>
            <rFont val="Segoe UI"/>
            <family val="2"/>
          </rPr>
          <t xml:space="preserve">ID: 32655
Label: mke51_ta_q
Database: wiiw Monthly Database - Public
Status: active
Calculation: 
Calculation_M: q-&gt;m EOP(L_mke51_ta_q&gt;mdb)
Calculation_Q: 
Calculation_A: q-&gt;a AVG(L_mke51_ta_q&gt;mdb)
Periodicity: Q
Data available M: 2004m3 - 2023m9
Data available Q: 2004q1 - 2023q3
Data available A: 2004 - 2022
Text 99: 
Automatic update period: 1999|2015
Time shift: 
Note: 
Reporter: MK - North Macedonia
Chapter 1: 05_LAB - Labour market
Indicator: SC0501 - Employment, LFS
Unit: 02_Pers_11 - th persons, period average
Footnote 1: FMK06 - From 2023 new methodology in line with the Integrated European Social Statistics Regulation (IESS).
Footnote 2: FMK05 - From 2022 according to census September 2021.
Footnote 3:  - 
Footnote 4:  - 
Source 1: Z_ESTAT - Eurostat
Source 2: QMK1 - State Statistical Office of North Macedonia
Source 3:  - 
</t>
        </r>
      </text>
    </comment>
    <comment ref="Q8" authorId="1" shapeId="0" xr:uid="{B9DE1BFC-9CE8-43DF-8D76-7EADCC103C9E}">
      <text>
        <r>
          <rPr>
            <sz val="9"/>
            <color indexed="81"/>
            <rFont val="Segoe UI"/>
            <family val="2"/>
          </rPr>
          <t xml:space="preserve">ID: 32685
Label: mke5u_ta_q
Database: wiiw Monthly Database - Public
Status: active
Calculation: 
Calculation_M: q-&gt;m EOP(L_mke5u_ta_q&gt;mdb)
Calculation_Q: 
Calculation_A: q-&gt;a AVG(L_mke5u_ta_q&gt;mdb)
Periodicity: Q
Data available M: 2004m3 - 2023m9
Data available Q: 2004q1 - 2023q3
Data available A: 2004 - 2022
Text 99: 
Automatic update period: 1999|2015
Time shift: 
Note: 
Reporter: MK - North Macedonia
Chapter 1: 05_LAB - Labour market
Indicator: SC0507 - Unemployment, LFS
Unit: 02_Pers_11 - th persons, period average
Footnote 1: FMK06 - From 2023 new methodology in line with the Integrated European Social Statistics Regulation (IESS).
Footnote 2: FMK05 - From 2022 according to census September 2021.
Footnote 3:  - 
Footnote 4:  - 
Source 1: Z_ESTAT - Eurostat
Source 2: QMK1 - State Statistical Office of North Macedonia
Source 3:  - 
</t>
        </r>
      </text>
    </comment>
    <comment ref="R8" authorId="1" shapeId="0" xr:uid="{00D75718-41E2-4A44-A355-ED1BA4353E02}">
      <text>
        <r>
          <rPr>
            <sz val="9"/>
            <color indexed="81"/>
            <rFont val="Segoe UI"/>
            <family val="2"/>
          </rPr>
          <t xml:space="preserve">ID: 32702
Label: mke5u_tp_q
Database: wiiw Monthly Database - Public
Status: active
Calculation: 
Calculation_M: q-&gt;m EOP(L_mke5u_tp_q&gt;mdb)
Calculation_Q: 
Calculation_A: MulScal(Div(L_mke5u_ta_q&gt;mdb,Add(L_mke5u_ta_q&gt;mdb,L_mke51_ta_q&gt;mdb)),100)
Periodicity: Q
Data available M: 2004m3 - 2023m9
Data available Q: 2004q1 - 2023q3
Data available A: 2004 - 2022
Text 99: 
Automatic update period: 1999|2015
Time shift: 
Note: 
Reporter: MK - North Macedonia
Chapter 1: 05_LAB - Labour market
Indicator: SC0508 - Unemployment rate, LFS
Unit: 02_Pers_21 - in %, period average
Footnote 1: FMK06 - From 2023 new methodology in line with the Integrated European Social Statistics Regulation (IESS).
Footnote 2: FMK05 - From 2022 according to census September 2021.
Footnote 3:  - 
Footnote 4:  - 
Source 1: Z_ESTAT - Eurostat
Source 2: QMK1 - State Statistical Office of North Macedonia
Source 3:  - 
</t>
        </r>
      </text>
    </comment>
    <comment ref="S8" authorId="1" shapeId="0" xr:uid="{B68A059D-BB5F-42CC-A415-4566BC1F3621}">
      <text>
        <r>
          <rPr>
            <sz val="9"/>
            <color indexed="81"/>
            <rFont val="Segoe UI"/>
            <family val="2"/>
          </rPr>
          <t xml:space="preserve">ID: 320
Label: mkw11_tccx
Database: wiiw Monthly Database - Public
Status: active
Calculation: SubScal(L_mkw11_tccx&gt;mdb,100)
Calculation_M: CPPY=100(L_mkw11_tn&gt;mdb)
Calculation_Q: CPPY=100(L_mkw11_tn&gt;mdb)
Calculation_A: CPPY=100(L_mkw11_tn&gt;mdb)
Periodicity: Q
Data available M: 2001m1 - 2023m11
Data available Q: 2001q1 - 2023q3
Data available A: 2001 - 2022
Text 99: 
Automatic update period: 1999|2015
Time shift: 
Note: From 2005 NACE Rev.2. FM11: CSO ignores the break and publishes the calculated growth rates as originall --&gt; eigentlich falsch (3/2010)
Reporter: MK - North Macedonia
Chapter 1: 06_WS - Wages
Indicator: SC0601 - Average monthly gross wages total
Unit: 04_Inom_32 - index nominal, corresponding period of previous year = 100
Footnote 1: FMK11 - From January 2009 including allowances for food and transport, growth rates not fully comparable.
Footnote 2:  - 
Footnote 3:  - 
Footnote 4:  - 
Source 1: QMK1 - State Statistical Office of North Macedonia
Source 2: Z_wiiw - wiiw
Source 3:  - 
</t>
        </r>
      </text>
    </comment>
    <comment ref="T8" authorId="1" shapeId="0" xr:uid="{DAC34CB0-97A3-48BC-985B-77368CB660C7}">
      <text>
        <r>
          <rPr>
            <sz val="9"/>
            <color indexed="81"/>
            <rFont val="Segoe UI"/>
            <family val="2"/>
          </rPr>
          <t xml:space="preserve">ID: 788
Label: mkfrr1tp
Database: wiiw Monthly Database - Public
Status: active
Calculation: 
Calculation_M: 
Calculation_Q: M-&gt;Q EOP(L_mkfrr1tp&gt;mdb)
Calculation_A: Q-&gt;A EOP(L_mkfrr1tp&gt;mdb)
Periodicity: Q
Data available M: 1994m2 - 2024m1
Data available Q: 1994q1 - 2023q4
Data available A: 1994 - 2023
Text 99: 
Automatic update period: 1999|2015
Time shift: 
Note: -1996: 60-day maturity &amp; -Jan 1997-Oct 1999: 30-day maturity &amp; -since Nov 1999: 28-day maturity &amp; -see: w/statistik/wiiw_national data/MK/data/MK-policy rate
Reporter: MK - North Macedonia
Chapter 1: 10_DF - Domestic finance
Indicator: SC1050 - Central bank policy rate
Unit: 06_IntR_1 - % p.a., end of period
Footnote 1: FMK13 - Central bank bills (28 days from Nov 1999, 30 days in 1997-1998, 60 days before).
Footnote 2:  - 
Footnote 3:  - 
Footnote 4:  - 
Source 1: QMK2 - National Bank of North Macedonia
Source 2:  - 
Source 3:  - 
</t>
        </r>
      </text>
    </comment>
    <comment ref="U8" authorId="1" shapeId="0" xr:uid="{017FE2C3-F232-419B-AB41-9CF334E891AC}">
      <text>
        <r>
          <rPr>
            <sz val="9"/>
            <color indexed="81"/>
            <rFont val="Segoe UI"/>
            <family val="2"/>
          </rPr>
          <t xml:space="preserve">ID: 91641
Label: mkp1p1tsax_uni
Database: wiiw Monthly Database - Public
Status: active
Calculation: 
Calculation_M: Index(L_mkp1p1tsa&gt;mdb,2015)
Calculation_Q: m-&gt;q AVG(L_mkp1p1tsax_uni&gt;mdb)
Calculation_A: q-&gt;a AVG(L_mkp1p1tsax_uni&gt;mdb)
Periodicity: Q
Data available M: 2005m1 - 2023m12
Data available Q: 2005q1 - 2023q4
Data available A: 2005 - 2023
Text 99: 
Automatic update period: 1999|2015
Time shift: 
Note: Originalindex über SDDS-Tabelle verfügbar
Reporter: MK - North Macedonia
Chapter 1: 07_PRC - Prices
Indicator: SC0701 - Consumer prices
Unit: 03_I_1_085_15avg - index, monthly average, 2015 = 100
Footnote 1:  - 
Footnote 2:  - 
Footnote 3:  - 
Footnote 4:  - 
Source 1: QMK1 - State Statistical Office of North Macedonia
Source 2: Z_wiiw - wiiw
Source 3:  - 
</t>
        </r>
      </text>
    </comment>
    <comment ref="V8" authorId="1" shapeId="0" xr:uid="{AA774409-60BA-4AE6-82BC-CBEF1743EE6E}">
      <text>
        <r>
          <rPr>
            <sz val="9"/>
            <color indexed="81"/>
            <rFont val="Segoe UI"/>
            <family val="2"/>
          </rPr>
          <t xml:space="preserve">ID: 974
Label: mkp2xea
Database: wiiw Monthly Database - Public
Status: active
Calculation: 
Calculation_M: 
Calculation_Q: m-&gt;q AVG(L_mkp2xea&gt;mdb)
Calculation_A: q-&gt;a AVG(L_mkp2xea&gt;mdb)
Periodicity: Q
Data available M: 2000m1 - 2024m1
Data available Q: 2000q1 - 2023q4
Data available A: 2000 - 2023
Text 99: 
Automatic update period: 1999|2015
Time shift: 
Note: Umrechnung in Q und A stimmt nicht mit Originalangaben Qu.Rep.NB zusammen, weil in NB nach Tagen gewichtet (unsere Formel rechnet einfachen arithm.Durchschnitt) &amp; from 2000  update über Tageskursberechnung (=NB Angaben) in &amp; W:\STATISTIK\wiiw_MDB\MK\MK_exchange rates:xlsx &amp;  &amp;  &amp;  &amp; from 2000 &amp; update über tabeskursberechnung in &amp; W:\STATISTIK\wiiw_MDB\MK\MK_exchange rates:xlsx &amp; 
Reporter: MK - North Macedonia
Chapter 1: 11_FF - Foreign finance
Indicator: SC1107 - Exchange rate nominal
Unit: 07_Exch_12 - NCU/EUR, period average
Footnote 1:  - 
Footnote 2:  - 
Footnote 3:  - 
Footnote 4:  - 
Source 1: QMK2 - National Bank of North Macedonia
Source 2:  - 
Source 3:  - 
</t>
        </r>
      </text>
    </comment>
    <comment ref="W8" authorId="1" shapeId="0" xr:uid="{FE56048E-472C-4E02-9441-F0AE172E4897}">
      <text>
        <r>
          <rPr>
            <sz val="9"/>
            <color indexed="81"/>
            <rFont val="Segoe UI"/>
            <family val="2"/>
          </rPr>
          <t xml:space="preserve">ID: 56632
Label: mka1211tscx
Database: wiiw Monthly Database - Public
Status: active
Calculation: SubScal(L_mka1211tscx&gt;mdb,100)
Calculation_M: CPPY=100(L_mka1211tsa&gt;mdb)
Calculation_Q: CPPY=100(L_mka1211tsa&gt;mdb)
Calculation_A: CPPY=100(L_mka1211tsa&gt;mdb)
Periodicity: Q
Data available M: 2001m1 - 2023m11
Data available Q: 2001q1 - 2023q3
Data available A: 2001 - 2022
Text 99: 
Automatic update period: 1999|2015
Time shift: 
Note: 
Reporter: MK - North Macedonia
Chapter 1: 04_PROD - Production
Indicator: SC0401 - Industrial output (BCD - NACE Rev. 2)
Unit: 05_Ireal_32 - index real, corresponding period of previous year = 100
Footnote 1: FZZ49 - Enterprises with 10 and more employees.
Footnote 2:  - 
Footnote 3:  - 
Footnote 4:  - 
Source 1: Z_ESTAT - Eurostat
Source 2: Z_wiiw - wiiw
Source 3:  - 
</t>
        </r>
      </text>
    </comment>
    <comment ref="X8" authorId="1" shapeId="0" xr:uid="{9B89BE56-4FDC-438E-9563-A6E282D7E81E}">
      <text>
        <r>
          <rPr>
            <sz val="9"/>
            <color indexed="81"/>
            <rFont val="Segoe UI"/>
            <family val="2"/>
          </rPr>
          <t xml:space="preserve">ID: 87271
Label: mklago2e_q
Database: wiiw Monthly Database - Hidden
Status: active
Calculation: SubScal(CPPY=100(AddNull(L_mklago2e_q&gt;mdb,L_mklase2e_q&gt;mdb)),100)
Calculation_M: Q-&gt;M EOP(L_mklago2e_q&gt;mdb)
Calculation_Q: 
Calculation_A: Q-&gt;A CUMPER(L_mklago2e_q&gt;mdb)
Periodicity: Q
Data available M: 2008m3 - 2023m9
Data available Q: 2008q1 - 2023q3
Data available A: 2008 - 2022
Text 99: 
Automatic update period: 1999|2015
Time shift: 
Note: 
Reporter: MK - North Macedonia
Chapter 1: 11_FF - Foreign finance
Indicator: SC1111 - 1.A.a. Goods exports, fob, credit
Unit: 01_Curr_23 - EUR m
Footnote 1: FZZ80 - Based on BPM6.
Footnote 2:  - 
Footnote 3:  - 
Footnote 4:  - 
Source 1: QMK2 - National Bank of North Macedonia
Source 2:  - 
Source 3:  - 
</t>
        </r>
      </text>
    </comment>
    <comment ref="Y8" authorId="1" shapeId="0" xr:uid="{63743F1E-6894-4896-B8CC-4CE5C03813B4}">
      <text>
        <r>
          <rPr>
            <sz val="9"/>
            <color indexed="81"/>
            <rFont val="Segoe UI"/>
            <family val="2"/>
          </rPr>
          <t xml:space="preserve">ID: 87308
Label: mklago3e_q
Database: wiiw Monthly Database - Hidden
Status: active
Calculation: SubScal(CPPY=100(AddNull(L_mklago3e_q&gt;mdb,L_mklase3e_q&gt;mdb)),100)
Calculation_M: Q-&gt;M EOP(L_mklago3e_q&gt;mdb)
Calculation_Q: 
Calculation_A: Q-&gt;A CUMPER(L_mklago3e_q&gt;mdb)
Periodicity: Q
Data available M: 2008m3 - 2023m9
Data available Q: 2008q1 - 2023q3
Data available A: 2008 - 2022
Text 99: 
Automatic update period: 1999|2015
Time shift: 
Note: 
Reporter: MK - North Macedonia
Chapter 1: 11_FF - Foreign finance
Indicator: SC1112 - 1.A.a. Goods imports, fob, debit
Unit: 01_Curr_23 - EUR m
Footnote 1: FZZ80 - Based on BPM6.
Footnote 2:  - 
Footnote 3:  - 
Footnote 4:  - 
Source 1: QMK2 - National Bank of North Macedonia
Source 2:  - 
Source 3:  - 
</t>
        </r>
      </text>
    </comment>
    <comment ref="Z8" authorId="1" shapeId="0" xr:uid="{514B50CD-B425-4800-BC0E-3A322E1165C1}">
      <text>
        <r>
          <rPr>
            <sz val="9"/>
            <color indexed="81"/>
            <rFont val="Segoe UI"/>
            <family val="2"/>
          </rPr>
          <t xml:space="preserve">ID: 88741
Label: mklacaepx_q
Database: wiiw Monthly Database - Public
Status: active
Calculation: 
Calculation_M: Q-&gt;M EOP(L_mklacaepx_q&gt;mdb)
Calculation_Q: Share(L_mklacaen_q&gt;mdb,Div(L_mkg11tn_q&gt;mdb,L_mkp2xea&gt;mdb))
Calculation_A: Share(L_mklacaen_q&gt;mdb,Div(L_mkg11tn_q&gt;mdb,L_mkp2xea&gt;mdb))
Periodicity: Q
Data available M: 2003m3 - 2023m9
Data available Q: 2003q1 - 2023q3
Data available A: 2003 - 2022
Text 99: 
Automatic update period: 1999|2015
Time shift: 
Note: 
Reporter: MK - North Macedonia
Chapter 1: 11_FF - Foreign finance
Indicator: SC1101 - Current account
Unit: 09_Share_%gdp - in % of GDP
Footnote 1: FZZ55 - From 2008 based on BPM6.
Footnote 2:  - 
Footnote 3:  - 
Footnote 4:  - 
Source 1: QMK2 - National Bank of North Macedonia
Source 2: Z_wiiw - wiiw
Source 3:  - 
</t>
        </r>
      </text>
    </comment>
    <comment ref="AA8" authorId="1" shapeId="0" xr:uid="{3E2CED3A-2898-45F3-AF6B-78C99A01C39A}">
      <text>
        <r>
          <rPr>
            <sz val="9"/>
            <color indexed="81"/>
            <rFont val="Segoe UI"/>
            <family val="2"/>
          </rPr>
          <t xml:space="preserve">ID: 90346
Label: mkg222px_q
Database: wiiw Monthly Database - Public
Status: active
Calculation: 
Calculation_M: Q-&gt;M EOP(L_mkg222px_q&gt;mdb)
Calculation_Q: Share(L_mkg222n_q&gt;mdb,L_mkg11tzn_q&gt;mdb)
Calculation_A: Share(L_mkg222n_q&gt;mdb,L_mkg11tzn_q&gt;mdb)
Periodicity: Q
Data available M: 2000m3 - 2023m9
Data available Q: 2000q1 - 2023q3
Data available A: 2000 - 2022
Text 99: 
Automatic update period: 1999|2015
Time shift: 
Note: 
Reporter: MK - North Macedonia
Chapter 1: 02_NA - National accounts
Indicator: SC0212 - Household final consumption expenditure
Unit: 09_Share_%gdp - in % of GDP
Footnote 1: FZZ07 - Including expenditures of NPISHs.
Footnote 2:  - 
Footnote 3:  - 
Footnote 4:  - 
Source 1: Z_ESTAT - Eurostat
Source 2: Z_wiiw - wiiw
Source 3:  - 
</t>
        </r>
      </text>
    </comment>
    <comment ref="AB8" authorId="1" shapeId="0" xr:uid="{D9ABB2BA-5F8B-4C4F-90F2-447BE3B1F321}">
      <text>
        <r>
          <rPr>
            <sz val="9"/>
            <color indexed="81"/>
            <rFont val="Segoe UI"/>
            <family val="2"/>
          </rPr>
          <t xml:space="preserve">ID: 90390
Label: mkg223px_q
Database: wiiw Monthly Database - Public
Status: active
Calculation: 
Calculation_M: Q-&gt;M EOP(L_mkg223px_q&gt;mdb)
Calculation_Q: Share(L_mkg223n_q&gt;mdb,L_mkg11tzn_q&gt;mdb)
Calculation_A: Share(L_mkg223n_q&gt;mdb,L_mkg11tzn_q&gt;mdb)
Periodicity: Q
Data available M: 2000m3 - 2023m9
Data available Q: 2000q1 - 2023q3
Data available A: 2000 - 2022
Text 99: 
Automatic update period: 1999|2015
Time shift: 
Note: 
Reporter: MK - North Macedonia
Chapter 1: 02_NA - National accounts
Indicator: SC0214 - Government final consumption expenditure
Unit: 09_Share_%gdp - in % of GDP
Footnote 1:  - 
Footnote 2:  - 
Footnote 3:  - 
Footnote 4:  - 
Source 1: Z_ESTAT - Eurostat
Source 2: Z_wiiw - wiiw
Source 3:  - 
</t>
        </r>
      </text>
    </comment>
    <comment ref="AC8" authorId="1" shapeId="0" xr:uid="{8D3EF80C-8A96-47EA-ADA8-1F87A483A4D2}">
      <text>
        <r>
          <rPr>
            <sz val="9"/>
            <color indexed="81"/>
            <rFont val="Segoe UI"/>
            <family val="2"/>
          </rPr>
          <t xml:space="preserve">ID: 90412
Label: mkg224px_q
Database: wiiw Monthly Database - Public
Status: active
Calculation: 
Calculation_M: Q-&gt;M EOP(L_mkg224px_q&gt;mdb)
Calculation_Q: Share(L_mkg224n_q&gt;mdb,L_mkg11tzn_q&gt;mdb)
Calculation_A: Share(L_mkg224n_q&gt;mdb,L_mkg11tzn_q&gt;mdb)
Periodicity: Q
Data available M: 2000m3 - 2023m9
Data available Q: 2000q1 - 2023q3
Data available A: 2000 - 2022
Text 99: 
Automatic update period: 1999|2015
Time shift: 
Note: 
Reporter: MK - North Macedonia
Chapter 1: 02_NA - National accounts
Indicator: SC0217 - Gross capital formation
Unit: 09_Share_%gdp - in % of GDP
Footnote 1:  - 
Footnote 2:  - 
Footnote 3:  - 
Footnote 4:  - 
Source 1: Z_ESTAT - Eurostat
Source 2: Z_wiiw - wiiw
Source 3:  - 
</t>
        </r>
      </text>
    </comment>
    <comment ref="AD8" authorId="1" shapeId="0" xr:uid="{9B892FBC-E407-4D34-BFA7-A5802733A094}">
      <text>
        <r>
          <rPr>
            <sz val="9"/>
            <color indexed="81"/>
            <rFont val="Segoe UI"/>
            <family val="2"/>
          </rPr>
          <t xml:space="preserve">ID: 90500
Label: mkg228px_q
Database: wiiw Monthly Database - Public
Status: active
Calculation: 
Calculation_M: Q-&gt;M EOP(L_mkg228px_q&gt;mdb)
Calculation_Q: Share(L_mkg228n_q&gt;mdb,L_mkg11tzn_q&gt;mdb)
Calculation_A: Share(L_mkg228n_q&gt;mdb,L_mkg11tzn_q&gt;mdb)
Periodicity: Q
Data available M: 2000m3 - 2023m9
Data available Q: 2000q1 - 2023q3
Data available A: 2000 - 2022
Text 99: 
Automatic update period: 1999|2015
Time shift: 
Note: 
Reporter: MK - North Macedonia
Chapter 1: 02_NA - National accounts
Indicator: SC0221 - Exports of goods and services
Unit: 09_Share_%gdp - in % of GDP
Footnote 1:  - 
Footnote 2:  - 
Footnote 3:  - 
Footnote 4:  - 
Source 1: Z_ESTAT - Eurostat
Source 2: Z_wiiw - wiiw
Source 3:  - 
</t>
        </r>
      </text>
    </comment>
    <comment ref="AE8" authorId="1" shapeId="0" xr:uid="{FDB870F0-1958-488B-A97C-E60F52894171}">
      <text>
        <r>
          <rPr>
            <sz val="9"/>
            <color indexed="81"/>
            <rFont val="Segoe UI"/>
            <family val="2"/>
          </rPr>
          <t xml:space="preserve">ID: 90522
Label: mkg229px_q
Database: wiiw Monthly Database - Public
Status: active
Calculation: 
Calculation_M: Q-&gt;M EOP(L_mkg229px_q&gt;mdb)
Calculation_Q: Share(L_mkg229n_q&gt;mdb,L_mkg11tzn_q&gt;mdb)
Calculation_A: Share(L_mkg229n_q&gt;mdb,L_mkg11tzn_q&gt;mdb)
Periodicity: Q
Data available M: 2000m3 - 2023m9
Data available Q: 2000q1 - 2023q3
Data available A: 2000 - 2022
Text 99: 
Automatic update period: 1999|2015
Time shift: 
Note: 
Reporter: MK - North Macedonia
Chapter 1: 02_NA - National accounts
Indicator: SC0222 - Imports of goods and services
Unit: 09_Share_%gdp - in % of GDP
Footnote 1:  - 
Footnote 2:  - 
Footnote 3:  - 
Footnote 4:  - 
Source 1: Z_ESTAT - Eurostat
Source 2: Z_wiiw - wiiw
Source 3:  - 
</t>
        </r>
      </text>
    </comment>
    <comment ref="AF8" authorId="1" shapeId="0" xr:uid="{8A984671-5590-43E9-B49B-CFC7FA4AA75F}">
      <text>
        <r>
          <rPr>
            <sz val="9"/>
            <color indexed="81"/>
            <rFont val="Segoe UI"/>
            <family val="2"/>
          </rPr>
          <t xml:space="preserve">ID: 89620
Label: mkfls14scx
Database: wiiw Monthly Database - Public
Status: active
Calculation: SubScal(L_mkfls14scx&gt;mdb,100)
Calculation_M: CPPY=100(L_mkfls14e&gt;mdb)
Calculation_Q: M-&gt;Q EOP(L_mkfls14scx&gt;mdb)
Calculation_A: Q-&gt;A EOP(L_mkfls14scx&gt;mdb)
Periodicity: Q
Data available M: 1997m1 - 2023m12
Data available Q: 1997q1 - 2023q4
Data available A: 1997 - 2023
Text 99: 
Automatic update period: 1999|2015
Time shift: 
Note: 
Reporter: MK - North Macedonia
Chapter 1: 10_DF - Domestic finance
Indicator: SC1066 - Loans households (S14)
Unit: 04_Inom_32 - index nominal, corresponding period of previous year = 100
Footnote 1:  - 
Footnote 2:  - 
Footnote 3:  - 
Footnote 4:  - 
Source 1: QMK2 - National Bank of North Macedonia
Source 2: Z_wiiw - wiiw
Source 3:  - 
</t>
        </r>
      </text>
    </comment>
    <comment ref="AG8" authorId="1" shapeId="0" xr:uid="{DEB3A485-C066-4901-ACCA-1F2A4C13CD8F}">
      <text>
        <r>
          <rPr>
            <sz val="9"/>
            <color indexed="81"/>
            <rFont val="Segoe UI"/>
            <family val="2"/>
          </rPr>
          <t xml:space="preserve">ID: 140881
Label: mkbgdtpx_help_q
Database: wiiw Monthly Database - Hidden
Status: active
Calculation: 
Calculation_M: Q-&gt;M EOP(L_mkbgdtpx_help_q&gt;mdb)
Calculation_Q: Share(L_mkbgdtn_help_q&gt;mdb,L_mkg11tnx_help_q&gt;mdb)
Calculation_A: Q-&gt;A EOP(L_mkbgdtpx_help_q&gt;mdb)
Periodicity: Q
Data available M: 2017m3 - 2023m9
Data available Q: 2017q1 - 2023q3
Data available A: 2017 - 2022
Text 99: 
Automatic update period: 1999|2015
Time shift: 
Note: 
Reporter: MK - North Macedonia
Chapter 1: 10_DF - Domestic finance
Indicator: SC1009 - General government gross debt, total
Unit: 09_Share_%gdp - in % of GDP
Footnote 1:  - 
Footnote 2:  - 
Footnote 3:  - 
Footnote 4:  - 
Source 1: QMK3 - Ministry of Finance of North Macedonia
Source 2: Z_wiiw - wiiw
Source 3:  - 
</t>
        </r>
      </text>
    </comment>
    <comment ref="G101" authorId="0" shapeId="0" xr:uid="{07385196-6BC4-47F8-B131-B83460015CA0}">
      <text>
        <r>
          <rPr>
            <b/>
            <sz val="9"/>
            <color indexed="81"/>
            <rFont val="Tahoma"/>
            <family val="2"/>
          </rPr>
          <t>BJ:</t>
        </r>
        <r>
          <rPr>
            <sz val="9"/>
            <color indexed="81"/>
            <rFont val="Tahoma"/>
            <family val="2"/>
          </rPr>
          <t xml:space="preserve">
from the budget for 2022</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BJ</author>
    <author>Alexandra Bykova</author>
  </authors>
  <commentList>
    <comment ref="B1" authorId="0" shapeId="0" xr:uid="{3E779F74-D552-4F09-83ED-A606B15E7522}">
      <text>
        <r>
          <rPr>
            <b/>
            <sz val="9"/>
            <color indexed="81"/>
            <rFont val="Tahoma"/>
            <family val="2"/>
          </rPr>
          <t>BJ:</t>
        </r>
        <r>
          <rPr>
            <sz val="9"/>
            <color indexed="81"/>
            <rFont val="Tahoma"/>
            <family val="2"/>
          </rPr>
          <t xml:space="preserve">
EU 27, seasonally and calendar adjusted
Eurostat</t>
        </r>
      </text>
    </comment>
    <comment ref="C1" authorId="0" shapeId="0" xr:uid="{DDD5E229-D2BB-45D5-A867-0608DC61E7EF}">
      <text>
        <r>
          <rPr>
            <b/>
            <sz val="9"/>
            <color indexed="81"/>
            <rFont val="Tahoma"/>
            <family val="2"/>
          </rPr>
          <t>BJ:</t>
        </r>
        <r>
          <rPr>
            <sz val="9"/>
            <color indexed="81"/>
            <rFont val="Tahoma"/>
            <family val="2"/>
          </rPr>
          <t xml:space="preserve">
Eurostat</t>
        </r>
      </text>
    </comment>
    <comment ref="D1" authorId="0" shapeId="0" xr:uid="{57AA9BD5-D103-4352-A91B-58F26B55254F}">
      <text>
        <r>
          <rPr>
            <b/>
            <sz val="9"/>
            <color indexed="81"/>
            <rFont val="Tahoma"/>
            <family val="2"/>
          </rPr>
          <t>BJ:</t>
        </r>
        <r>
          <rPr>
            <sz val="9"/>
            <color indexed="81"/>
            <rFont val="Tahoma"/>
            <family val="2"/>
          </rPr>
          <t xml:space="preserve">
EU changing composition
Eurostat</t>
        </r>
      </text>
    </comment>
    <comment ref="E1" authorId="0" shapeId="0" xr:uid="{0C7EC54D-9641-40EB-9EB1-296AAA089609}">
      <text>
        <r>
          <rPr>
            <b/>
            <sz val="9"/>
            <color indexed="81"/>
            <rFont val="Tahoma"/>
            <family val="2"/>
          </rPr>
          <t>BJ:</t>
        </r>
        <r>
          <rPr>
            <sz val="9"/>
            <color indexed="81"/>
            <rFont val="Tahoma"/>
            <family val="2"/>
          </rPr>
          <t xml:space="preserve">
ECB</t>
        </r>
      </text>
    </comment>
    <comment ref="F1" authorId="0" shapeId="0" xr:uid="{0A2C431E-79EF-4590-9D13-369C3A61FC83}">
      <text>
        <r>
          <rPr>
            <b/>
            <sz val="9"/>
            <color indexed="81"/>
            <rFont val="Tahoma"/>
            <family val="2"/>
          </rPr>
          <t>BJ:</t>
        </r>
        <r>
          <rPr>
            <sz val="9"/>
            <color indexed="81"/>
            <rFont val="Tahoma"/>
            <family val="2"/>
          </rPr>
          <t xml:space="preserve">
Crude oil, average, from WB pink sheets</t>
        </r>
      </text>
    </comment>
    <comment ref="G1" authorId="0" shapeId="0" xr:uid="{424FA4CD-664A-4984-9527-D513CA346DF4}">
      <text>
        <r>
          <rPr>
            <sz val="9"/>
            <color indexed="81"/>
            <rFont val="Tahoma"/>
            <family val="2"/>
          </rPr>
          <t>General gov, nominal yoy growth, in NCU
wiiw</t>
        </r>
      </text>
    </comment>
    <comment ref="H1" authorId="0" shapeId="0" xr:uid="{E64FE393-70D5-447D-A31A-54210041610C}">
      <text>
        <r>
          <rPr>
            <b/>
            <sz val="9"/>
            <color indexed="81"/>
            <rFont val="Tahoma"/>
            <family val="2"/>
          </rPr>
          <t>BJ:</t>
        </r>
        <r>
          <rPr>
            <sz val="9"/>
            <color indexed="81"/>
            <rFont val="Tahoma"/>
            <family val="2"/>
          </rPr>
          <t xml:space="preserve">
General gov. budget - revenues NCU m (incl. 'euro fixed' series)
wiiw</t>
        </r>
      </text>
    </comment>
    <comment ref="I1" authorId="0" shapeId="0" xr:uid="{05841657-3221-49A1-ACFE-624CDADD4E9C}">
      <text>
        <r>
          <rPr>
            <b/>
            <sz val="9"/>
            <color indexed="81"/>
            <rFont val="Tahoma"/>
            <family val="2"/>
          </rPr>
          <t>BJ:</t>
        </r>
        <r>
          <rPr>
            <sz val="9"/>
            <color indexed="81"/>
            <rFont val="Tahoma"/>
            <family val="2"/>
          </rPr>
          <t xml:space="preserve">
General gov. budget - balance
 in % of GDP
wiiw</t>
        </r>
      </text>
    </comment>
    <comment ref="J1" authorId="0" shapeId="0" xr:uid="{CBE1160F-8982-4B4D-AF47-86007C17D7E5}">
      <text>
        <r>
          <rPr>
            <b/>
            <sz val="9"/>
            <color indexed="81"/>
            <rFont val="Tahoma"/>
            <family val="2"/>
          </rPr>
          <t>BJ:</t>
        </r>
        <r>
          <rPr>
            <sz val="9"/>
            <color indexed="81"/>
            <rFont val="Tahoma"/>
            <family val="2"/>
          </rPr>
          <t xml:space="preserve">
For all GDP: 
NCU m, 2015 reference prices (prev. year prices, incl. 'euro fixed' series)
wiiw</t>
        </r>
      </text>
    </comment>
    <comment ref="K1" authorId="0" shapeId="0" xr:uid="{3B151710-FA3C-4AFC-AADB-284EDC8B690C}">
      <text>
        <r>
          <rPr>
            <b/>
            <sz val="9"/>
            <color indexed="81"/>
            <rFont val="Tahoma"/>
            <family val="2"/>
          </rPr>
          <t>BJ:</t>
        </r>
        <r>
          <rPr>
            <sz val="9"/>
            <color indexed="81"/>
            <rFont val="Tahoma"/>
            <family val="2"/>
          </rPr>
          <t xml:space="preserve">
Households + NPISH
Only Households</t>
        </r>
      </text>
    </comment>
    <comment ref="M1" authorId="0" shapeId="0" xr:uid="{44BE821C-C9AC-47B7-8591-DC458B7AD65A}">
      <text>
        <r>
          <rPr>
            <b/>
            <sz val="9"/>
            <color indexed="81"/>
            <rFont val="Tahoma"/>
            <family val="2"/>
          </rPr>
          <t>BJ:</t>
        </r>
        <r>
          <rPr>
            <sz val="9"/>
            <color indexed="81"/>
            <rFont val="Tahoma"/>
            <family val="2"/>
          </rPr>
          <t xml:space="preserve">
Gross capital formation</t>
        </r>
      </text>
    </comment>
    <comment ref="P1" authorId="0" shapeId="0" xr:uid="{A2D0E7B9-0839-4E14-B393-09B74C79FBE5}">
      <text>
        <r>
          <rPr>
            <b/>
            <sz val="9"/>
            <color indexed="81"/>
            <rFont val="Tahoma"/>
            <family val="2"/>
          </rPr>
          <t>Employment, LFS, thousand persons
wiiw</t>
        </r>
      </text>
    </comment>
    <comment ref="Q1" authorId="0" shapeId="0" xr:uid="{16A9702C-265E-4962-AA37-8BDC94222F4E}">
      <text>
        <r>
          <rPr>
            <b/>
            <sz val="9"/>
            <color indexed="81"/>
            <rFont val="Tahoma"/>
            <family val="2"/>
          </rPr>
          <t>Unemployment, LFS, thousand persons
wiiw</t>
        </r>
      </text>
    </comment>
    <comment ref="R1" authorId="0" shapeId="0" xr:uid="{1ADFB18B-F8F2-4450-9855-FA9ED6215E45}">
      <text>
        <r>
          <rPr>
            <b/>
            <sz val="9"/>
            <color indexed="81"/>
            <rFont val="Tahoma"/>
            <family val="2"/>
          </rPr>
          <t>Unemployment, LFS, in %
wiiw</t>
        </r>
      </text>
    </comment>
    <comment ref="S1" authorId="0" shapeId="0" xr:uid="{17D0AEAD-FA16-4268-9EB8-9016D8D25360}">
      <text>
        <r>
          <rPr>
            <sz val="9"/>
            <color indexed="81"/>
            <rFont val="Tahoma"/>
            <family val="2"/>
          </rPr>
          <t>Average monthly gross wages total, 
national currency (incl. 'euro fixed' series), yoy growth
wiiw</t>
        </r>
      </text>
    </comment>
    <comment ref="T1" authorId="0" shapeId="0" xr:uid="{53140338-33A7-4C0C-A570-07E7757F2892}">
      <text>
        <r>
          <rPr>
            <b/>
            <sz val="9"/>
            <color indexed="81"/>
            <rFont val="Tahoma"/>
            <family val="2"/>
          </rPr>
          <t>BJ:</t>
        </r>
        <r>
          <rPr>
            <sz val="9"/>
            <color indexed="81"/>
            <rFont val="Tahoma"/>
            <family val="2"/>
          </rPr>
          <t xml:space="preserve">
Central bank policy rate, nominal
wiiw</t>
        </r>
      </text>
    </comment>
    <comment ref="U1" authorId="0" shapeId="0" xr:uid="{4FD0FB67-05D5-41C9-9961-055BD9DADABA}">
      <text>
        <r>
          <rPr>
            <b/>
            <sz val="9"/>
            <color indexed="81"/>
            <rFont val="Tahoma"/>
            <family val="2"/>
          </rPr>
          <t>BJ:</t>
        </r>
        <r>
          <rPr>
            <sz val="9"/>
            <color indexed="81"/>
            <rFont val="Tahoma"/>
            <family val="2"/>
          </rPr>
          <t xml:space="preserve">
Consumer prices index, monthly average, 2015 = 100
wiiw</t>
        </r>
      </text>
    </comment>
    <comment ref="V1" authorId="0" shapeId="0" xr:uid="{DB8058DD-46ED-415B-9966-C04EF9DF0087}">
      <text>
        <r>
          <rPr>
            <b/>
            <sz val="9"/>
            <color indexed="81"/>
            <rFont val="Tahoma"/>
            <family val="2"/>
          </rPr>
          <t>BJ:</t>
        </r>
        <r>
          <rPr>
            <sz val="9"/>
            <color indexed="81"/>
            <rFont val="Tahoma"/>
            <family val="2"/>
          </rPr>
          <t xml:space="preserve">
Exchange rate nominal NCU/EUR, period average
wiiw</t>
        </r>
      </text>
    </comment>
    <comment ref="W1" authorId="0" shapeId="0" xr:uid="{5C5F7503-5375-4E65-9556-45191F9D102D}">
      <text>
        <r>
          <rPr>
            <b/>
            <sz val="9"/>
            <color indexed="81"/>
            <rFont val="Tahoma"/>
            <family val="2"/>
          </rPr>
          <t>BJ:</t>
        </r>
        <r>
          <rPr>
            <sz val="9"/>
            <color indexed="81"/>
            <rFont val="Tahoma"/>
            <family val="2"/>
          </rPr>
          <t xml:space="preserve">
 Industrial output (BCD - NACE Rev. 2), index real, monthly average, 2015 = 100, yoy growth
wiiw</t>
        </r>
      </text>
    </comment>
    <comment ref="X1" authorId="0" shapeId="0" xr:uid="{F0D45940-8EE2-4FBA-91CE-2B8420FD43D1}">
      <text>
        <r>
          <rPr>
            <b/>
            <sz val="9"/>
            <color indexed="81"/>
            <rFont val="Tahoma"/>
            <family val="2"/>
          </rPr>
          <t>BJ:</t>
        </r>
        <r>
          <rPr>
            <sz val="9"/>
            <color indexed="81"/>
            <rFont val="Tahoma"/>
            <family val="2"/>
          </rPr>
          <t xml:space="preserve">
Exports total, fob EUR m, yoy growth
wiiw
Alexandra: changed to BOP: exports of goods and services</t>
        </r>
      </text>
    </comment>
    <comment ref="Y1" authorId="0" shapeId="0" xr:uid="{9215A8A2-12CB-43B0-AAC9-0BCEB3A1ECC7}">
      <text>
        <r>
          <rPr>
            <b/>
            <sz val="9"/>
            <color indexed="81"/>
            <rFont val="Tahoma"/>
            <family val="2"/>
          </rPr>
          <t>BJ:</t>
        </r>
        <r>
          <rPr>
            <sz val="9"/>
            <color indexed="81"/>
            <rFont val="Tahoma"/>
            <family val="2"/>
          </rPr>
          <t xml:space="preserve">
 Imports total, cif EUR m
wiiw
Alexandra: changed to BOP: imports of goods and services</t>
        </r>
      </text>
    </comment>
    <comment ref="Z1" authorId="0" shapeId="0" xr:uid="{0879455D-7BCD-4619-AD72-C236971EE0C1}">
      <text>
        <r>
          <rPr>
            <b/>
            <sz val="9"/>
            <color indexed="81"/>
            <rFont val="Tahoma"/>
            <family val="2"/>
          </rPr>
          <t>BJ:</t>
        </r>
        <r>
          <rPr>
            <sz val="9"/>
            <color indexed="81"/>
            <rFont val="Tahoma"/>
            <family val="2"/>
          </rPr>
          <t xml:space="preserve">
Current account in % of GDP
wiiw</t>
        </r>
      </text>
    </comment>
    <comment ref="AA1" authorId="0" shapeId="0" xr:uid="{AD5C946C-AE85-4C8D-91E6-61E1BD524410}">
      <text>
        <r>
          <rPr>
            <b/>
            <sz val="9"/>
            <color indexed="81"/>
            <rFont val="Tahoma"/>
            <family val="2"/>
          </rPr>
          <t>BJ:</t>
        </r>
        <r>
          <rPr>
            <sz val="9"/>
            <color indexed="81"/>
            <rFont val="Tahoma"/>
            <family val="2"/>
          </rPr>
          <t xml:space="preserve">
Households + NPISH</t>
        </r>
      </text>
    </comment>
    <comment ref="AC1" authorId="0" shapeId="0" xr:uid="{8FED5770-E491-4261-A6F6-2D9C70140A60}">
      <text>
        <r>
          <rPr>
            <b/>
            <sz val="9"/>
            <color indexed="81"/>
            <rFont val="Tahoma"/>
            <family val="2"/>
          </rPr>
          <t>BJ:</t>
        </r>
        <r>
          <rPr>
            <sz val="9"/>
            <color indexed="81"/>
            <rFont val="Tahoma"/>
            <family val="2"/>
          </rPr>
          <t xml:space="preserve">
Gross capital formation</t>
        </r>
      </text>
    </comment>
    <comment ref="AF1" authorId="0" shapeId="0" xr:uid="{A1CA2CF4-2917-470D-99D2-0D5BC2CB0D0C}">
      <text>
        <r>
          <rPr>
            <b/>
            <sz val="9"/>
            <color indexed="81"/>
            <rFont val="Tahoma"/>
            <family val="2"/>
          </rPr>
          <t>BJ:</t>
        </r>
        <r>
          <rPr>
            <sz val="9"/>
            <color indexed="81"/>
            <rFont val="Tahoma"/>
            <family val="2"/>
          </rPr>
          <t xml:space="preserve">
loans to households, nominal, yoy growth rates</t>
        </r>
      </text>
    </comment>
    <comment ref="B8" authorId="1" shapeId="0" xr:uid="{DD8DAB71-2E09-4E9F-9D55-4C6FD6EF5292}">
      <text>
        <r>
          <rPr>
            <sz val="9"/>
            <color indexed="81"/>
            <rFont val="Segoe UI"/>
            <family val="2"/>
          </rPr>
          <t xml:space="preserve">ID: 144396
Label: eug11tscrx_q
Database: wiiw Monthly Database - Hidden
Status: active
Calculation: 
Calculation_M: SubScal(L_eug11tscx_q&gt;mdb,100)
Calculation_Q: SubScal(L_eug11tscx_q&gt;mdb,100)
Calculation_A: SubScal(L_eug11tscx_q&gt;mdb,100)
Periodicity: Q
Data available M: 1996m3 - 2023m9
Data available Q: 1996q1 - 2023q3
Data available A: 1996 - 2022
Text 99: 
Automatic update period: 1999|2015
Time shift: 
Note: 
Reporter: EU27_2020 - EU - 27 countries (from 2020)
Chapter 1: 02_NA - National accounts
Indicator: SC0201 - Gross domestic product total
Unit: 05_Ireal_36 - real growth rate to corresponding period of previous year in %
Footnote 1: FZZ05 - According to ESA'10.
Footnote 2:  - 
Footnote 3:  - 
Footnote 4:  - 
Source 1: Z_ESTAT - Eurostat
Source 2: Z_wiiw - wiiw
Source 3:  - 
</t>
        </r>
      </text>
    </comment>
    <comment ref="C8" authorId="1" shapeId="0" xr:uid="{FB993FB3-AC56-4257-ACC0-09C97BB13B95}">
      <text>
        <r>
          <rPr>
            <sz val="9"/>
            <color indexed="81"/>
            <rFont val="Segoe UI"/>
            <family val="2"/>
          </rPr>
          <t xml:space="preserve">ID: 77811
Label: eup1p1tsa
Database: wiiw Monthly Database - Hidden
Status: active
Calculation: 
Calculation_M: 
Calculation_Q: m-&gt;q AVG(L_eup1p1tsa&gt;mdb)
Calculation_A: q-&gt;a AVG(L_eup1p1tsa&gt;mdb)
Periodicity: Q
Data available M: 1999m1 - 2023m12
Data available Q: 1999q1 - 2023q4
Data available A: 1999 - 2023
Text 99: 
Automatic update period: 1999|2015
Time shift: 
Note: 
Reporter: EU - European Union evolutionary
Chapter 1: 07_PRC - Prices
Indicator: SC0701 - Consumer prices
Unit: 03_I_1_085_15avg - index, monthly average, 2015 = 100
Footnote 1: FZZ40 - Based on HICP (Harmonized Index of Consumer Prices).
Footnote 2:  - 
Footnote 3:  - 
Footnote 4:  - 
Source 1: Z_ESTAT - Eurostat
Source 2:  - 
Source 3:  - 
</t>
        </r>
      </text>
    </comment>
    <comment ref="D8" authorId="1" shapeId="0" xr:uid="{D4080054-8408-4060-9BF8-C105FCF93C1E}">
      <text>
        <r>
          <rPr>
            <sz val="9"/>
            <color indexed="81"/>
            <rFont val="Segoe UI"/>
            <family val="2"/>
          </rPr>
          <t xml:space="preserve">ID: 77812
Label: eup1p1tscx
Database: wiiw Monthly Database - Hidden
Status: active
Calculation: SubScal(L_eup1p1tscx&gt;mdb,100)
Calculation_M: CPPY=100(L_eup1p1tsa&gt;mdb)
Calculation_Q: CPPY=100(L_eup1p1tsa&gt;mdb)
Calculation_A: CPPY=100(L_eup1p1tsa&gt;mdb)
Periodicity: Q
Data available M: 1992m1 - 2023m12
Data available Q: 1992q1 - 2023q4
Data available A: 1992 - 2023
Text 99: 
Automatic update period: 1999|2015
Time shift: 
Note: 
Reporter: EU - European Union evolutionary
Chapter 1: 07_PRC - Prices
Indicator: SC0701 - Consumer prices
Unit: 03_I_32 - index, corresponding period of previous year = 100
Footnote 1: FZZ40 - Based on HICP (Harmonized Index of Consumer Prices).
Footnote 2:  - 
Footnote 3:  - 
Footnote 4:  - 
Source 1: Z_ESTAT - Eurostat
Source 2: Z_wiiw - wiiw
Source 3:  - 
</t>
        </r>
      </text>
    </comment>
    <comment ref="E8" authorId="1" shapeId="0" xr:uid="{7D12B61F-7FCA-4FD4-84D1-964FB244A89F}">
      <text>
        <r>
          <rPr>
            <sz val="9"/>
            <color indexed="81"/>
            <rFont val="Segoe UI"/>
            <family val="2"/>
          </rPr>
          <t xml:space="preserve">ID: 144399
Label: eafrr1tp_help
Database: wiiw Monthly Database - Hidden
Status: active
Calculation: 
Calculation_M: L_eafrr1tp&gt;mdb
Calculation_Q: m-&gt;q AVG(L_eafrr1tp&gt;mdb)
Calculation_A: q-&gt;a AVG(L_eafrr1tp&gt;mdb)
Periodicity: Q
Data available M: 1999m1 - 2023m12
Data available Q: 1999q1 - 2023q4
Data available A: 1999 - 2023
Text 99: 
Automatic update period: 1999|2015
Time shift: 
Note: 
Reporter: EA - Euro area evolutionary
Chapter 1: 10_DF - Domestic finance
Indicator: SC1050 - Central bank policy rate
Unit: 06_IntR_6 - % p.a., period average
Footnote 1: FZZ50 - Official refinancing operation rates for euro area (ECB), rate in fixed rate tenders (between June 2000 and September 2008 the minimum bid rate in variable rate tenders was applied).
Footnote 2:  - 
Footnote 3:  - 
Footnote 4:  - 
Source 1: Z_ECB - European Central Bank
Source 2:  - 
Source 3:  - 
</t>
        </r>
      </text>
    </comment>
    <comment ref="F8" authorId="1" shapeId="0" xr:uid="{CD019150-17EC-4EC1-9506-975DDC7C55C6}">
      <text>
        <r>
          <rPr>
            <sz val="9"/>
            <color indexed="81"/>
            <rFont val="Segoe UI"/>
            <family val="2"/>
          </rPr>
          <t xml:space="preserve">ID: 101874
Label: usp2oila
Database: wiiw Monthly Database - Hidden
Status: active
Calculation: 
Calculation_M: 
Calculation_Q: M-&gt;Q AVG(L_usp2oila&gt;mdb)
Calculation_A: Q-&gt;A AVG(L_usp2oila&gt;mdb)
Periodicity: Q
Data available M: 1990m1 - 2023m12
Data available Q: 1990q1 - 2023q4
Data available A: 1990 - 2023
Text 99: 
Automatic update period: 1999|2015
Time shift: 
Note: Oil prices  &amp; Europe Brent Spot Price FOB (Dollars per Barrel) &amp; EIA (US) Source of the data. Gespeichert auf die EU&amp;US Karten.
Reporter: US - United States
Chapter 1: 11_FF - Foreign finance
Indicator:  - 
Unit:  - 
Footnote 1:  - 
Footnote 2:  - 
Footnote 3:  - 
Footnote 4:  - 
Source 1:  - 
Source 2:  - 
Source 3:  - 
</t>
        </r>
      </text>
    </comment>
    <comment ref="G8" authorId="1" shapeId="0" xr:uid="{717EE30B-2332-4F38-BD89-C43D2C20FBAC}">
      <text>
        <r>
          <rPr>
            <sz val="9"/>
            <color indexed="81"/>
            <rFont val="Segoe UI"/>
            <family val="2"/>
          </rPr>
          <t xml:space="preserve">ID: 53399
Label: rsbg21n
Database: wiiw Monthly Database - Public
Status: active
Calculation: SubScal(CPPY=100(L_rsbg21n&gt;mdb),100)
Calculation_M: 
Calculation_Q: m-&gt;q CumPer(L_rsbg21n&gt;mdb)
Calculation_A: q-&gt;a CumPer(L_rsbg21n&gt;mdb)
Periodicity: Q
Data available M: 2005m1 - 2023m11
Data available Q: 2005q1 - 2023q3
Data available A: 2005 - 2022
Text 99: 
Automatic update period: 1999|2015
Time shift: 
Note: Monate nicht revidiert - Dezemberwert an ADB angepasst.
Reporter: RS - Serbia
Chapter 1: 10_DF - Domestic finance
Indicator: SC1021 - General gov. budget - expenditures
Unit: 01_Curr_12 - NCU m (incl. 'euro fixed' series)
Footnote 1: FRS07 - Including net lending
Footnote 2:  - 
Footnote 3:  - 
Footnote 4:  - 
Source 1: QRS3 - Ministry of Finance of Serbia
Source 2:  - 
Source 3:  - 
</t>
        </r>
      </text>
    </comment>
    <comment ref="H8" authorId="1" shapeId="0" xr:uid="{669AFF0D-6C86-4AE2-95DD-50523C01EBE3}">
      <text>
        <r>
          <rPr>
            <sz val="9"/>
            <color indexed="81"/>
            <rFont val="Segoe UI"/>
            <family val="2"/>
          </rPr>
          <t xml:space="preserve">ID: 53396
Label: rsbg11n
Database: wiiw Monthly Database - Public
Status: active
Calculation: SubScal(CPPY=100(L_rsbg11n&gt;mdb),100)
Calculation_M: 
Calculation_Q: m-&gt;q CumPer(L_rsbg11n&gt;mdb)
Calculation_A: q-&gt;a CumPer(L_rsbg11n&gt;mdb)
Periodicity: Q
Data available M: 2005m1 - 2023m11
Data available Q: 2005q1 - 2023q3
Data available A: 2005 - 2022
Text 99: 
Automatic update period: 1999|2015
Time shift: 
Note: Monate nicht revidiert - Dezemberwert an ADB angepasst.
Reporter: RS - Serbia
Chapter 1: 10_DF - Domestic finance
Indicator: SC1020 - General gov. budget - revenues
Unit: 01_Curr_12 - NCU m (incl. 'euro fixed' series)
Footnote 1:  - 
Footnote 2:  - 
Footnote 3:  - 
Footnote 4:  - 
Source 1: QRS3 - Ministry of Finance of Serbia
Source 2:  - 
Source 3:  - 
</t>
        </r>
      </text>
    </comment>
    <comment ref="I8" authorId="1" shapeId="0" xr:uid="{2414F9B9-D67E-4645-8367-844E21BCA1AE}">
      <text>
        <r>
          <rPr>
            <sz val="9"/>
            <color indexed="81"/>
            <rFont val="Segoe UI"/>
            <family val="2"/>
          </rPr>
          <t xml:space="preserve">ID: 89225
Label: rsbg31px_q
Database: wiiw Monthly Database - Public
Status: active
Calculation: 
Calculation_M: Q-&gt;M EOP(L_rsbg31px_q&gt;mdb)
Calculation_Q: Share(L_rsbg31nx&gt;mdb,L_rsg11tn_q&gt;mdb)
Calculation_A: Share(L_rsbg31nx&gt;mdb,L_rsg11tn_q&gt;mdb)
Periodicity: Q
Data available M: 2005m3 - 2023m9
Data available Q: 2005q1 - 2023q3
Data available A: 2005 - 2022
Text 99: 
Automatic update period: 1999|2015
Time shift: 
Note: 
Reporter: RS - Serbia
Chapter 1: 10_DF - Domestic finance
Indicator: SC1022 - General gov. budget - balance
Unit: 09_Share_%gdp - in % of GDP
Footnote 1: FRS07 - Including net lending
Footnote 2:  - 
Footnote 3:  - 
Footnote 4:  - 
Source 1: QRS3 - Ministry of Finance of Serbia
Source 2: Z_wiiw - wiiw
Source 3:  - 
</t>
        </r>
      </text>
    </comment>
    <comment ref="J8" authorId="1" shapeId="0" xr:uid="{1B6871E8-E3FA-46C6-AFEA-D33B033F5120}">
      <text>
        <r>
          <rPr>
            <sz val="9"/>
            <color indexed="81"/>
            <rFont val="Segoe UI"/>
            <family val="2"/>
          </rPr>
          <t xml:space="preserve">ID: 88676
Label: rsg11tr15_q
Database: wiiw Monthly Database - Public
Status: active
Calculation: SubScal(CPPY=100(L_rsg11tr15_q&gt;mdb),100)
Calculation_M: q-&gt;m EOP(L_rsg11tr15_q&gt;mdb)
Calculation_Q: 
Calculation_A: q-&gt;a CumPer(L_rsg11tr15_q&gt;mdb)
Periodicity: Q
Data available M: 1995m3 - 2023m9
Data available Q: 1995q1 - 2023q3
Data available A: 1995 - 2022
Text 99: 
Automatic update period: 1999|2015
Time shift: 
Note: 
Reporter: RS - Serbia
Chapter 1: 02_NA - National accounts
Indicator: SC0201 - Gross domestic product total
Unit: 01_Curr_15_085_15_r - NCU m, 2015 reference prices (prev. year prices, incl. 'euro fixed' series)
Footnote 1: FZZ05 - According to ESA'10.
Footnote 2:  - 
Footnote 3:  - 
Footnote 4:  - 
Source 1: Z_ESTAT - Eurostat
Source 2:  - 
Source 3:  - 
</t>
        </r>
      </text>
    </comment>
    <comment ref="K8" authorId="1" shapeId="0" xr:uid="{3D64CBB6-C420-443A-95BC-6CFA40DCBDB8}">
      <text>
        <r>
          <rPr>
            <sz val="9"/>
            <color indexed="81"/>
            <rFont val="Segoe UI"/>
            <family val="2"/>
          </rPr>
          <t xml:space="preserve">ID: 90877
Label: rsg222r15_q
Database: wiiw Monthly Database - Public
Status: active
Calculation: SubScal(CPPY=100(L_rsg222r15_q&gt;mdb),100)
Calculation_M: q-&gt;m EOP(L_rsg222r15_q&gt;mdb)
Calculation_Q: 
Calculation_A: q-&gt;a CumPer(L_rsg222r15_q&gt;mdb)
Periodicity: Q
Data available M: 1995m3 - 2023m9
Data available Q: 1995q1 - 2023q3
Data available A: 1995 - 2022
Text 99: 
Automatic update period: 1999|2015
Time shift: 
Note: 
Reporter: RS - Serbia
Chapter 1: 02_NA - National accounts
Indicator: SC0212 - Household final consumption expenditure
Unit: 01_Curr_15_085_15_r - NCU m, 2015 reference prices (prev. year prices, incl. 'euro fixed' series)
Footnote 1:  - 
Footnote 2:  - 
Footnote 3:  - 
Footnote 4:  - 
Source 1: Z_ESTAT - Eurostat
Source 2:  - 
Source 3:  - 
</t>
        </r>
      </text>
    </comment>
    <comment ref="L8" authorId="1" shapeId="0" xr:uid="{A499B9CD-53CF-4521-B9C4-CC4E7D458B1D}">
      <text>
        <r>
          <rPr>
            <sz val="9"/>
            <color indexed="81"/>
            <rFont val="Segoe UI"/>
            <family val="2"/>
          </rPr>
          <t xml:space="preserve">ID: 90921
Label: rsg223r15_q
Database: wiiw Monthly Database - Public
Status: active
Calculation: SubScal(CPPY=100(L_rsg223r15_q&gt;mdb),100)
Calculation_M: q-&gt;m EOP(L_rsg223r15_q&gt;mdb)
Calculation_Q: 
Calculation_A: q-&gt;a CumPer(L_rsg223r15_q&gt;mdb)
Periodicity: Q
Data available M: 1995m3 - 2023m9
Data available Q: 1995q1 - 2023q3
Data available A: 1995 - 2022
Text 99: 
Automatic update period: 1999|2015
Time shift: 
Note: 
Reporter: RS - Serbia
Chapter 1: 02_NA - National accounts
Indicator: SC0214 - Government final consumption expenditure
Unit: 01_Curr_15_085_15_r - NCU m, 2015 reference prices (prev. year prices, incl. 'euro fixed' series)
Footnote 1:  - 
Footnote 2:  - 
Footnote 3:  - 
Footnote 4:  - 
Source 1: Z_ESTAT - Eurostat
Source 2:  - 
Source 3:  - 
</t>
        </r>
      </text>
    </comment>
    <comment ref="M8" authorId="1" shapeId="0" xr:uid="{0599EF0E-82BA-4234-AAB5-9DD4BF775F44}">
      <text>
        <r>
          <rPr>
            <sz val="9"/>
            <color indexed="81"/>
            <rFont val="Segoe UI"/>
            <family val="2"/>
          </rPr>
          <t xml:space="preserve">ID: 90943
Label: rsg224r15_q
Database: wiiw Monthly Database - Public
Status: active
Calculation: SubScal(CPPY=100(L_rsg224r15_q&gt;mdb),100)
Calculation_M: q-&gt;m EOP(L_rsg224r15_q&gt;mdb)
Calculation_Q: 
Calculation_A: q-&gt;a CumPer(L_rsg224r15_q&gt;mdb)
Periodicity: Q
Data available M: 1995m3 - 2023m9
Data available Q: 1995q1 - 2023q3
Data available A: 1995 - 2022
Text 99: 
Automatic update period: 1999|2015
Time shift: 
Note: 
Reporter: RS - Serbia
Chapter 1: 02_NA - National accounts
Indicator: SC0217 - Gross capital formation
Unit: 01_Curr_15_085_15_r - NCU m, 2015 reference prices (prev. year prices, incl. 'euro fixed' series)
Footnote 1:  - 
Footnote 2:  - 
Footnote 3:  - 
Footnote 4:  - 
Source 1: Z_ESTAT - Eurostat
Source 2:  - 
Source 3:  - 
</t>
        </r>
      </text>
    </comment>
    <comment ref="N8" authorId="1" shapeId="0" xr:uid="{E08D1DBC-0999-4005-968F-6F05D2D245AF}">
      <text>
        <r>
          <rPr>
            <sz val="9"/>
            <color indexed="81"/>
            <rFont val="Segoe UI"/>
            <family val="2"/>
          </rPr>
          <t xml:space="preserve">ID: 90987
Label: rsg228r15_q
Database: wiiw Monthly Database - Public
Status: active
Calculation: SubScal(CPPY=100(L_rsg228r15_q&gt;mdb),100)
Calculation_M: q-&gt;m EOP(L_rsg228r15_q&gt;mdb)
Calculation_Q: 
Calculation_A: q-&gt;a CumPer(L_rsg228r15_q&gt;mdb)
Periodicity: Q
Data available M: 1995m3 - 2023m9
Data available Q: 1995q1 - 2023q3
Data available A: 1995 - 2022
Text 99: 
Automatic update period: 1999|2015
Time shift: 
Note: 
Reporter: RS - Serbia
Chapter 1: 02_NA - National accounts
Indicator: SC0221 - Exports of goods and services
Unit: 01_Curr_15_085_15_r - NCU m, 2015 reference prices (prev. year prices, incl. 'euro fixed' series)
Footnote 1:  - 
Footnote 2:  - 
Footnote 3:  - 
Footnote 4:  - 
Source 1: Z_ESTAT - Eurostat
Source 2:  - 
Source 3:  - 
</t>
        </r>
      </text>
    </comment>
    <comment ref="O8" authorId="1" shapeId="0" xr:uid="{86761855-4597-40A4-B66D-165B38200687}">
      <text>
        <r>
          <rPr>
            <sz val="9"/>
            <color indexed="81"/>
            <rFont val="Segoe UI"/>
            <family val="2"/>
          </rPr>
          <t xml:space="preserve">ID: 91009
Label: rsg229r15_q
Database: wiiw Monthly Database - Public
Status: active
Calculation: SubScal(CPPY=100(L_rsg229r15_q&gt;mdb),100)
Calculation_M: q-&gt;m EOP(L_rsg229r15_q&gt;mdb)
Calculation_Q: 
Calculation_A: q-&gt;a CumPer(L_rsg229r15_q&gt;mdb)
Periodicity: Q
Data available M: 1995m3 - 2023m9
Data available Q: 1995q1 - 2023q3
Data available A: 1995 - 2022
Text 99: 
Automatic update period: 1999|2015
Time shift: 
Note: 
Reporter: RS - Serbia
Chapter 1: 02_NA - National accounts
Indicator: SC0222 - Imports of goods and services
Unit: 01_Curr_15_085_15_r - NCU m, 2015 reference prices (prev. year prices, incl. 'euro fixed' series)
Footnote 1:  - 
Footnote 2:  - 
Footnote 3:  - 
Footnote 4:  - 
Source 1: Z_ESTAT - Eurostat
Source 2:  - 
Source 3:  - 
</t>
        </r>
      </text>
    </comment>
    <comment ref="P8" authorId="1" shapeId="0" xr:uid="{75FB91B1-33C8-45B0-8187-46D21AE0358C}">
      <text>
        <r>
          <rPr>
            <sz val="9"/>
            <color indexed="81"/>
            <rFont val="Segoe UI"/>
            <family val="2"/>
          </rPr>
          <t xml:space="preserve">ID: 53357
Label: rse51_ta_q
Database: wiiw Monthly Database - Public
Status: active
Calculation: 
Calculation_M: q-&gt;m EOP(L_rse51_ta_q&gt;mdb)
Calculation_Q: 
Calculation_A: q-&gt;a AVG(L_rse51_ta_q&gt;mdb)
Periodicity: Q
Data available M: 2008m6 - 2023m9
Data available Q: 2008q2 - 2023q3
Data available A: 2008 - 2022
Text 99: 
Automatic update period: 1999|2015
Time shift: 
Note: 
Reporter: RS - Serbia
Chapter 1: 05_LAB - Labour market
Indicator: SC0501 - Employment, LFS
Unit: 02_Pers_11 - th persons, period average
Footnote 1: FZZ09 - From 2021 new methodology in line with the Integrated European Social Statistics Regulation (IESS).
Footnote 2: FRS12 - From 2023 according to census 2022. From 2013 according to census 2011. Until 2013 survey as of April and October.
Footnote 3: FRS13 - From 2015 further adjustments according to ILO, Eurostat and EU-LFS.
Footnote 4:  - 
Source 1: QRS1 - Statistical Office of Serbia
Source 2:  - 
Source 3:  - 
</t>
        </r>
      </text>
    </comment>
    <comment ref="Q8" authorId="1" shapeId="0" xr:uid="{BC98832E-2C86-4B28-A75D-38DD960D3C49}">
      <text>
        <r>
          <rPr>
            <sz val="9"/>
            <color indexed="81"/>
            <rFont val="Segoe UI"/>
            <family val="2"/>
          </rPr>
          <t xml:space="preserve">ID: 53361
Label: rse5u_ta_q
Database: wiiw Monthly Database - Public
Status: active
Calculation: 
Calculation_M: q-&gt;m EOP(L_rse5u_ta_q&gt;mdb)
Calculation_Q: 
Calculation_A: q-&gt;a AVG(L_rse5u_ta_q&gt;mdb)
Periodicity: Q
Data available M: 2008m6 - 2023m9
Data available Q: 2008q2 - 2023q3
Data available A: 2008 - 2022
Text 99: 
Automatic update period: 1999|2015
Time shift: 
Note: 
Reporter: RS - Serbia
Chapter 1: 05_LAB - Labour market
Indicator: SC0507 - Unemployment, LFS
Unit: 02_Pers_11 - th persons, period average
Footnote 1: FZZ09 - From 2021 new methodology in line with the Integrated European Social Statistics Regulation (IESS).
Footnote 2: FRS12 - From 2023 according to census 2022. From 2013 according to census 2011. Until 2013 survey as of April and October.
Footnote 3: FRS13 - From 2015 further adjustments according to ILO, Eurostat and EU-LFS.
Footnote 4:  - 
Source 1: QRS1 - Statistical Office of Serbia
Source 2:  - 
Source 3:  - 
</t>
        </r>
      </text>
    </comment>
    <comment ref="R8" authorId="1" shapeId="0" xr:uid="{4F026785-26B0-44D7-8E9B-CACA943C864F}">
      <text>
        <r>
          <rPr>
            <sz val="9"/>
            <color indexed="81"/>
            <rFont val="Segoe UI"/>
            <family val="2"/>
          </rPr>
          <t xml:space="preserve">ID: 53362
Label: rse5u_tp_q
Database: wiiw Monthly Database - Public
Status: active
Calculation: 
Calculation_M: q-&gt;m EOP(L_rse5u_tp_q&gt;mdb)
Calculation_Q: 
Calculation_A: MulScal(Div(L_rse5u_ta_q&gt;mdb,Add(L_rse5u_ta_q&gt;mdb,L_rse51_ta_q&gt;mdb)),100)
Periodicity: Q
Data available M: 2008m6 - 2023m9
Data available Q: 2008q2 - 2023q3
Data available A: 2008 - 2022
Text 99: 
Automatic update period: 1999|2015
Time shift: 
Note: 
Reporter: RS - Serbia
Chapter 1: 05_LAB - Labour market
Indicator: SC0508 - Unemployment rate, LFS
Unit: 02_Pers_21 - in %, period average
Footnote 1: FZZ09 - From 2021 new methodology in line with the Integrated European Social Statistics Regulation (IESS).
Footnote 2: FRS12 - From 2023 according to census 2022. From 2013 according to census 2011. Until 2013 survey as of April and October.
Footnote 3: FRS13 - From 2015 further adjustments according to ILO, Eurostat and EU-LFS.
Footnote 4:  - 
Source 1: QRS1 - Statistical Office of Serbia
Source 2:  - 
Source 3:  - 
</t>
        </r>
      </text>
    </comment>
    <comment ref="S8" authorId="1" shapeId="0" xr:uid="{7E3BF46B-30ED-4E0A-8440-B393279E0A77}">
      <text>
        <r>
          <rPr>
            <sz val="9"/>
            <color indexed="81"/>
            <rFont val="Segoe UI"/>
            <family val="2"/>
          </rPr>
          <t xml:space="preserve">ID: 322
Label: rsw11_tccx
Database: wiiw Monthly Database - Public
Status: active
Calculation: SubScal(L_rsw11_tccx&gt;mdb,100)
Calculation_M: CPPY=100(L_rsw11_tn&gt;mdb)
Calculation_Q: CPPY=100(L_rsw11_tn&gt;mdb)
Calculation_A: CPPY=100(L_rsw11_tn&gt;mdb)
Periodicity: Q
Data available M: 2001m1 - 2023m11
Data available Q: 2001q1 - 2023q3
Data available A: 2001 - 2022
Text 99: 
Automatic update period: 1999|2015
Time shift: 
Note: 2010 NACE Rev. 2: no break, data identical, growth rates ok &amp; FJ10: no impact on growth rates
Reporter: RS - Serbia
Chapter 1: 06_WS - Wages
Indicator: SC0601 - Average monthly gross wages total
Unit: 04_Inom_32 - index nominal, corresponding period of previous year = 100
Footnote 1: FRS30 - From 2018 based on tax administration data and full-time equivalent (FTE) employees, before that survey data supplemented by tax administration data.
Footnote 2: FRS10 - From January 2009 including wages of employees working for sole prorietors, growth rates not fully comparable.
Footnote 3:  - 
Footnote 4:  - 
Source 1: QRS1 - Statistical Office of Serbia
Source 2: Z_wiiw - wiiw
Source 3:  - 
</t>
        </r>
      </text>
    </comment>
    <comment ref="T8" authorId="1" shapeId="0" xr:uid="{FB63EB8D-DBFE-4C68-8767-C09DC06E26C9}">
      <text>
        <r>
          <rPr>
            <sz val="9"/>
            <color indexed="81"/>
            <rFont val="Segoe UI"/>
            <family val="2"/>
          </rPr>
          <t xml:space="preserve">ID: 55348
Label: rsfrr1tp
Database: wiiw Monthly Database - Public
Status: active
Calculation: 
Calculation_M: 
Calculation_Q: m-&gt;q EOP(L_rsfrr1tp&gt;mdb)
Calculation_A: q-&gt;a EOP(L_rsfrr1tp&gt;mdb)
Periodicity: Q
Data available M: 2000m12 - 2023m12
Data available Q: 2000q4 - 2023q4
Data available A: 2000 - 2023
Text 99: 
Automatic update period: 1999|2015
Time shift: 
Note: Details siehe RS-1.xls
Reporter: RS - Serbia
Chapter 1: 10_DF - Domestic finance
Indicator: SC1050 - Central bank policy rate
Unit: 06_IntR_1 - % p.a., end of period
Footnote 1: FRS11 - From September 2006 key policy rate, before that various instruments applied.
Footnote 2:  - 
Footnote 3:  - 
Footnote 4:  - 
Source 1: QRS2 - National Bank of Serbia
Source 2:  - 
Source 3:  - 
</t>
        </r>
      </text>
    </comment>
    <comment ref="U8" authorId="1" shapeId="0" xr:uid="{0C50603F-8F33-4FD7-931B-04DE0CEEE0AF}">
      <text>
        <r>
          <rPr>
            <sz val="9"/>
            <color indexed="81"/>
            <rFont val="Segoe UI"/>
            <family val="2"/>
          </rPr>
          <t xml:space="preserve">ID: 57423
Label: rsp1p1tsax_uni
Database: wiiw Monthly Database - Public
Status: active
Calculation: 
Calculation_M: Index(L_rsp1p1tsa&gt;mdb,2015)
Calculation_Q: M-&gt;Q AVG(L_rsp1p1tsax_uni&gt;mdb)
Calculation_A: Q-&gt;A AVG(L_rsp1p1tsax_uni&gt;mdb)
Periodicity: Q
Data available M: 2007m1 - 2023m12
Data available Q: 2007q1 - 2023q4
Data available A: 2007 - 2023
Text 99: 
Automatic update period: 1999|2015
Time shift: 
Note: 
Reporter: RS - Serbia
Chapter 1: 07_PRC - Prices
Indicator: SC0701 - Consumer prices
Unit: 03_I_1_085_15avg - index, monthly average, 2015 = 100
Footnote 1: FRS17 - According to COICOP-classification.
Footnote 2:  - 
Footnote 3:  - 
Footnote 4:  - 
Source 1: QRS1 - Statistical Office of Serbia
Source 2: Z_wiiw - wiiw
Source 3:  - 
</t>
        </r>
      </text>
    </comment>
    <comment ref="V8" authorId="1" shapeId="0" xr:uid="{FD5CE953-E28B-49F5-B0A3-63A3AB5043D2}">
      <text>
        <r>
          <rPr>
            <sz val="9"/>
            <color indexed="81"/>
            <rFont val="Segoe UI"/>
            <family val="2"/>
          </rPr>
          <t xml:space="preserve">ID: 32948
Label: rsp2xea
Database: wiiw Monthly Database - Public
Status: active
Calculation: 
Calculation_M: 
Calculation_Q: m-&gt;q AVG(L_rsp2xea&gt;mdb)
Calculation_A: q-&gt;a AVG(L_rsp2xea&gt;mdb)
Periodicity: Q
Data available M: 2002m1 - 2023m12
Data available Q: 2002q1 - 2023q4
Data available A: 2002 - 2023
Text 99: 
Automatic update period: 1999|2015
Time shift: 
Note: -
Reporter: RS - Serbia
Chapter 1: 11_FF - Foreign finance
Indicator: SC1107 - Exchange rate nominal
Unit: 07_Exch_12 - NCU/EUR, period average
Footnote 1:  - 
Footnote 2:  - 
Footnote 3:  - 
Footnote 4:  - 
Source 1: QRS2 - National Bank of Serbia
Source 2:  - 
Source 3:  - 
</t>
        </r>
      </text>
    </comment>
    <comment ref="W8" authorId="1" shapeId="0" xr:uid="{26A02EA5-F3F1-40DA-8890-6868CEB84662}">
      <text>
        <r>
          <rPr>
            <sz val="9"/>
            <color indexed="81"/>
            <rFont val="Segoe UI"/>
            <family val="2"/>
          </rPr>
          <t xml:space="preserve">ID: 56742
Label: rsa1211tscx
Database: wiiw Monthly Database - Public
Status: active
Calculation: SubScal(L_rsa1211tscx&gt;mdb,100)
Calculation_M: CPPY=100(L_rsa1211tsa&gt;mdb)
Calculation_Q: CPPY=100(L_rsa1211tsa&gt;mdb)
Calculation_A: CPPY=100(L_rsa1211tsa&gt;mdb)
Periodicity: Q
Data available M: 2001m1 - 2023m11
Data available Q: 2001q1 - 2023q3
Data available A: 2001 - 2022
Text 99: 
Automatic update period: 1999|2015
Time shift: 
Note: 
Reporter: RS - Serbia
Chapter 1: 04_PROD - Production
Indicator: SC0401 - Industrial output (BCD - NACE Rev. 2)
Unit: 05_Ireal_32 - index real, corresponding period of previous year = 100
Footnote 1:  - 
Footnote 2:  - 
Footnote 3:  - 
Footnote 4:  - 
Source 1: Z_ESTAT - Eurostat
Source 2: Z_wiiw - wiiw
Source 3:  - 
</t>
        </r>
      </text>
    </comment>
    <comment ref="X8" authorId="1" shapeId="0" xr:uid="{CD959E7A-62CE-4BEF-B3BD-D8578803E129}">
      <text>
        <r>
          <rPr>
            <sz val="9"/>
            <color indexed="81"/>
            <rFont val="Segoe UI"/>
            <family val="2"/>
          </rPr>
          <t xml:space="preserve">ID: 87277
Label: rslago2e
Database: wiiw Monthly Database - Hidden
Status: active
Calculation: SubScal(CPPY=100(AddNull(L_rslago2e&gt;mdb,L_rslase2e&gt;mdb)),100)
Calculation_M: 
Calculation_Q: M-&gt;Q CUMPER(L_rslago2e&gt;mdb)
Calculation_A: Q-&gt;A CUMPER(L_rslago2e&gt;mdb)
Periodicity: Q
Data available M: 2008m1 - 2023m11
Data available Q: 2008q1 - 2023q3
Data available A: 2008 - 2022
Text 99: 
Automatic update period: 1999|2015
Time shift: 
Note: 
Reporter: RS - Serbia
Chapter 1: 11_FF - Foreign finance
Indicator: SC1111 - 1.A.a. Goods exports, fob, credit
Unit: 01_Curr_23 - EUR m
Footnote 1: FZZ80 - Based on BPM6.
Footnote 2:  - 
Footnote 3:  - 
Footnote 4:  - 
Source 1: QRS2 - National Bank of Serbia
Source 2:  - 
Source 3:  - 
</t>
        </r>
      </text>
    </comment>
    <comment ref="Y8" authorId="1" shapeId="0" xr:uid="{81FF8C05-7BC1-4D95-8A80-8BEEA9861296}">
      <text>
        <r>
          <rPr>
            <sz val="9"/>
            <color indexed="81"/>
            <rFont val="Segoe UI"/>
            <family val="2"/>
          </rPr>
          <t xml:space="preserve">ID: 87314
Label: rslago3e
Database: wiiw Monthly Database - Hidden
Status: active
Calculation: SubScal(CPPY=100(AddNull(L_rslago3e&gt;mdb,L_rslase3e&gt;mdb)),100)
Calculation_M: 
Calculation_Q: M-&gt;Q CUMPER(L_rslago3e&gt;mdb)
Calculation_A: Q-&gt;A CUMPER(L_rslago3e&gt;mdb)
Periodicity: Q
Data available M: 2008m1 - 2023m11
Data available Q: 2008q1 - 2023q3
Data available A: 2008 - 2022
Text 99: 
Automatic update period: 1999|2015
Time shift: 
Note: 
Reporter: RS - Serbia
Chapter 1: 11_FF - Foreign finance
Indicator: SC1112 - 1.A.a. Goods imports, fob, debit
Unit: 01_Curr_23 - EUR m
Footnote 1: FZZ80 - Based on BPM6.
Footnote 2:  - 
Footnote 3:  - 
Footnote 4:  - 
Source 1: QRS2 - National Bank of Serbia
Source 2:  - 
Source 3:  - 
</t>
        </r>
      </text>
    </comment>
    <comment ref="Z8" authorId="1" shapeId="0" xr:uid="{9A7C88A7-3FAF-4409-A2D3-8317A8D52557}">
      <text>
        <r>
          <rPr>
            <sz val="9"/>
            <color indexed="81"/>
            <rFont val="Segoe UI"/>
            <family val="2"/>
          </rPr>
          <t xml:space="preserve">ID: 88747
Label: rslacaepx_q
Database: wiiw Monthly Database - Public
Status: active
Calculation: 
Calculation_M: Q-&gt;M EOP(L_rslacaepx_q&gt;mdb)
Calculation_Q: Share(L_rslacaen&gt;mdb,Div(L_rsg11tn_q&gt;mdb,L_rsp2xea&gt;mdb))
Calculation_A: Share(L_rslacaen&gt;mdb,Div(L_rsg11tn_q&gt;mdb,L_rsp2xea&gt;mdb))
Periodicity: Q
Data available M: 2003m3 - 2023m9
Data available Q: 2003q1 - 2023q3
Data available A: 2003 - 2022
Text 99: 
Automatic update period: 1999|2015
Time shift: 
Note: From 2007 according to IMF 5th edition
Reporter: RS - Serbia
Chapter 1: 11_FF - Foreign finance
Indicator: SC1101 - Current account
Unit: 09_Share_%gdp - in % of GDP
Footnote 1: FZZ55 - From 2008 based on BPM6.
Footnote 2:  - 
Footnote 3:  - 
Footnote 4:  - 
Source 1: QRS2 - National Bank of Serbia
Source 2: Z_wiiw - wiiw
Source 3:  - 
</t>
        </r>
      </text>
    </comment>
    <comment ref="AA8" authorId="1" shapeId="0" xr:uid="{F9065569-28A7-481C-8F07-76B358F8A873}">
      <text>
        <r>
          <rPr>
            <sz val="9"/>
            <color indexed="81"/>
            <rFont val="Segoe UI"/>
            <family val="2"/>
          </rPr>
          <t xml:space="preserve">ID: 90349
Label: rsg222px_q
Database: wiiw Monthly Database - Public
Status: active
Calculation: AddNull(L_rsg222px_q&gt;mdb,L_rsg22zpx_q&gt;mdb)
Calculation_M: Q-&gt;M EOP(L_rsg222px_q&gt;mdb)
Calculation_Q: Share(L_rsg222n_q&gt;mdb,L_rsg11tzn_q&gt;mdb)
Calculation_A: Share(L_rsg222n_q&gt;mdb,L_rsg11tzn_q&gt;mdb)
Periodicity: Q
Data available M: 1995m3 - 2023m9
Data available Q: 1995q1 - 2023q3
Data available A: 1995 - 2022
Text 99: 
Automatic update period: 1999|2015
Time shift: 
Note: 
Reporter: RS - Serbia
Chapter 1: 02_NA - National accounts
Indicator: SC0212 - Household final consumption expenditure
Unit: 09_Share_%gdp - in % of GDP
Footnote 1:  - 
Footnote 2:  - 
Footnote 3:  - 
Footnote 4:  - 
Source 1: Z_ESTAT - Eurostat
Source 2: Z_wiiw - wiiw
Source 3:  - 
</t>
        </r>
      </text>
    </comment>
    <comment ref="AB8" authorId="1" shapeId="0" xr:uid="{10E38421-C5E7-4D70-8B7C-76E0A95D6FEA}">
      <text>
        <r>
          <rPr>
            <sz val="9"/>
            <color indexed="81"/>
            <rFont val="Segoe UI"/>
            <family val="2"/>
          </rPr>
          <t xml:space="preserve">ID: 90393
Label: rsg223px_q
Database: wiiw Monthly Database - Public
Status: active
Calculation: 
Calculation_M: Q-&gt;M EOP(L_rsg223px_q&gt;mdb)
Calculation_Q: Share(L_rsg223n_q&gt;mdb,L_rsg11tzn_q&gt;mdb)
Calculation_A: Share(L_rsg223n_q&gt;mdb,L_rsg11tzn_q&gt;mdb)
Periodicity: Q
Data available M: 1995m3 - 2023m9
Data available Q: 1995q1 - 2023q3
Data available A: 1995 - 2022
Text 99: 
Automatic update period: 1999|2015
Time shift: 
Note: 
Reporter: RS - Serbia
Chapter 1: 02_NA - National accounts
Indicator: SC0214 - Government final consumption expenditure
Unit: 09_Share_%gdp - in % of GDP
Footnote 1:  - 
Footnote 2:  - 
Footnote 3:  - 
Footnote 4:  - 
Source 1: Z_ESTAT - Eurostat
Source 2: Z_wiiw - wiiw
Source 3:  - 
</t>
        </r>
      </text>
    </comment>
    <comment ref="AC8" authorId="1" shapeId="0" xr:uid="{99082A6E-2A77-4D17-BFB2-C4D4AD6A8434}">
      <text>
        <r>
          <rPr>
            <sz val="9"/>
            <color indexed="81"/>
            <rFont val="Segoe UI"/>
            <family val="2"/>
          </rPr>
          <t xml:space="preserve">ID: 90415
Label: rsg224px_q
Database: wiiw Monthly Database - Public
Status: active
Calculation: 
Calculation_M: Q-&gt;M EOP(L_rsg224px_q&gt;mdb)
Calculation_Q: Share(L_rsg224n_q&gt;mdb,L_rsg11tzn_q&gt;mdb)
Calculation_A: Share(L_rsg224n_q&gt;mdb,L_rsg11tzn_q&gt;mdb)
Periodicity: Q
Data available M: 1995m3 - 2023m9
Data available Q: 1995q1 - 2023q3
Data available A: 1995 - 2022
Text 99: 
Automatic update period: 1999|2015
Time shift: 
Note: 
Reporter: RS - Serbia
Chapter 1: 02_NA - National accounts
Indicator: SC0217 - Gross capital formation
Unit: 09_Share_%gdp - in % of GDP
Footnote 1:  - 
Footnote 2:  - 
Footnote 3:  - 
Footnote 4:  - 
Source 1: Z_ESTAT - Eurostat
Source 2: Z_wiiw - wiiw
Source 3:  - 
</t>
        </r>
      </text>
    </comment>
    <comment ref="AD8" authorId="1" shapeId="0" xr:uid="{0BF9E483-209D-4DE3-B133-33CF24B52839}">
      <text>
        <r>
          <rPr>
            <sz val="9"/>
            <color indexed="81"/>
            <rFont val="Segoe UI"/>
            <family val="2"/>
          </rPr>
          <t xml:space="preserve">ID: 90503
Label: rsg228px_q
Database: wiiw Monthly Database - Public
Status: active
Calculation: 
Calculation_M: Q-&gt;M EOP(L_rsg228px_q&gt;mdb)
Calculation_Q: Share(L_rsg228n_q&gt;mdb,L_rsg11tzn_q&gt;mdb)
Calculation_A: Share(L_rsg228n_q&gt;mdb,L_rsg11tzn_q&gt;mdb)
Periodicity: Q
Data available M: 1995m3 - 2023m9
Data available Q: 1995q1 - 2023q3
Data available A: 1995 - 2022
Text 99: 
Automatic update period: 1999|2015
Time shift: 
Note: 
Reporter: RS - Serbia
Chapter 1: 02_NA - National accounts
Indicator: SC0221 - Exports of goods and services
Unit: 09_Share_%gdp - in % of GDP
Footnote 1:  - 
Footnote 2:  - 
Footnote 3:  - 
Footnote 4:  - 
Source 1: Z_ESTAT - Eurostat
Source 2: Z_wiiw - wiiw
Source 3:  - 
</t>
        </r>
      </text>
    </comment>
    <comment ref="AE8" authorId="1" shapeId="0" xr:uid="{ECC5CE34-B9C2-441D-A72E-0C1F46443FAB}">
      <text>
        <r>
          <rPr>
            <sz val="9"/>
            <color indexed="81"/>
            <rFont val="Segoe UI"/>
            <family val="2"/>
          </rPr>
          <t xml:space="preserve">ID: 90525
Label: rsg229px_q
Database: wiiw Monthly Database - Public
Status: active
Calculation: 
Calculation_M: Q-&gt;M EOP(L_rsg229px_q&gt;mdb)
Calculation_Q: Share(L_rsg229n_q&gt;mdb,L_rsg11tzn_q&gt;mdb)
Calculation_A: Share(L_rsg229n_q&gt;mdb,L_rsg11tzn_q&gt;mdb)
Periodicity: Q
Data available M: 1995m3 - 2023m9
Data available Q: 1995q1 - 2023q3
Data available A: 1995 - 2022
Text 99: 
Automatic update period: 1999|2015
Time shift: 
Note: 
Reporter: RS - Serbia
Chapter 1: 02_NA - National accounts
Indicator: SC0222 - Imports of goods and services
Unit: 09_Share_%gdp - in % of GDP
Footnote 1:  - 
Footnote 2:  - 
Footnote 3:  - 
Footnote 4:  - 
Source 1: Z_ESTAT - Eurostat
Source 2: Z_wiiw - wiiw
Source 3:  - 
</t>
        </r>
      </text>
    </comment>
    <comment ref="AF8" authorId="1" shapeId="0" xr:uid="{2737D53F-BE79-435B-84CF-811F7D260838}">
      <text>
        <r>
          <rPr>
            <sz val="9"/>
            <color indexed="81"/>
            <rFont val="Segoe UI"/>
            <family val="2"/>
          </rPr>
          <t xml:space="preserve">ID: 89623
Label: rsfls14scx
Database: wiiw Monthly Database - Public
Status: active
Calculation: SubScal(L_rsfls14scx&gt;mdb,100)
Calculation_M: CPPY=100(L_rsfls14e&gt;mdb)
Calculation_Q: M-&gt;Q EOP(L_rsfls14scx&gt;mdb)
Calculation_A: Q-&gt;A EOP(L_rsfls14scx&gt;mdb)
Periodicity: Q
Data available M: 2001m12 - 2023m12
Data available Q: 2001q4 - 2023q4
Data available A: 2001 - 2023
Text 99: 
Automatic update period: 1999|2015
Time shift: 
Note: 
Reporter: RS - Serbia
Chapter 1: 10_DF - Domestic finance
Indicator: SC1066 - Loans households (S14)
Unit: 04_Inom_32 - index nominal, corresponding period of previous year = 100
Footnote 1:  - 
Footnote 2:  - 
Footnote 3:  - 
Footnote 4:  - 
Source 1: QRS2 - National Bank of Serbia
Source 2: Z_wiiw - wiiw
Source 3:  - 
</t>
        </r>
      </text>
    </comment>
    <comment ref="AG8" authorId="1" shapeId="0" xr:uid="{0FB4AC5C-7DDB-4365-9E9D-1D260CC56240}">
      <text>
        <r>
          <rPr>
            <sz val="9"/>
            <color indexed="81"/>
            <rFont val="Segoe UI"/>
            <family val="2"/>
          </rPr>
          <t xml:space="preserve">ID: 144785
Label: rsbgdtpx_help_q
Database: wiiw Monthly Database - Hidden
Status: active
Calculation: 
Calculation_M: q-&gt;m EOP(L_rsbgdtpx_help_q&gt;mdb)
Calculation_Q: Share(L_rsbgdtn_help_q&gt;mdb,L_rsg11tnx_help_q&gt;mdb)
Calculation_A: q-&gt;a EOP(L_rsbgdtpx_help_q&gt;mdb)
Periodicity: Q
Data available M: 2005m12 - 2023m6
Data available Q: 2005q4 - 2023q2
Data available A: 2005 - 2022
Text 99: 
Automatic update period: 1999|2015
Time shift: 
Note: 
Reporter: RS - Serbia
Chapter 1: 10_DF - Domestic finance
Indicator: SC1009 - General government gross debt, total
Unit: 09_Share_%gdp - in % of GDP
Footnote 1:  - 
Footnote 2:  - 
Footnote 3:  - 
Footnote 4:  - 
Source 1: QRS3 - Ministry of Finance of Serbia
Source 2: Z_wiiw - wiiw
Source 3:  - 
</t>
        </r>
      </text>
    </comment>
    <comment ref="G101" authorId="0" shapeId="0" xr:uid="{D5F911A0-0C2B-4F30-80E7-97820666C18A}">
      <text>
        <r>
          <rPr>
            <b/>
            <sz val="9"/>
            <color indexed="81"/>
            <rFont val="Tahoma"/>
            <family val="2"/>
          </rPr>
          <t>BJ:</t>
        </r>
        <r>
          <rPr>
            <sz val="9"/>
            <color indexed="81"/>
            <rFont val="Tahoma"/>
            <family val="2"/>
          </rPr>
          <t xml:space="preserve">
from the budget for 2022</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BJ</author>
    <author>Alexandra Bykova</author>
  </authors>
  <commentList>
    <comment ref="B1" authorId="0" shapeId="0" xr:uid="{D17836EE-9242-4BAC-9150-CEBB53028D3F}">
      <text>
        <r>
          <rPr>
            <b/>
            <sz val="9"/>
            <color indexed="81"/>
            <rFont val="Tahoma"/>
            <family val="2"/>
          </rPr>
          <t>BJ:</t>
        </r>
        <r>
          <rPr>
            <sz val="9"/>
            <color indexed="81"/>
            <rFont val="Tahoma"/>
            <family val="2"/>
          </rPr>
          <t xml:space="preserve">
EU 27, seasonally and calendar adjusted
Eurostat</t>
        </r>
      </text>
    </comment>
    <comment ref="C1" authorId="0" shapeId="0" xr:uid="{1C27CDAC-629C-40BF-94F7-1CBB444D82DD}">
      <text>
        <r>
          <rPr>
            <b/>
            <sz val="9"/>
            <color indexed="81"/>
            <rFont val="Tahoma"/>
            <family val="2"/>
          </rPr>
          <t>BJ:</t>
        </r>
        <r>
          <rPr>
            <sz val="9"/>
            <color indexed="81"/>
            <rFont val="Tahoma"/>
            <family val="2"/>
          </rPr>
          <t xml:space="preserve">
Eurostat</t>
        </r>
      </text>
    </comment>
    <comment ref="D1" authorId="0" shapeId="0" xr:uid="{21BA921D-DB36-480B-90A9-34F7332977B1}">
      <text>
        <r>
          <rPr>
            <b/>
            <sz val="9"/>
            <color indexed="81"/>
            <rFont val="Tahoma"/>
            <family val="2"/>
          </rPr>
          <t>BJ:</t>
        </r>
        <r>
          <rPr>
            <sz val="9"/>
            <color indexed="81"/>
            <rFont val="Tahoma"/>
            <family val="2"/>
          </rPr>
          <t xml:space="preserve">
EU changing composition
Eurostat</t>
        </r>
      </text>
    </comment>
    <comment ref="E1" authorId="0" shapeId="0" xr:uid="{3663ABD7-8D0A-462F-94FF-434604552EB5}">
      <text>
        <r>
          <rPr>
            <b/>
            <sz val="9"/>
            <color indexed="81"/>
            <rFont val="Tahoma"/>
            <family val="2"/>
          </rPr>
          <t>BJ:</t>
        </r>
        <r>
          <rPr>
            <sz val="9"/>
            <color indexed="81"/>
            <rFont val="Tahoma"/>
            <family val="2"/>
          </rPr>
          <t xml:space="preserve">
ECB</t>
        </r>
      </text>
    </comment>
    <comment ref="F1" authorId="0" shapeId="0" xr:uid="{68628FD5-537E-4D2F-997B-06621A6F9B16}">
      <text>
        <r>
          <rPr>
            <b/>
            <sz val="9"/>
            <color indexed="81"/>
            <rFont val="Tahoma"/>
            <family val="2"/>
          </rPr>
          <t>BJ:</t>
        </r>
        <r>
          <rPr>
            <sz val="9"/>
            <color indexed="81"/>
            <rFont val="Tahoma"/>
            <family val="2"/>
          </rPr>
          <t xml:space="preserve">
Crude oil, average, from WB pink sheets</t>
        </r>
      </text>
    </comment>
    <comment ref="G1" authorId="0" shapeId="0" xr:uid="{B5914C02-2BCA-4934-9160-2901AF87F42D}">
      <text>
        <r>
          <rPr>
            <sz val="9"/>
            <color indexed="81"/>
            <rFont val="Tahoma"/>
            <family val="2"/>
          </rPr>
          <t>General gov, nominal yoy growth, in NCU
wiiw</t>
        </r>
      </text>
    </comment>
    <comment ref="H1" authorId="0" shapeId="0" xr:uid="{EAEC8159-C6D6-435F-A383-D4CD34056903}">
      <text>
        <r>
          <rPr>
            <b/>
            <sz val="9"/>
            <color indexed="81"/>
            <rFont val="Tahoma"/>
            <family val="2"/>
          </rPr>
          <t>BJ:</t>
        </r>
        <r>
          <rPr>
            <sz val="9"/>
            <color indexed="81"/>
            <rFont val="Tahoma"/>
            <family val="2"/>
          </rPr>
          <t xml:space="preserve">
General gov. budget - revenues NCU m (incl. 'euro fixed' series)
wiiw</t>
        </r>
      </text>
    </comment>
    <comment ref="I1" authorId="0" shapeId="0" xr:uid="{FFB70FC0-A658-4D73-A70D-DEF4B41320B0}">
      <text>
        <r>
          <rPr>
            <b/>
            <sz val="9"/>
            <color indexed="81"/>
            <rFont val="Tahoma"/>
            <family val="2"/>
          </rPr>
          <t>BJ:</t>
        </r>
        <r>
          <rPr>
            <sz val="9"/>
            <color indexed="81"/>
            <rFont val="Tahoma"/>
            <family val="2"/>
          </rPr>
          <t xml:space="preserve">
General gov. budget - balance
 in % of GDP
wiiw</t>
        </r>
      </text>
    </comment>
    <comment ref="J1" authorId="0" shapeId="0" xr:uid="{E654BE31-A19A-4ABC-B740-6B7F705D373B}">
      <text>
        <r>
          <rPr>
            <b/>
            <sz val="9"/>
            <color indexed="81"/>
            <rFont val="Tahoma"/>
            <family val="2"/>
          </rPr>
          <t>BJ:</t>
        </r>
        <r>
          <rPr>
            <sz val="9"/>
            <color indexed="81"/>
            <rFont val="Tahoma"/>
            <family val="2"/>
          </rPr>
          <t xml:space="preserve">
For all GDP: 
NCU m, 2015 reference prices (prev. year prices, incl. 'euro fixed' series)
wiiw</t>
        </r>
      </text>
    </comment>
    <comment ref="K1" authorId="0" shapeId="0" xr:uid="{BDCDC5DE-E1C8-46E3-B687-AAC5BCD9DCC0}">
      <text>
        <r>
          <rPr>
            <b/>
            <sz val="9"/>
            <color indexed="81"/>
            <rFont val="Tahoma"/>
            <family val="2"/>
          </rPr>
          <t>BJ:</t>
        </r>
        <r>
          <rPr>
            <sz val="9"/>
            <color indexed="81"/>
            <rFont val="Tahoma"/>
            <family val="2"/>
          </rPr>
          <t xml:space="preserve">
Households + NPISH
Only Households</t>
        </r>
      </text>
    </comment>
    <comment ref="M1" authorId="0" shapeId="0" xr:uid="{FD4B268D-C96D-4416-B6B4-86E994F1D3CA}">
      <text>
        <r>
          <rPr>
            <b/>
            <sz val="9"/>
            <color indexed="81"/>
            <rFont val="Tahoma"/>
            <family val="2"/>
          </rPr>
          <t>BJ:</t>
        </r>
        <r>
          <rPr>
            <sz val="9"/>
            <color indexed="81"/>
            <rFont val="Tahoma"/>
            <family val="2"/>
          </rPr>
          <t xml:space="preserve">
Gross capital formation</t>
        </r>
      </text>
    </comment>
    <comment ref="P1" authorId="0" shapeId="0" xr:uid="{1A7280D5-C3B6-4ED7-BE7F-BEF9CA62B1DC}">
      <text>
        <r>
          <rPr>
            <b/>
            <sz val="9"/>
            <color indexed="81"/>
            <rFont val="Tahoma"/>
            <family val="2"/>
          </rPr>
          <t>Employment, LFS, thousand persons
wiiw</t>
        </r>
      </text>
    </comment>
    <comment ref="Q1" authorId="0" shapeId="0" xr:uid="{6CCA2D9D-E662-4FB9-A760-83CA09DD68F6}">
      <text>
        <r>
          <rPr>
            <b/>
            <sz val="9"/>
            <color indexed="81"/>
            <rFont val="Tahoma"/>
            <family val="2"/>
          </rPr>
          <t>Unemployment, LFS, thousand persons
wiiw</t>
        </r>
      </text>
    </comment>
    <comment ref="R1" authorId="0" shapeId="0" xr:uid="{9D678D57-A902-4B86-A914-14D7FB08040B}">
      <text>
        <r>
          <rPr>
            <b/>
            <sz val="9"/>
            <color indexed="81"/>
            <rFont val="Tahoma"/>
            <family val="2"/>
          </rPr>
          <t>Unemployment, LFS, in %
wiiw</t>
        </r>
      </text>
    </comment>
    <comment ref="S1" authorId="0" shapeId="0" xr:uid="{2E0944DA-58A6-4110-8B90-34711769714C}">
      <text>
        <r>
          <rPr>
            <sz val="9"/>
            <color indexed="81"/>
            <rFont val="Tahoma"/>
            <family val="2"/>
          </rPr>
          <t>Average monthly gross wages total, 
national currency (incl. 'euro fixed' series), yoy growth
wiiw</t>
        </r>
      </text>
    </comment>
    <comment ref="T1" authorId="0" shapeId="0" xr:uid="{25F9DC98-3872-4693-89F2-DFB63AD112C1}">
      <text>
        <r>
          <rPr>
            <b/>
            <sz val="9"/>
            <color indexed="81"/>
            <rFont val="Tahoma"/>
            <family val="2"/>
          </rPr>
          <t>BJ:</t>
        </r>
        <r>
          <rPr>
            <sz val="9"/>
            <color indexed="81"/>
            <rFont val="Tahoma"/>
            <family val="2"/>
          </rPr>
          <t xml:space="preserve">
Central bank policy rate, nominal
wiiw</t>
        </r>
      </text>
    </comment>
    <comment ref="U1" authorId="0" shapeId="0" xr:uid="{791F407A-8B26-4B25-9471-B811D3D06F8D}">
      <text>
        <r>
          <rPr>
            <b/>
            <sz val="9"/>
            <color indexed="81"/>
            <rFont val="Tahoma"/>
            <family val="2"/>
          </rPr>
          <t>BJ:</t>
        </r>
        <r>
          <rPr>
            <sz val="9"/>
            <color indexed="81"/>
            <rFont val="Tahoma"/>
            <family val="2"/>
          </rPr>
          <t xml:space="preserve">
Consumer prices index, monthly average, 2015 = 100
wiiw</t>
        </r>
      </text>
    </comment>
    <comment ref="V1" authorId="0" shapeId="0" xr:uid="{4EA9C1BF-2030-44F1-848A-852E71B5BF22}">
      <text>
        <r>
          <rPr>
            <b/>
            <sz val="9"/>
            <color indexed="81"/>
            <rFont val="Tahoma"/>
            <family val="2"/>
          </rPr>
          <t>BJ:</t>
        </r>
        <r>
          <rPr>
            <sz val="9"/>
            <color indexed="81"/>
            <rFont val="Tahoma"/>
            <family val="2"/>
          </rPr>
          <t xml:space="preserve">
Exchange rate nominal NCU/EUR, period average
wiiw</t>
        </r>
      </text>
    </comment>
    <comment ref="W1" authorId="0" shapeId="0" xr:uid="{4DF138D9-4938-48C7-BE4A-1C85A16BC2DD}">
      <text>
        <r>
          <rPr>
            <b/>
            <sz val="9"/>
            <color indexed="81"/>
            <rFont val="Tahoma"/>
            <family val="2"/>
          </rPr>
          <t>BJ:</t>
        </r>
        <r>
          <rPr>
            <sz val="9"/>
            <color indexed="81"/>
            <rFont val="Tahoma"/>
            <family val="2"/>
          </rPr>
          <t xml:space="preserve">
 Industrial output (BCD - NACE Rev. 2), index real, monthly average, 2015 = 100, yoy growth
wiiw</t>
        </r>
      </text>
    </comment>
    <comment ref="X1" authorId="0" shapeId="0" xr:uid="{9F3D214F-7867-4B6E-90DE-17541423544E}">
      <text>
        <r>
          <rPr>
            <b/>
            <sz val="9"/>
            <color indexed="81"/>
            <rFont val="Tahoma"/>
            <family val="2"/>
          </rPr>
          <t>BJ:</t>
        </r>
        <r>
          <rPr>
            <sz val="9"/>
            <color indexed="81"/>
            <rFont val="Tahoma"/>
            <family val="2"/>
          </rPr>
          <t xml:space="preserve">
Exports total, fob EUR m, yoy growth
wiiw
Alexandra: changed to BOP: exports of goods and services</t>
        </r>
      </text>
    </comment>
    <comment ref="Y1" authorId="0" shapeId="0" xr:uid="{9CD26636-8AFD-42F7-8748-0105BC94139A}">
      <text>
        <r>
          <rPr>
            <b/>
            <sz val="9"/>
            <color indexed="81"/>
            <rFont val="Tahoma"/>
            <family val="2"/>
          </rPr>
          <t>BJ:</t>
        </r>
        <r>
          <rPr>
            <sz val="9"/>
            <color indexed="81"/>
            <rFont val="Tahoma"/>
            <family val="2"/>
          </rPr>
          <t xml:space="preserve">
 Imports total, cif EUR m
wiiw
Alexandra: changed to BOP: imports of goods and services</t>
        </r>
      </text>
    </comment>
    <comment ref="Z1" authorId="0" shapeId="0" xr:uid="{4BD8AB97-7B5F-4F93-BBCB-F5BD6CA73C8D}">
      <text>
        <r>
          <rPr>
            <b/>
            <sz val="9"/>
            <color indexed="81"/>
            <rFont val="Tahoma"/>
            <family val="2"/>
          </rPr>
          <t>BJ:</t>
        </r>
        <r>
          <rPr>
            <sz val="9"/>
            <color indexed="81"/>
            <rFont val="Tahoma"/>
            <family val="2"/>
          </rPr>
          <t xml:space="preserve">
Current account in % of GDP
wiiw</t>
        </r>
      </text>
    </comment>
    <comment ref="AA1" authorId="0" shapeId="0" xr:uid="{8C0AF9BF-8842-4E7A-8509-491C4449BE34}">
      <text>
        <r>
          <rPr>
            <b/>
            <sz val="9"/>
            <color indexed="81"/>
            <rFont val="Tahoma"/>
            <family val="2"/>
          </rPr>
          <t>BJ:</t>
        </r>
        <r>
          <rPr>
            <sz val="9"/>
            <color indexed="81"/>
            <rFont val="Tahoma"/>
            <family val="2"/>
          </rPr>
          <t xml:space="preserve">
Households + NPISH</t>
        </r>
      </text>
    </comment>
    <comment ref="AC1" authorId="0" shapeId="0" xr:uid="{A4DED589-1E0B-4F87-8C93-B3C2A6D4E18A}">
      <text>
        <r>
          <rPr>
            <b/>
            <sz val="9"/>
            <color indexed="81"/>
            <rFont val="Tahoma"/>
            <family val="2"/>
          </rPr>
          <t>BJ:</t>
        </r>
        <r>
          <rPr>
            <sz val="9"/>
            <color indexed="81"/>
            <rFont val="Tahoma"/>
            <family val="2"/>
          </rPr>
          <t xml:space="preserve">
Gross capital formation</t>
        </r>
      </text>
    </comment>
    <comment ref="AF1" authorId="0" shapeId="0" xr:uid="{9F905B74-C637-487B-87FE-3FA59D37AC39}">
      <text>
        <r>
          <rPr>
            <b/>
            <sz val="9"/>
            <color indexed="81"/>
            <rFont val="Tahoma"/>
            <family val="2"/>
          </rPr>
          <t>BJ:</t>
        </r>
        <r>
          <rPr>
            <sz val="9"/>
            <color indexed="81"/>
            <rFont val="Tahoma"/>
            <family val="2"/>
          </rPr>
          <t xml:space="preserve">
loans to households, nominal, yoy growth rates</t>
        </r>
      </text>
    </comment>
    <comment ref="B8" authorId="1" shapeId="0" xr:uid="{B94A62F4-1E1C-4B39-B952-A0CF4690E1CC}">
      <text>
        <r>
          <rPr>
            <sz val="9"/>
            <color indexed="81"/>
            <rFont val="Segoe UI"/>
            <family val="2"/>
          </rPr>
          <t xml:space="preserve">ID: 144396
Label: eug11tscrx_q
Database: wiiw Monthly Database - Hidden
Status: active
Calculation: 
Calculation_M: SubScal(L_eug11tscx_q&gt;mdb,100)
Calculation_Q: SubScal(L_eug11tscx_q&gt;mdb,100)
Calculation_A: SubScal(L_eug11tscx_q&gt;mdb,100)
Periodicity: Q
Data available M: 1996m3 - 2023m9
Data available Q: 1996q1 - 2023q3
Data available A: 1996 - 2022
Text 99: 
Automatic update period: 1999|2015
Time shift: 
Note: 
Reporter: EU27_2020 - EU - 27 countries (from 2020)
Chapter 1: 02_NA - National accounts
Indicator: SC0201 - Gross domestic product total
Unit: 05_Ireal_36 - real growth rate to corresponding period of previous year in %
Footnote 1: FZZ05 - According to ESA'10.
Footnote 2:  - 
Footnote 3:  - 
Footnote 4:  - 
Source 1: Z_ESTAT - Eurostat
Source 2: Z_wiiw - wiiw
Source 3:  - 
</t>
        </r>
      </text>
    </comment>
    <comment ref="C8" authorId="1" shapeId="0" xr:uid="{8D378B09-7FBF-496D-BF52-04BE1E013B02}">
      <text>
        <r>
          <rPr>
            <sz val="9"/>
            <color indexed="81"/>
            <rFont val="Segoe UI"/>
            <family val="2"/>
          </rPr>
          <t xml:space="preserve">ID: 77811
Label: eup1p1tsa
Database: wiiw Monthly Database - Hidden
Status: active
Calculation: 
Calculation_M: 
Calculation_Q: m-&gt;q AVG(L_eup1p1tsa&gt;mdb)
Calculation_A: q-&gt;a AVG(L_eup1p1tsa&gt;mdb)
Periodicity: Q
Data available M: 1999m1 - 2023m12
Data available Q: 1999q1 - 2023q4
Data available A: 1999 - 2023
Text 99: 
Automatic update period: 1999|2015
Time shift: 
Note: 
Reporter: EU - European Union evolutionary
Chapter 1: 07_PRC - Prices
Indicator: SC0701 - Consumer prices
Unit: 03_I_1_085_15avg - index, monthly average, 2015 = 100
Footnote 1: FZZ40 - Based on HICP (Harmonized Index of Consumer Prices).
Footnote 2:  - 
Footnote 3:  - 
Footnote 4:  - 
Source 1: Z_ESTAT - Eurostat
Source 2:  - 
Source 3:  - 
</t>
        </r>
      </text>
    </comment>
    <comment ref="D8" authorId="1" shapeId="0" xr:uid="{456E310C-BE35-42E0-889C-04F3E75CC26F}">
      <text>
        <r>
          <rPr>
            <sz val="9"/>
            <color indexed="81"/>
            <rFont val="Segoe UI"/>
            <family val="2"/>
          </rPr>
          <t xml:space="preserve">ID: 77812
Label: eup1p1tscx
Database: wiiw Monthly Database - Hidden
Status: active
Calculation: SubScal(L_eup1p1tscx&gt;mdb,100)
Calculation_M: CPPY=100(L_eup1p1tsa&gt;mdb)
Calculation_Q: CPPY=100(L_eup1p1tsa&gt;mdb)
Calculation_A: CPPY=100(L_eup1p1tsa&gt;mdb)
Periodicity: Q
Data available M: 1992m1 - 2023m12
Data available Q: 1992q1 - 2023q4
Data available A: 1992 - 2023
Text 99: 
Automatic update period: 1999|2015
Time shift: 
Note: 
Reporter: EU - European Union evolutionary
Chapter 1: 07_PRC - Prices
Indicator: SC0701 - Consumer prices
Unit: 03_I_32 - index, corresponding period of previous year = 100
Footnote 1: FZZ40 - Based on HICP (Harmonized Index of Consumer Prices).
Footnote 2:  - 
Footnote 3:  - 
Footnote 4:  - 
Source 1: Z_ESTAT - Eurostat
Source 2: Z_wiiw - wiiw
Source 3:  - 
</t>
        </r>
      </text>
    </comment>
    <comment ref="E8" authorId="1" shapeId="0" xr:uid="{58167CE8-2EB4-482D-A040-C680B35779C0}">
      <text>
        <r>
          <rPr>
            <sz val="9"/>
            <color indexed="81"/>
            <rFont val="Segoe UI"/>
            <family val="2"/>
          </rPr>
          <t xml:space="preserve">ID: 144399
Label: eafrr1tp_help
Database: wiiw Monthly Database - Hidden
Status: active
Calculation: 
Calculation_M: L_eafrr1tp&gt;mdb
Calculation_Q: m-&gt;q AVG(L_eafrr1tp&gt;mdb)
Calculation_A: q-&gt;a AVG(L_eafrr1tp&gt;mdb)
Periodicity: Q
Data available M: 1999m1 - 2023m12
Data available Q: 1999q1 - 2023q4
Data available A: 1999 - 2023
Text 99: 
Automatic update period: 1999|2015
Time shift: 
Note: 
Reporter: EA - Euro area evolutionary
Chapter 1: 10_DF - Domestic finance
Indicator: SC1050 - Central bank policy rate
Unit: 06_IntR_6 - % p.a., period average
Footnote 1: FZZ50 - Official refinancing operation rates for euro area (ECB), rate in fixed rate tenders (between June 2000 and September 2008 the minimum bid rate in variable rate tenders was applied).
Footnote 2:  - 
Footnote 3:  - 
Footnote 4:  - 
Source 1: Z_ECB - European Central Bank
Source 2:  - 
Source 3:  - 
</t>
        </r>
      </text>
    </comment>
    <comment ref="F8" authorId="1" shapeId="0" xr:uid="{80BFAD0A-1AE4-47D4-9158-56B3F408A59E}">
      <text>
        <r>
          <rPr>
            <sz val="9"/>
            <color indexed="81"/>
            <rFont val="Segoe UI"/>
            <family val="2"/>
          </rPr>
          <t xml:space="preserve">ID: 101874
Label: usp2oila
Database: wiiw Monthly Database - Hidden
Status: active
Calculation: 
Calculation_M: 
Calculation_Q: M-&gt;Q AVG(L_usp2oila&gt;mdb)
Calculation_A: Q-&gt;A AVG(L_usp2oila&gt;mdb)
Periodicity: Q
Data available M: 1990m1 - 2023m12
Data available Q: 1990q1 - 2023q4
Data available A: 1990 - 2023
Text 99: 
Automatic update period: 1999|2015
Time shift: 
Note: Oil prices  &amp; Europe Brent Spot Price FOB (Dollars per Barrel) &amp; EIA (US) Source of the data. Gespeichert auf die EU&amp;US Karten.
Reporter: US - United States
Chapter 1: 11_FF - Foreign finance
Indicator:  - 
Unit:  - 
Footnote 1:  - 
Footnote 2:  - 
Footnote 3:  - 
Footnote 4:  - 
Source 1:  - 
Source 2:  - 
Source 3:  - 
</t>
        </r>
      </text>
    </comment>
    <comment ref="G8" authorId="1" shapeId="0" xr:uid="{7A53834E-EF9E-4A11-A957-7240DE75CF90}">
      <text>
        <r>
          <rPr>
            <sz val="9"/>
            <color indexed="81"/>
            <rFont val="Segoe UI"/>
            <family val="2"/>
          </rPr>
          <t xml:space="preserve">ID: 122264
Label: xkbg21n
Database: wiiw Monthly Database - Public
Status: active
Calculation: SubScal(CPPY=100(L_xkbg21n&gt;mdb),100)
Calculation_M: 
Calculation_Q: M-&gt;Q CUMPER(L_xkbg21n&gt;mdb)
Calculation_A: Q-&gt;A CUMPER(L_xkbg21n&gt;mdb)
Periodicity: Q
Data available M: 2006m1 - 2023m11
Data available Q: 2006q1 - 2023q3
Data available A: 2006 - 2022
Text 99: 
Automatic update period: 1999|2015
Time shift: 
Note: 
Reporter: XK - Kosovo
Chapter 1: 10_DF - Domestic finance
Indicator: SC1021 - General gov. budget - expenditures
Unit: 01_Curr_12 - NCU m (incl. 'euro fixed' series)
Footnote 1:  - 
Footnote 2:  - 
Footnote 3:  - 
Footnote 4:  - 
Source 1: QXK3 - Ministry of Finance of Kosovo
Source 2:  - 
Source 3:  - 
</t>
        </r>
      </text>
    </comment>
    <comment ref="H8" authorId="1" shapeId="0" xr:uid="{C5D9770F-249A-454D-B523-B6F148312F75}">
      <text>
        <r>
          <rPr>
            <sz val="9"/>
            <color indexed="81"/>
            <rFont val="Segoe UI"/>
            <family val="2"/>
          </rPr>
          <t xml:space="preserve">ID: 122262
Label: xkbg11n
Database: wiiw Monthly Database - Public
Status: active
Calculation: SubScal(CPPY=100(L_xkbg11n&gt;mdb),100)
Calculation_M: 
Calculation_Q: M-&gt;Q CUMPER(L_xkbg11n&gt;mdb)
Calculation_A: Q-&gt;A CUMPER(L_xkbg11n&gt;mdb)
Periodicity: Q
Data available M: 2006m1 - 2023m11
Data available Q: 2006q1 - 2023q3
Data available A: 2006 - 2022
Text 99: 
Automatic update period: 1999|2015
Time shift: 
Note: 
Reporter: XK - Kosovo
Chapter 1: 10_DF - Domestic finance
Indicator: SC1020 - General gov. budget - revenues
Unit: 01_Curr_12 - NCU m (incl. 'euro fixed' series)
Footnote 1:  - 
Footnote 2:  - 
Footnote 3:  - 
Footnote 4:  - 
Source 1: QXK3 - Ministry of Finance of Kosovo
Source 2:  - 
Source 3:  - 
</t>
        </r>
      </text>
    </comment>
    <comment ref="I8" authorId="1" shapeId="0" xr:uid="{9DDCB851-1D1D-42D6-A40B-716E8B18E8C1}">
      <text>
        <r>
          <rPr>
            <sz val="9"/>
            <color indexed="81"/>
            <rFont val="Segoe UI"/>
            <family val="2"/>
          </rPr>
          <t xml:space="preserve">ID: 122272
Label: xkbg31px_q
Database: wiiw Monthly Database - Public
Status: active
Calculation: 
Calculation_M: Q-&gt;M EOP(L_xkbg31px_q&gt;mdb)
Calculation_Q: Share(L_xkbg31nx&gt;mdb,L_xkg11tn_q&gt;mdb)
Calculation_A: Share(L_xkbg31nx&gt;mdb,L_xkg11tn_q&gt;mdb)
Periodicity: Q
Data available M: 2010m3 - 2023m9
Data available Q: 2010q1 - 2023q3
Data available A: 2010 - 2022
Text 99: 
Automatic update period: 1999|2015
Time shift: 
Note: 
Reporter: XK - Kosovo
Chapter 1: 10_DF - Domestic finance
Indicator: SC1022 - General gov. budget - balance
Unit: 09_Share_%gdp - in % of GDP
Footnote 1:  - 
Footnote 2:  - 
Footnote 3:  - 
Footnote 4:  - 
Source 1: QXK3 - Ministry of Finance of Kosovo
Source 2: Z_wiiw - wiiw
Source 3:  - 
</t>
        </r>
      </text>
    </comment>
    <comment ref="J8" authorId="1" shapeId="0" xr:uid="{A59FE721-136D-4DB7-AACB-EAA4C61578AE}">
      <text>
        <r>
          <rPr>
            <sz val="9"/>
            <color indexed="81"/>
            <rFont val="Segoe UI"/>
            <family val="2"/>
          </rPr>
          <t xml:space="preserve">ID: 89046
Label: xkg11tr15_q
Database: wiiw Monthly Database - Public
Status: active
Calculation: SubScal(CPPY=100(L_xkg11tr15_q&gt;mdb),100)
Calculation_M: q-&gt;m EOP(L_xkg11tr15_q&gt;mdb)
Calculation_Q: 
Calculation_A: q-&gt;a CumPer(L_xkg11tr15_q&gt;mdb)
Periodicity: Q
Data available M: 2010m3 - 2023m9
Data available Q: 2010q1 - 2023q3
Data available A: 2010 - 2022
Text 99: 
Automatic update period: 1999|2015
Time shift: 
Note: wiiw calc. Reihe from pyp
Reporter: XK - Kosovo
Chapter 1: 02_NA - National accounts
Indicator: SC0201 - Gross domestic product total
Unit: 01_Curr_15_085_15_r - NCU m, 2015 reference prices (prev. year prices, incl. 'euro fixed' series)
Footnote 1: FZZ05 - According to ESA'10.
Footnote 2: FZZ90 - wiiw estimates.
Footnote 3:  - 
Footnote 4:  - 
Source 1: QXK1 - Kosovo Agency of Statistics
Source 2: Z_wiiw - wiiw
Source 3:  - 
</t>
        </r>
      </text>
    </comment>
    <comment ref="K8" authorId="1" shapeId="0" xr:uid="{8F6EAAAE-F36A-4175-9A89-48897B02DCFE}">
      <text>
        <r>
          <rPr>
            <sz val="9"/>
            <color indexed="81"/>
            <rFont val="Segoe UI"/>
            <family val="2"/>
          </rPr>
          <t xml:space="preserve">ID: 90883
Label: xkg222r15_q
Database: wiiw Monthly Database - Public
Status: active
Calculation: SubScal(CPPY=100(L_xkg222r15_q&gt;mdb),100)
Calculation_M: q-&gt;m EOP(L_xkg222r15_q&gt;mdb)
Calculation_Q: 
Calculation_A: q-&gt;a CumPer(L_xkg222r15_q&gt;mdb)
Periodicity: Q
Data available M: 2010m3 - 2023m9
Data available Q: 2010q1 - 2023q3
Data available A: 2010 - 2022
Text 99: 
Automatic update period: 1999|2015
Time shift: 
Note: wiiw calc. Reihe from pyp
Reporter: XK - Kosovo
Chapter 1: 02_NA - National accounts
Indicator: SC0212 - Household final consumption expenditure
Unit: 01_Curr_15_085_15_r - NCU m, 2015 reference prices (prev. year prices, incl. 'euro fixed' series)
Footnote 1: FZZ07 - Including expenditures of NPISHs.
Footnote 2: FZZ90 - wiiw estimates.
Footnote 3:  - 
Footnote 4:  - 
Source 1: QXK1 - Kosovo Agency of Statistics
Source 2: Z_wiiw - wiiw
Source 3:  - 
</t>
        </r>
      </text>
    </comment>
    <comment ref="L8" authorId="1" shapeId="0" xr:uid="{52579251-0210-4BA8-9340-9FE962077DAC}">
      <text>
        <r>
          <rPr>
            <sz val="9"/>
            <color indexed="81"/>
            <rFont val="Segoe UI"/>
            <family val="2"/>
          </rPr>
          <t xml:space="preserve">ID: 90927
Label: xkg223r15_q
Database: wiiw Monthly Database - Public
Status: active
Calculation: SubScal(CPPY=100(L_xkg223r15_q&gt;mdb),100)
Calculation_M: q-&gt;m EOP(L_xkg223r15_q&gt;mdb)
Calculation_Q: 
Calculation_A: q-&gt;a CumPer(L_xkg223r15_q&gt;mdb)
Periodicity: Q
Data available M: 2010m3 - 2023m9
Data available Q: 2010q1 - 2023q3
Data available A: 2010 - 2022
Text 99: 
Automatic update period: 1999|2015
Time shift: 
Note: wiiw calc. Reihe from pyp
Reporter: XK - Kosovo
Chapter 1: 02_NA - National accounts
Indicator: SC0214 - Government final consumption expenditure
Unit: 01_Curr_15_085_15_r - NCU m, 2015 reference prices (prev. year prices, incl. 'euro fixed' series)
Footnote 1: FZZ90 - wiiw estimates.
Footnote 2:  - 
Footnote 3:  - 
Footnote 4:  - 
Source 1: QXK1 - Kosovo Agency of Statistics
Source 2: Z_wiiw - wiiw
Source 3:  - 
</t>
        </r>
      </text>
    </comment>
    <comment ref="M8" authorId="1" shapeId="0" xr:uid="{D054458A-1BF0-420B-B06B-53851DE6E56F}">
      <text>
        <r>
          <rPr>
            <sz val="9"/>
            <color indexed="81"/>
            <rFont val="Segoe UI"/>
            <family val="2"/>
          </rPr>
          <t xml:space="preserve">ID: 90949
Label: xkg224r15_q
Database: wiiw Monthly Database - Public
Status: active
Calculation: SubScal(CPPY=100(L_xkg224r15_q&gt;mdb),100)
Calculation_M: q-&gt;m EOP(L_xkg224r15_q&gt;mdb)
Calculation_Q: 
Calculation_A: q-&gt;a CumPer(L_xkg224r15_q&gt;mdb)
Periodicity: Q
Data available M: 2010m3 - 2023m9
Data available Q: 2010q1 - 2023q3
Data available A: 2010 - 2022
Text 99: 
Automatic update period: 1999|2015
Time shift: 
Note: wiiw calc. Reihe from pyp
Reporter: XK - Kosovo
Chapter 1: 02_NA - National accounts
Indicator: SC0217 - Gross capital formation
Unit: 01_Curr_15_085_15_r - NCU m, 2015 reference prices (prev. year prices, incl. 'euro fixed' series)
Footnote 1: FZZ90 - wiiw estimates.
Footnote 2:  - 
Footnote 3:  - 
Footnote 4:  - 
Source 1: QXK1 - Kosovo Agency of Statistics
Source 2: Z_wiiw - wiiw
Source 3:  - 
</t>
        </r>
      </text>
    </comment>
    <comment ref="N8" authorId="1" shapeId="0" xr:uid="{2731BFA2-8192-4742-9F92-FE5FA1968BC2}">
      <text>
        <r>
          <rPr>
            <sz val="9"/>
            <color indexed="81"/>
            <rFont val="Segoe UI"/>
            <family val="2"/>
          </rPr>
          <t xml:space="preserve">ID: 90993
Label: xkg228r15_q
Database: wiiw Monthly Database - Public
Status: active
Calculation: SubScal(CPPY=100(L_xkg228r15_q&gt;mdb),100)
Calculation_M: q-&gt;m EOP(L_xkg228r15_q&gt;mdb)
Calculation_Q: 
Calculation_A: q-&gt;a CumPer(L_xkg228r15_q&gt;mdb)
Periodicity: Q
Data available M: 2010m3 - 2023m9
Data available Q: 2010q1 - 2023q3
Data available A: 2010 - 2022
Text 99: 
Automatic update period: 1999|2015
Time shift: 
Note: wiiw calc. Reihe from pyp
Reporter: XK - Kosovo
Chapter 1: 02_NA - National accounts
Indicator: SC0221 - Exports of goods and services
Unit: 01_Curr_15_085_15_r - NCU m, 2015 reference prices (prev. year prices, incl. 'euro fixed' series)
Footnote 1: FZZ90 - wiiw estimates.
Footnote 2:  - 
Footnote 3:  - 
Footnote 4:  - 
Source 1: QXK1 - Kosovo Agency of Statistics
Source 2: Z_wiiw - wiiw
Source 3:  - 
</t>
        </r>
      </text>
    </comment>
    <comment ref="O8" authorId="1" shapeId="0" xr:uid="{5525BA7F-7199-4D75-9F6C-D42BD636C0AF}">
      <text>
        <r>
          <rPr>
            <sz val="9"/>
            <color indexed="81"/>
            <rFont val="Segoe UI"/>
            <family val="2"/>
          </rPr>
          <t xml:space="preserve">ID: 91015
Label: xkg229r15_q
Database: wiiw Monthly Database - Public
Status: active
Calculation: SubScal(CPPY=100(L_xkg229r15_q&gt;mdb),100)
Calculation_M: q-&gt;m EOP(L_xkg229r15_q&gt;mdb)
Calculation_Q: 
Calculation_A: q-&gt;a CumPer(L_xkg229r15_q&gt;mdb)
Periodicity: Q
Data available M: 2010m3 - 2023m9
Data available Q: 2010q1 - 2023q3
Data available A: 2010 - 2022
Text 99: 
Automatic update period: 1999|2015
Time shift: 
Note: wiiw calc. Reihe from pyp
Reporter: XK - Kosovo
Chapter 1: 02_NA - National accounts
Indicator: SC0222 - Imports of goods and services
Unit: 01_Curr_15_085_15_r - NCU m, 2015 reference prices (prev. year prices, incl. 'euro fixed' series)
Footnote 1: FZZ90 - wiiw estimates.
Footnote 2:  - 
Footnote 3:  - 
Footnote 4:  - 
Source 1: QXK1 - Kosovo Agency of Statistics
Source 2: Z_wiiw - wiiw
Source 3:  - 
</t>
        </r>
      </text>
    </comment>
    <comment ref="P8" authorId="1" shapeId="0" xr:uid="{76B233AD-4F3E-4707-AEB8-4C8828A88C0E}">
      <text>
        <r>
          <rPr>
            <sz val="9"/>
            <color indexed="81"/>
            <rFont val="Segoe UI"/>
            <family val="2"/>
          </rPr>
          <t xml:space="preserve">ID: 122250
Label: xke51_ta_q
Database: wiiw Monthly Database - Public
Status: active
Calculation: 
Calculation_M: q-&gt;m EOP(L_xke51_ta_q&gt;mdb)
Calculation_Q: 
Calculation_A: q-&gt;a AVG(L_xke51_ta_q&gt;mdb)
Periodicity: Q
Data available M: 2016m3 - 2022m12
Data available Q: 2016q1 - 2022q4
Data available A: 2016 - 2022
Text 99: 
Automatic update period: 1999|2015
Time shift: 
Note: 
Reporter: XK - Kosovo
Chapter 1: 05_LAB - Labour market
Indicator: SC0501 - Employment, LFS
Unit: 02_Pers_11 - th persons, period average
Footnote 1: FXK15 - Population 15-64, survey based on EU guidelines and according to census April 2011.
Footnote 2:  - 
Footnote 3:  - 
Footnote 4:  - 
Source 1: QXK1 - Kosovo Agency of Statistics
Source 2:  - 
Source 3:  - 
</t>
        </r>
      </text>
    </comment>
    <comment ref="Q8" authorId="1" shapeId="0" xr:uid="{C0CEF243-5442-4CB6-B37F-140E8898EFB8}">
      <text>
        <r>
          <rPr>
            <sz val="9"/>
            <color indexed="81"/>
            <rFont val="Segoe UI"/>
            <family val="2"/>
          </rPr>
          <t xml:space="preserve">ID: 122254
Label: xke5u_ta_q
Database: wiiw Monthly Database - Public
Status: active
Calculation: 
Calculation_M: q-&gt;m EOP(L_xke5u_ta_q&gt;mdb)
Calculation_Q: 
Calculation_A: q-&gt;a AVG(L_xke5u_ta_q&gt;mdb)
Periodicity: Q
Data available M: 2016m3 - 2022m12
Data available Q: 2016q1 - 2022q4
Data available A: 2016 - 2022
Text 99: 
Automatic update period: 1999|2015
Time shift: 
Note: 
Reporter: XK - Kosovo
Chapter 1: 05_LAB - Labour market
Indicator: SC0507 - Unemployment, LFS
Unit: 02_Pers_11 - th persons, period average
Footnote 1: FXK15 - Population 15-64, survey based on EU guidelines and according to census April 2011.
Footnote 2:  - 
Footnote 3:  - 
Footnote 4:  - 
Source 1: QXK1 - Kosovo Agency of Statistics
Source 2:  - 
Source 3:  - 
</t>
        </r>
      </text>
    </comment>
    <comment ref="R8" authorId="1" shapeId="0" xr:uid="{74E182CF-5B9E-4D24-A76B-F796149A1173}">
      <text>
        <r>
          <rPr>
            <sz val="9"/>
            <color indexed="81"/>
            <rFont val="Segoe UI"/>
            <family val="2"/>
          </rPr>
          <t xml:space="preserve">ID: 122255
Label: xke5u_tp_q
Database: wiiw Monthly Database - Public
Status: active
Calculation: 
Calculation_M: q-&gt;m EOP(L_xke5u_tp_q&gt;mdb)
Calculation_Q: 
Calculation_A: MulScal(Div(L_xke5u_ta_q&gt;mdb,Add(L_xke5u_ta_q&gt;mdb,L_xke51_ta_q&gt;mdb)),100)
Periodicity: Q
Data available M: 2016m3 - 2022m12
Data available Q: 2016q1 - 2022q4
Data available A: 2016 - 2022
Text 99: 
Automatic update period: 1999|2015
Time shift: 
Note: 
Reporter: XK - Kosovo
Chapter 1: 05_LAB - Labour market
Indicator: SC0508 - Unemployment rate, LFS
Unit: 02_Pers_21 - in %, period average
Footnote 1: FXK15 - Population 15-64, survey based on EU guidelines and according to census April 2011.
Footnote 2:  - 
Footnote 3:  - 
Footnote 4:  - 
Source 1: QXK1 - Kosovo Agency of Statistics
Source 2:  - 
Source 3:  - 
</t>
        </r>
      </text>
    </comment>
    <comment ref="S8" authorId="1" shapeId="0" xr:uid="{252DB006-149D-4D15-A76E-43282B277ACA}">
      <text>
        <r>
          <rPr>
            <sz val="9"/>
            <color indexed="81"/>
            <rFont val="Segoe UI"/>
            <family val="2"/>
          </rPr>
          <t xml:space="preserve">ID: 143588
Label: xkw21_tccx
Database: wiiw Monthly Database - Hidden
Status: active
Calculation: SubScal(L_xkw21_tccx&gt;mdb,100)
Calculation_M: CPPY=100(L_xkw21_tn&gt;mdb)
Calculation_Q: CPPY=100(L_xkw21_tn&gt;mdb)
Calculation_A: CPPY=100(L_xkw21_tn&gt;mdb)
Periodicity: Q
Data available M: 2006m1 - 2023m12
Data available Q: 2006q1 - 2023q4
Data available A: 2006 - 2023
Text 99: 
Automatic update period: 1999|2015
Time shift: 
Note: 
Reporter: XK - Kosovo
Chapter 1: 06_WS - Wages
Indicator: SC0650 - Average monthly net wages total
Unit: 04_Inom_32 - index nominal, corresponding period of previous year = 100
Footnote 1: FXK18 - Wages in the budget sector only.
Footnote 2:  - 
Footnote 3:  - 
Footnote 4:  - 
Source 1: QXK1 - Kosovo Agency of Statistics
Source 2: Z_wiiw - wiiw
Source 3:  - 
</t>
        </r>
      </text>
    </comment>
    <comment ref="T8" authorId="1" shapeId="0" xr:uid="{451B579A-2F31-4C14-97A5-398BAB847FFA}">
      <text>
        <r>
          <rPr>
            <sz val="9"/>
            <color indexed="81"/>
            <rFont val="Segoe UI"/>
            <family val="2"/>
          </rPr>
          <t xml:space="preserve">ID: 122322
Label: xkfrr1tp
Database: wiiw Monthly Database - Public
Status: active
Calculation: 
Calculation_M: 
Calculation_Q: M-&gt;Q EOP(L_xkfrr1tp&gt;mdb)
Calculation_A: Q-&gt;A EOP(L_xkfrr1tp&gt;mdb)
Periodicity: Q
Data available M: 2004m6 - 2023m12
Data available Q: 2004q2 - 2023q4
Data available A: 2004 - 2023
Text 99: 
Automatic update period: 1999|2015
Time shift: 
Note: 
Reporter: XK - Kosovo
Chapter 1: 10_DF - Domestic finance
Indicator: SC1050 - Central bank policy rate
Unit: 06_IntR_1 - % p.a., end of period
Footnote 1: FXK30 - Average weighted effective lending interest rate of commercial banks (Kosovo uses the euro as national currency).
Footnote 2:  - 
Footnote 3:  - 
Footnote 4:  - 
Source 1: QXK2 - Central Bank of Kosovo
Source 2:  - 
Source 3:  - 
</t>
        </r>
      </text>
    </comment>
    <comment ref="U8" authorId="1" shapeId="0" xr:uid="{F67BF22C-29BC-469B-896B-396D276F0998}">
      <text>
        <r>
          <rPr>
            <sz val="9"/>
            <color indexed="81"/>
            <rFont val="Segoe UI"/>
            <family val="2"/>
          </rPr>
          <t xml:space="preserve">ID: 101902
Label: xkp1p1tsa
Database: wiiw Monthly Database - Public
Status: active
Calculation: 
Calculation_M: 
Calculation_Q: m-&gt;q AVG(L_xkp1p1tsa&gt;mdb)
Calculation_A: q-&gt;a AVG(L_xkp1p1tsa&gt;mdb)
Periodicity: Q
Data available M: 2002m5 - 2023m12
Data available Q: 2002q3 - 2023q4
Data available A: 2003 - 2023
Text 99: 
Automatic update period: 1999|2015
Time shift: 
Note: 
Reporter: XK - Kosovo
Chapter 1: 07_PRC - Prices
Indicator: SC0701 - Consumer prices
Unit: 03_I_1_085_15avg - index, monthly average, 2015 = 100
Footnote 1: FZZ40 - Based on HICP (Harmonized Index of Consumer Prices).
Footnote 2:  - 
Footnote 3:  - 
Footnote 4:  - 
Source 1: QXK1 - Kosovo Agency of Statistics
Source 2:  - 
Source 3:  - 
</t>
        </r>
      </text>
    </comment>
    <comment ref="V8" authorId="1" shapeId="0" xr:uid="{353CC243-D6DA-40B6-B697-B0448A5F7339}">
      <text>
        <r>
          <rPr>
            <sz val="9"/>
            <color indexed="81"/>
            <rFont val="Segoe UI"/>
            <family val="2"/>
          </rPr>
          <t xml:space="preserve">ID: 92959
Label: xkp2xea
Database: wiiw Monthly Database - Hidden
Status: active
Calculation: 
Calculation_M: L_mep2xea&gt;mdb
Calculation_Q: m-&gt;q AVG(L_xkp2xea&gt;mdb)
Calculation_A: q-&gt;a AVG(L_xkp2xea&gt;mdb)
Periodicity: Q
Data available M: 2001m1 - 2024m1
Data available Q: 2001q1 - 2023q4
Data available A: 2001 - 2023
Text 99: 
Automatic update period: 1999|2015
Time shift: 
Note: 
Reporter: XK - Kosovo
Chapter 1: 11_FF - Foreign finance
Indicator: SC1107 - Exchange rate nominal
Unit: 07_Exch_12 - NCU/EUR, period average
Footnote 1:  - 
Footnote 2:  - 
Footnote 3:  - 
Footnote 4:  - 
Source 1:  - 
Source 2:  - 
Source 3:  - 
</t>
        </r>
      </text>
    </comment>
    <comment ref="W8" authorId="1" shapeId="0" xr:uid="{D78370F9-721C-4DB2-9AEA-E588F4A605F9}">
      <text>
        <r>
          <rPr>
            <sz val="9"/>
            <color indexed="81"/>
            <rFont val="Segoe UI"/>
            <family val="2"/>
          </rPr>
          <t xml:space="preserve">ID: 144812
Label: xka1211tscx
Database: wiiw Monthly Database - Public
Status: active
Calculation: SubScal(L_xka1211tscx&gt;mdb,100)
Calculation_M: CPPY=100(L_xka1211tsa&gt;mdb)
Calculation_Q: CPPY=100(L_xka1211tsa&gt;mdb)
Calculation_A: CPPY=100(L_xka1211tsa&gt;mdb)
Periodicity: Q
Data available M: 2021m1 - 2023m10
Data available Q: 2021q1 - 2023q3
Data available A: 2021 - 2022
Text 99: 
Automatic update period: 1999|2015
Time shift: 
Note: 
Reporter: XK - Kosovo
Chapter 1: 04_PROD - Production
Indicator: SC0401 - Industrial output (BCD - NACE Rev. 2)
Unit: 05_Ireal_32 - index real, corresponding period of previous year = 100
Footnote 1: FXK09 - Manufacturing industry (NACE C), enterprises that represent 95% of the turnover.
Footnote 2:  - 
Footnote 3:  - 
Footnote 4:  - 
Source 1: QXK1 - Kosovo Agency of Statistics
Source 2: Z_wiiw - wiiw
Source 3:  - 
</t>
        </r>
      </text>
    </comment>
    <comment ref="X8" authorId="1" shapeId="0" xr:uid="{3797DBC4-7354-45A3-BAE4-7B899C4285E8}">
      <text>
        <r>
          <rPr>
            <sz val="9"/>
            <color indexed="81"/>
            <rFont val="Segoe UI"/>
            <family val="2"/>
          </rPr>
          <t xml:space="preserve">ID: 92972
Label: xklago2e_q
Database: wiiw Monthly Database - Hidden
Status: active
Calculation: SubScal(CPPY=100(AddNull(L_xklago2e_q&gt;mdb,L_xklase2e_q&gt;mdb)),100)
Calculation_M: q-&gt;m EOP(L_xklago2e_q&gt;mdb)
Calculation_Q: 
Calculation_A: Q-&gt;A CUMPER(L_xklago2e_q&gt;mdb)
Periodicity: Q
Data available M: 2009m3 - 2023m9
Data available Q: 2009q1 - 2023q3
Data available A: 2009 - 2022
Text 99: 
Automatic update period: 1999|2015
Time shift: 
Note: 
Reporter: XK - Kosovo
Chapter 1: 11_FF - Foreign finance
Indicator: SC1111 - 1.A.a. Goods exports, fob, credit
Unit: 01_Curr_23 - EUR m
Footnote 1: FZZ80 - Based on BPM6.
Footnote 2:  - 
Footnote 3:  - 
Footnote 4:  - 
Source 1: QXK2 - Central Bank of Kosovo
Source 2:  - 
Source 3:  - 
</t>
        </r>
      </text>
    </comment>
    <comment ref="Y8" authorId="1" shapeId="0" xr:uid="{7A1C0D7C-5626-479E-A464-22F5F552A210}">
      <text>
        <r>
          <rPr>
            <sz val="9"/>
            <color indexed="81"/>
            <rFont val="Segoe UI"/>
            <family val="2"/>
          </rPr>
          <t xml:space="preserve">ID: 92973
Label: xklago3e_q
Database: wiiw Monthly Database - Hidden
Status: active
Calculation: SubScal(CPPY=100(AddNull(L_xklago3e_q&gt;mdb,L_xklase3e_q&gt;mdb)),100)
Calculation_M: q-&gt;m EOP(L_xklago3e_q&gt;mdb)
Calculation_Q: 
Calculation_A: Q-&gt;A CUMPER(L_xklago3e_q&gt;mdb)
Periodicity: Q
Data available M: 2009m3 - 2023m9
Data available Q: 2009q1 - 2023q3
Data available A: 2009 - 2022
Text 99: 
Automatic update period: 1999|2015
Time shift: 
Note: 
Reporter: XK - Kosovo
Chapter 1: 11_FF - Foreign finance
Indicator: SC1112 - 1.A.a. Goods imports, fob, debit
Unit: 01_Curr_23 - EUR m
Footnote 1: FZZ80 - Based on BPM6.
Footnote 2:  - 
Footnote 3:  - 
Footnote 4:  - 
Source 1: QXK2 - Central Bank of Kosovo
Source 2:  - 
Source 3:  - 
</t>
        </r>
      </text>
    </comment>
    <comment ref="Z8" authorId="1" shapeId="0" xr:uid="{26F4B0B0-3CF4-4826-B361-149F7BC512C9}">
      <text>
        <r>
          <rPr>
            <sz val="9"/>
            <color indexed="81"/>
            <rFont val="Segoe UI"/>
            <family val="2"/>
          </rPr>
          <t xml:space="preserve">ID: 92958
Label: xklacaepx_q
Database: wiiw Monthly Database - Public
Status: active
Calculation: 
Calculation_M: Q-&gt;M EOP(L_xklacaepx_q&gt;mdb)
Calculation_Q: Share(L_xklacaen_q&gt;mdb,Div(L_xkg11tn_q&gt;mdb,L_xkp2xea&gt;mdb))
Calculation_A: Share(L_xklacaen_q&gt;mdb,Div(L_xkg11tn_q&gt;mdb,L_xkp2xea&gt;mdb))
Periodicity: Q
Data available M: 2010m3 - 2023m9
Data available Q: 2010q1 - 2023q3
Data available A: 2010 - 2022
Text 99: 
Automatic update period: 1999|2015
Time shift: 
Note: 
Reporter: XK - Kosovo
Chapter 1: 11_FF - Foreign finance
Indicator: SC1101 - Current account
Unit: 09_Share_%gdp - in % of GDP
Footnote 1:  - 
Footnote 2:  - 
Footnote 3:  - 
Footnote 4:  - 
Source 1: QXK2 - Central Bank of Kosovo
Source 2: Z_wiiw - wiiw
Source 3:  - 
</t>
        </r>
      </text>
    </comment>
    <comment ref="AA8" authorId="1" shapeId="0" xr:uid="{7DB51C91-B432-4A4A-9D2A-887EBE9FCE14}">
      <text>
        <r>
          <rPr>
            <sz val="9"/>
            <color indexed="81"/>
            <rFont val="Segoe UI"/>
            <family val="2"/>
          </rPr>
          <t xml:space="preserve">ID: 90355
Label: xkg222px_q
Database: wiiw Monthly Database - Public
Status: active
Calculation: 
Calculation_M: Q-&gt;M EOP(L_xkg222px_q&gt;mdb)
Calculation_Q: Share(L_xkg222n_q&gt;mdb,L_xkg11tzn_q&gt;mdb)
Calculation_A: Share(L_xkg222n_q&gt;mdb,L_xkg11tzn_q&gt;mdb)
Periodicity: Q
Data available M: 2010m3 - 2023m9
Data available Q: 2010q1 - 2023q3
Data available A: 2010 - 2022
Text 99: 
Automatic update period: 1999|2015
Time shift: 
Note: 
Reporter: XK - Kosovo
Chapter 1: 02_NA - National accounts
Indicator: SC0212 - Household final consumption expenditure
Unit: 09_Share_%gdp - in % of GDP
Footnote 1: FZZ07 - Including expenditures of NPISHs.
Footnote 2:  - 
Footnote 3:  - 
Footnote 4:  - 
Source 1: QXK1 - Kosovo Agency of Statistics
Source 2: Z_wiiw - wiiw
Source 3:  - 
</t>
        </r>
      </text>
    </comment>
    <comment ref="AB8" authorId="1" shapeId="0" xr:uid="{DC6A75DE-B5D1-44F9-84C0-C3C97E42EBBB}">
      <text>
        <r>
          <rPr>
            <sz val="9"/>
            <color indexed="81"/>
            <rFont val="Segoe UI"/>
            <family val="2"/>
          </rPr>
          <t xml:space="preserve">ID: 90399
Label: xkg223px_q
Database: wiiw Monthly Database - Public
Status: active
Calculation: 
Calculation_M: Q-&gt;M EOP(L_xkg223px_q&gt;mdb)
Calculation_Q: Share(L_xkg223n_q&gt;mdb,L_xkg11tzn_q&gt;mdb)
Calculation_A: Share(L_xkg223n_q&gt;mdb,L_xkg11tzn_q&gt;mdb)
Periodicity: Q
Data available M: 2010m3 - 2023m9
Data available Q: 2010q1 - 2023q3
Data available A: 2010 - 2022
Text 99: 
Automatic update period: 1999|2015
Time shift: 
Note: 
Reporter: XK - Kosovo
Chapter 1: 02_NA - National accounts
Indicator: SC0214 - Government final consumption expenditure
Unit: 09_Share_%gdp - in % of GDP
Footnote 1:  - 
Footnote 2:  - 
Footnote 3:  - 
Footnote 4:  - 
Source 1: QXK1 - Kosovo Agency of Statistics
Source 2: Z_wiiw - wiiw
Source 3:  - 
</t>
        </r>
      </text>
    </comment>
    <comment ref="AC8" authorId="1" shapeId="0" xr:uid="{6375D26F-E053-4AE0-B5FC-609FF9BD61D2}">
      <text>
        <r>
          <rPr>
            <sz val="9"/>
            <color indexed="81"/>
            <rFont val="Segoe UI"/>
            <family val="2"/>
          </rPr>
          <t xml:space="preserve">ID: 90421
Label: xkg224px_q
Database: wiiw Monthly Database - Public
Status: active
Calculation: 
Calculation_M: Q-&gt;M EOP(L_xkg224px_q&gt;mdb)
Calculation_Q: Share(L_xkg224n_q&gt;mdb,L_xkg11tzn_q&gt;mdb)
Calculation_A: Share(L_xkg224n_q&gt;mdb,L_xkg11tzn_q&gt;mdb)
Periodicity: Q
Data available M: 2010m3 - 2023m9
Data available Q: 2010q1 - 2023q3
Data available A: 2010 - 2022
Text 99: 
Automatic update period: 1999|2015
Time shift: 
Note: 
Reporter: XK - Kosovo
Chapter 1: 02_NA - National accounts
Indicator: SC0217 - Gross capital formation
Unit: 09_Share_%gdp - in % of GDP
Footnote 1:  - 
Footnote 2:  - 
Footnote 3:  - 
Footnote 4:  - 
Source 1: QXK1 - Kosovo Agency of Statistics
Source 2: Z_wiiw - wiiw
Source 3:  - 
</t>
        </r>
      </text>
    </comment>
    <comment ref="AD8" authorId="1" shapeId="0" xr:uid="{EC6E516C-E17D-4553-97B2-F594446BBEFC}">
      <text>
        <r>
          <rPr>
            <sz val="9"/>
            <color indexed="81"/>
            <rFont val="Segoe UI"/>
            <family val="2"/>
          </rPr>
          <t xml:space="preserve">ID: 90509
Label: xkg228px_q
Database: wiiw Monthly Database - Public
Status: active
Calculation: 
Calculation_M: Q-&gt;M EOP(L_xkg228px_q&gt;mdb)
Calculation_Q: Share(L_xkg228n_q&gt;mdb,L_xkg11tzn_q&gt;mdb)
Calculation_A: Share(L_xkg228n_q&gt;mdb,L_xkg11tzn_q&gt;mdb)
Periodicity: Q
Data available M: 2010m3 - 2023m9
Data available Q: 2010q1 - 2023q3
Data available A: 2010 - 2022
Text 99: 
Automatic update period: 1999|2015
Time shift: 
Note: 
Reporter: XK - Kosovo
Chapter 1: 02_NA - National accounts
Indicator: SC0221 - Exports of goods and services
Unit: 09_Share_%gdp - in % of GDP
Footnote 1:  - 
Footnote 2:  - 
Footnote 3:  - 
Footnote 4:  - 
Source 1: QXK1 - Kosovo Agency of Statistics
Source 2: Z_wiiw - wiiw
Source 3:  - 
</t>
        </r>
      </text>
    </comment>
    <comment ref="AE8" authorId="1" shapeId="0" xr:uid="{87F3CE44-1420-45A0-8DB4-76147EFCBCF1}">
      <text>
        <r>
          <rPr>
            <sz val="9"/>
            <color indexed="81"/>
            <rFont val="Segoe UI"/>
            <family val="2"/>
          </rPr>
          <t xml:space="preserve">ID: 90531
Label: xkg229px_q
Database: wiiw Monthly Database - Public
Status: active
Calculation: 
Calculation_M: Q-&gt;M EOP(L_xkg229px_q&gt;mdb)
Calculation_Q: Share(L_xkg229n_q&gt;mdb,L_xkg11tzn_q&gt;mdb)
Calculation_A: Share(L_xkg229n_q&gt;mdb,L_xkg11tzn_q&gt;mdb)
Periodicity: Q
Data available M: 2010m3 - 2023m9
Data available Q: 2010q1 - 2023q3
Data available A: 2010 - 2022
Text 99: 
Automatic update period: 1999|2015
Time shift: 
Note: 
Reporter: XK - Kosovo
Chapter 1: 02_NA - National accounts
Indicator: SC0222 - Imports of goods and services
Unit: 09_Share_%gdp - in % of GDP
Footnote 1:  - 
Footnote 2:  - 
Footnote 3:  - 
Footnote 4:  - 
Source 1: QXK1 - Kosovo Agency of Statistics
Source 2: Z_wiiw - wiiw
Source 3:  - 
</t>
        </r>
      </text>
    </comment>
    <comment ref="AF8" authorId="1" shapeId="0" xr:uid="{D6990918-E306-46B0-ABD7-9F8D223F8B33}">
      <text>
        <r>
          <rPr>
            <sz val="9"/>
            <color indexed="81"/>
            <rFont val="Segoe UI"/>
            <family val="2"/>
          </rPr>
          <t xml:space="preserve">ID: 89629
Label: xkfls14scx
Database: wiiw Monthly Database - Public
Status: active
Calculation: SubScal(L_xkfls14scx&gt;mdb,100)
Calculation_M: CPPY=100(L_xkfls14e&gt;mdb)
Calculation_Q: M-&gt;Q EOP(L_xkfls14scx&gt;mdb)
Calculation_A: Q-&gt;A EOP(L_xkfls14scx&gt;mdb)
Periodicity: Q
Data available M: 2003m9 - 2023m12
Data available Q: 2003q3 - 2023q4
Data available A: 2003 - 2023
Text 99: 
Automatic update period: 1999|2015
Time shift: 
Note: 
Reporter: XK - Kosovo
Chapter 1: 10_DF - Domestic finance
Indicator: SC1066 - Loans households (S14)
Unit: 04_Inom_32 - index nominal, corresponding period of previous year = 100
Footnote 1:  - 
Footnote 2:  - 
Footnote 3:  - 
Footnote 4:  - 
Source 1: QXK2 - Central Bank of Kosovo
Source 2: Z_wiiw - wiiw
Source 3:  - 
</t>
        </r>
      </text>
    </comment>
    <comment ref="AG8" authorId="1" shapeId="0" xr:uid="{48875631-692A-472A-9AB9-A01F682D79C9}">
      <text>
        <r>
          <rPr>
            <sz val="9"/>
            <color indexed="81"/>
            <rFont val="Segoe UI"/>
            <family val="2"/>
          </rPr>
          <t xml:space="preserve">ID: 
Label: 
Database: 
Status: UNKNOWN
Calculation: 
Calculation_M: 
Calculation_Q: 
Calculation_A: 
Periodicity: Q
Data available M: 
Data available Q: 
Data available A: 
Text 99: 
Automatic update period: 1999|2015
Time shift: 
Note: 
</t>
        </r>
      </text>
    </comment>
    <comment ref="G101" authorId="0" shapeId="0" xr:uid="{3F805F3F-CAB9-4187-A308-43EE792A91CD}">
      <text>
        <r>
          <rPr>
            <b/>
            <sz val="9"/>
            <color indexed="81"/>
            <rFont val="Tahoma"/>
            <family val="2"/>
          </rPr>
          <t>BJ:</t>
        </r>
        <r>
          <rPr>
            <sz val="9"/>
            <color indexed="81"/>
            <rFont val="Tahoma"/>
            <family val="2"/>
          </rPr>
          <t xml:space="preserve">
from the budget for 2022</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BJ</author>
    <author>Alexandra Bykova</author>
  </authors>
  <commentList>
    <comment ref="B1" authorId="0" shapeId="0" xr:uid="{C19F47CD-5EC5-40C5-9A56-5BA285E75B0E}">
      <text>
        <r>
          <rPr>
            <b/>
            <sz val="9"/>
            <color indexed="81"/>
            <rFont val="Tahoma"/>
            <family val="2"/>
          </rPr>
          <t>BJ:</t>
        </r>
        <r>
          <rPr>
            <sz val="9"/>
            <color indexed="81"/>
            <rFont val="Tahoma"/>
            <family val="2"/>
          </rPr>
          <t xml:space="preserve">
EU 27, seasonally and calendar adjusted
Eurostat</t>
        </r>
      </text>
    </comment>
    <comment ref="C1" authorId="0" shapeId="0" xr:uid="{9C85B699-0A45-4E87-B461-5A1D15625215}">
      <text>
        <r>
          <rPr>
            <b/>
            <sz val="9"/>
            <color indexed="81"/>
            <rFont val="Tahoma"/>
            <family val="2"/>
          </rPr>
          <t>BJ:</t>
        </r>
        <r>
          <rPr>
            <sz val="9"/>
            <color indexed="81"/>
            <rFont val="Tahoma"/>
            <family val="2"/>
          </rPr>
          <t xml:space="preserve">
Eurostat</t>
        </r>
      </text>
    </comment>
    <comment ref="D1" authorId="0" shapeId="0" xr:uid="{E3571C64-BBA1-41E7-904D-1CC41752AC8A}">
      <text>
        <r>
          <rPr>
            <b/>
            <sz val="9"/>
            <color indexed="81"/>
            <rFont val="Tahoma"/>
            <family val="2"/>
          </rPr>
          <t>BJ:</t>
        </r>
        <r>
          <rPr>
            <sz val="9"/>
            <color indexed="81"/>
            <rFont val="Tahoma"/>
            <family val="2"/>
          </rPr>
          <t xml:space="preserve">
EU changing composition
Eurostat</t>
        </r>
      </text>
    </comment>
    <comment ref="E1" authorId="0" shapeId="0" xr:uid="{B7E6CCF2-4862-4DE9-A8C9-1B29C85F0618}">
      <text>
        <r>
          <rPr>
            <b/>
            <sz val="9"/>
            <color indexed="81"/>
            <rFont val="Tahoma"/>
            <family val="2"/>
          </rPr>
          <t>BJ:</t>
        </r>
        <r>
          <rPr>
            <sz val="9"/>
            <color indexed="81"/>
            <rFont val="Tahoma"/>
            <family val="2"/>
          </rPr>
          <t xml:space="preserve">
ECB</t>
        </r>
      </text>
    </comment>
    <comment ref="F1" authorId="0" shapeId="0" xr:uid="{E59C47C4-047B-4685-AF72-05AE8F3BF210}">
      <text>
        <r>
          <rPr>
            <b/>
            <sz val="9"/>
            <color indexed="81"/>
            <rFont val="Tahoma"/>
            <family val="2"/>
          </rPr>
          <t>BJ:</t>
        </r>
        <r>
          <rPr>
            <sz val="9"/>
            <color indexed="81"/>
            <rFont val="Tahoma"/>
            <family val="2"/>
          </rPr>
          <t xml:space="preserve">
Crude oil, average, from WB pink sheets</t>
        </r>
      </text>
    </comment>
    <comment ref="G1" authorId="0" shapeId="0" xr:uid="{5C33C2F6-7EBC-4C73-8110-7723FBF5FCC4}">
      <text>
        <r>
          <rPr>
            <sz val="9"/>
            <color indexed="81"/>
            <rFont val="Tahoma"/>
            <family val="2"/>
          </rPr>
          <t>General gov, nominal yoy growth, in NCU
wiiw</t>
        </r>
      </text>
    </comment>
    <comment ref="H1" authorId="0" shapeId="0" xr:uid="{618161D3-1B41-442D-B098-CBEF131EF0C0}">
      <text>
        <r>
          <rPr>
            <b/>
            <sz val="9"/>
            <color indexed="81"/>
            <rFont val="Tahoma"/>
            <family val="2"/>
          </rPr>
          <t>BJ:</t>
        </r>
        <r>
          <rPr>
            <sz val="9"/>
            <color indexed="81"/>
            <rFont val="Tahoma"/>
            <family val="2"/>
          </rPr>
          <t xml:space="preserve">
General gov. budget - revenues NCU m (incl. 'euro fixed' series)
wiiw</t>
        </r>
      </text>
    </comment>
    <comment ref="I1" authorId="0" shapeId="0" xr:uid="{49402D2F-6CB8-4D2E-A499-41CC156310C9}">
      <text>
        <r>
          <rPr>
            <b/>
            <sz val="9"/>
            <color indexed="81"/>
            <rFont val="Tahoma"/>
            <family val="2"/>
          </rPr>
          <t>BJ:</t>
        </r>
        <r>
          <rPr>
            <sz val="9"/>
            <color indexed="81"/>
            <rFont val="Tahoma"/>
            <family val="2"/>
          </rPr>
          <t xml:space="preserve">
General gov. budget - balance
 in % of GDP
wiiw</t>
        </r>
      </text>
    </comment>
    <comment ref="J1" authorId="0" shapeId="0" xr:uid="{06DF9C13-8D89-4099-8EF9-91F1B06F9261}">
      <text>
        <r>
          <rPr>
            <b/>
            <sz val="9"/>
            <color indexed="81"/>
            <rFont val="Tahoma"/>
            <family val="2"/>
          </rPr>
          <t>BJ:</t>
        </r>
        <r>
          <rPr>
            <sz val="9"/>
            <color indexed="81"/>
            <rFont val="Tahoma"/>
            <family val="2"/>
          </rPr>
          <t xml:space="preserve">
For all GDP: 
NCU m, 2015 reference prices (prev. year prices, incl. 'euro fixed' series)
wiiw</t>
        </r>
      </text>
    </comment>
    <comment ref="K1" authorId="0" shapeId="0" xr:uid="{A36E50CC-71F0-4A99-A819-D116C97E8A30}">
      <text>
        <r>
          <rPr>
            <b/>
            <sz val="9"/>
            <color indexed="81"/>
            <rFont val="Tahoma"/>
            <family val="2"/>
          </rPr>
          <t>BJ:</t>
        </r>
        <r>
          <rPr>
            <sz val="9"/>
            <color indexed="81"/>
            <rFont val="Tahoma"/>
            <family val="2"/>
          </rPr>
          <t xml:space="preserve">
Households + NPISH
Only Households</t>
        </r>
      </text>
    </comment>
    <comment ref="M1" authorId="0" shapeId="0" xr:uid="{0349BCA5-1291-4608-8258-E5643A2EA482}">
      <text>
        <r>
          <rPr>
            <b/>
            <sz val="9"/>
            <color indexed="81"/>
            <rFont val="Tahoma"/>
            <family val="2"/>
          </rPr>
          <t>BJ:</t>
        </r>
        <r>
          <rPr>
            <sz val="9"/>
            <color indexed="81"/>
            <rFont val="Tahoma"/>
            <family val="2"/>
          </rPr>
          <t xml:space="preserve">
Gross capital formation</t>
        </r>
      </text>
    </comment>
    <comment ref="P1" authorId="0" shapeId="0" xr:uid="{1EF4AE9B-F1E0-4E59-984B-535A15D7D3B2}">
      <text>
        <r>
          <rPr>
            <b/>
            <sz val="9"/>
            <color indexed="81"/>
            <rFont val="Tahoma"/>
            <family val="2"/>
          </rPr>
          <t>Employment, LFS, thousand persons
wiiw</t>
        </r>
      </text>
    </comment>
    <comment ref="Q1" authorId="0" shapeId="0" xr:uid="{9914D58E-1249-4BFD-B3EC-E60A20928C90}">
      <text>
        <r>
          <rPr>
            <b/>
            <sz val="9"/>
            <color indexed="81"/>
            <rFont val="Tahoma"/>
            <family val="2"/>
          </rPr>
          <t>Unemployment, LFS, thousand persons
wiiw</t>
        </r>
      </text>
    </comment>
    <comment ref="R1" authorId="0" shapeId="0" xr:uid="{93BF29F4-6E13-4F81-B841-2619AD5AB38B}">
      <text>
        <r>
          <rPr>
            <b/>
            <sz val="9"/>
            <color indexed="81"/>
            <rFont val="Tahoma"/>
            <family val="2"/>
          </rPr>
          <t>Unemployment, LFS, in %
wiiw</t>
        </r>
      </text>
    </comment>
    <comment ref="S1" authorId="0" shapeId="0" xr:uid="{A62273B6-5A97-42E2-B496-F0A7FA1598A6}">
      <text>
        <r>
          <rPr>
            <b/>
            <sz val="9"/>
            <color indexed="81"/>
            <rFont val="Tahoma"/>
            <family val="2"/>
          </rPr>
          <t>BJ:</t>
        </r>
        <r>
          <rPr>
            <sz val="9"/>
            <color indexed="81"/>
            <rFont val="Tahoma"/>
            <family val="2"/>
          </rPr>
          <t xml:space="preserve">
only in industry, not whole economy. Nominal.</t>
        </r>
      </text>
    </comment>
    <comment ref="T1" authorId="0" shapeId="0" xr:uid="{29665E37-AFA9-4379-A326-DB2457028D2E}">
      <text>
        <r>
          <rPr>
            <b/>
            <sz val="9"/>
            <color indexed="81"/>
            <rFont val="Tahoma"/>
            <family val="2"/>
          </rPr>
          <t>BJ:</t>
        </r>
        <r>
          <rPr>
            <sz val="9"/>
            <color indexed="81"/>
            <rFont val="Tahoma"/>
            <family val="2"/>
          </rPr>
          <t xml:space="preserve">
Central bank policy rate, nominal
wiiw</t>
        </r>
      </text>
    </comment>
    <comment ref="U1" authorId="0" shapeId="0" xr:uid="{B9F35602-54D7-4348-9AD3-DF27E20A50AD}">
      <text>
        <r>
          <rPr>
            <b/>
            <sz val="9"/>
            <color indexed="81"/>
            <rFont val="Tahoma"/>
            <family val="2"/>
          </rPr>
          <t>BJ:</t>
        </r>
        <r>
          <rPr>
            <sz val="9"/>
            <color indexed="81"/>
            <rFont val="Tahoma"/>
            <family val="2"/>
          </rPr>
          <t xml:space="preserve">
Consumer prices index, monthly average, 2015 = 100
wiiw</t>
        </r>
      </text>
    </comment>
    <comment ref="V1" authorId="0" shapeId="0" xr:uid="{C5920FD8-25FA-4E33-B83D-C3BFA20E596B}">
      <text>
        <r>
          <rPr>
            <b/>
            <sz val="9"/>
            <color indexed="81"/>
            <rFont val="Tahoma"/>
            <family val="2"/>
          </rPr>
          <t>BJ:</t>
        </r>
        <r>
          <rPr>
            <sz val="9"/>
            <color indexed="81"/>
            <rFont val="Tahoma"/>
            <family val="2"/>
          </rPr>
          <t xml:space="preserve">
Exchange rate nominal NCU/EUR, period average
wiiw</t>
        </r>
      </text>
    </comment>
    <comment ref="W1" authorId="0" shapeId="0" xr:uid="{BB783C90-99A8-4028-B4C7-FE899B74488C}">
      <text>
        <r>
          <rPr>
            <b/>
            <sz val="9"/>
            <color indexed="81"/>
            <rFont val="Tahoma"/>
            <family val="2"/>
          </rPr>
          <t>BJ:</t>
        </r>
        <r>
          <rPr>
            <sz val="9"/>
            <color indexed="81"/>
            <rFont val="Tahoma"/>
            <family val="2"/>
          </rPr>
          <t xml:space="preserve">
 Industrial output (BCD - NACE Rev. 2), index real, monthly average, 2015 = 100, yoy growth
wiiw</t>
        </r>
      </text>
    </comment>
    <comment ref="X1" authorId="0" shapeId="0" xr:uid="{FC06C846-F073-4DB4-BFE4-BDDC7B646FA1}">
      <text>
        <r>
          <rPr>
            <b/>
            <sz val="9"/>
            <color indexed="81"/>
            <rFont val="Tahoma"/>
            <family val="2"/>
          </rPr>
          <t>BJ:</t>
        </r>
        <r>
          <rPr>
            <sz val="9"/>
            <color indexed="81"/>
            <rFont val="Tahoma"/>
            <family val="2"/>
          </rPr>
          <t xml:space="preserve">
Exports total, fob EUR m, yoy growth
wiiw
Alexandra: changed to BOP: exports of goods and services</t>
        </r>
      </text>
    </comment>
    <comment ref="Y1" authorId="0" shapeId="0" xr:uid="{3F326D24-6BD7-486F-871B-8CA1D316D111}">
      <text>
        <r>
          <rPr>
            <b/>
            <sz val="9"/>
            <color indexed="81"/>
            <rFont val="Tahoma"/>
            <family val="2"/>
          </rPr>
          <t>BJ:</t>
        </r>
        <r>
          <rPr>
            <sz val="9"/>
            <color indexed="81"/>
            <rFont val="Tahoma"/>
            <family val="2"/>
          </rPr>
          <t xml:space="preserve">
 Imports total, cif EUR m
wiiw
Alexandra: changed to BOP: imports of goods and services</t>
        </r>
      </text>
    </comment>
    <comment ref="Z1" authorId="0" shapeId="0" xr:uid="{64E6A3A5-E762-41D3-9CA6-AF5C41C33110}">
      <text>
        <r>
          <rPr>
            <b/>
            <sz val="9"/>
            <color indexed="81"/>
            <rFont val="Tahoma"/>
            <family val="2"/>
          </rPr>
          <t>BJ:</t>
        </r>
        <r>
          <rPr>
            <sz val="9"/>
            <color indexed="81"/>
            <rFont val="Tahoma"/>
            <family val="2"/>
          </rPr>
          <t xml:space="preserve">
Current account in % of GDP
wiiw</t>
        </r>
      </text>
    </comment>
    <comment ref="AA1" authorId="0" shapeId="0" xr:uid="{12F99B69-F401-4C87-9F02-B29FBC95818D}">
      <text>
        <r>
          <rPr>
            <b/>
            <sz val="9"/>
            <color indexed="81"/>
            <rFont val="Tahoma"/>
            <family val="2"/>
          </rPr>
          <t>BJ:</t>
        </r>
        <r>
          <rPr>
            <sz val="9"/>
            <color indexed="81"/>
            <rFont val="Tahoma"/>
            <family val="2"/>
          </rPr>
          <t xml:space="preserve">
Households + NPISH</t>
        </r>
      </text>
    </comment>
    <comment ref="AC1" authorId="0" shapeId="0" xr:uid="{88A41117-1BC3-43D6-A361-D29F88C4118C}">
      <text>
        <r>
          <rPr>
            <b/>
            <sz val="9"/>
            <color indexed="81"/>
            <rFont val="Tahoma"/>
            <family val="2"/>
          </rPr>
          <t>BJ:</t>
        </r>
        <r>
          <rPr>
            <sz val="9"/>
            <color indexed="81"/>
            <rFont val="Tahoma"/>
            <family val="2"/>
          </rPr>
          <t xml:space="preserve">
Gross capital formation</t>
        </r>
      </text>
    </comment>
    <comment ref="AF1" authorId="0" shapeId="0" xr:uid="{3D693F5A-D998-45C0-857F-022D3156C856}">
      <text>
        <r>
          <rPr>
            <b/>
            <sz val="9"/>
            <color indexed="81"/>
            <rFont val="Tahoma"/>
            <family val="2"/>
          </rPr>
          <t>BJ:</t>
        </r>
        <r>
          <rPr>
            <sz val="9"/>
            <color indexed="81"/>
            <rFont val="Tahoma"/>
            <family val="2"/>
          </rPr>
          <t xml:space="preserve">
loans to households, nominal, yoy growth rates</t>
        </r>
      </text>
    </comment>
    <comment ref="B8" authorId="1" shapeId="0" xr:uid="{98C5FDFD-D7E5-4567-8399-D7868898EB97}">
      <text>
        <r>
          <rPr>
            <sz val="9"/>
            <color indexed="81"/>
            <rFont val="Segoe UI"/>
            <family val="2"/>
          </rPr>
          <t xml:space="preserve">ID: 144396
Label: eug11tscrx_q
Database: wiiw Monthly Database - Hidden
Status: active
Calculation: 
Calculation_M: SubScal(L_eug11tscx_q&gt;mdb,100)
Calculation_Q: SubScal(L_eug11tscx_q&gt;mdb,100)
Calculation_A: SubScal(L_eug11tscx_q&gt;mdb,100)
Periodicity: Q
Data available M: 1996m3 - 2023m9
Data available Q: 1996q1 - 2023q3
Data available A: 1996 - 2022
Text 99: 
Automatic update period: 1999|2015
Time shift: 
Note: 
Reporter: EU27_2020 - EU - 27 countries (from 2020)
Chapter 1: 02_NA - National accounts
Indicator: SC0201 - Gross domestic product total
Unit: 05_Ireal_36 - real growth rate to corresponding period of previous year in %
Footnote 1: FZZ05 - According to ESA'10.
Footnote 2:  - 
Footnote 3:  - 
Footnote 4:  - 
Source 1: Z_ESTAT - Eurostat
Source 2: Z_wiiw - wiiw
Source 3:  - 
</t>
        </r>
      </text>
    </comment>
    <comment ref="C8" authorId="1" shapeId="0" xr:uid="{802E9C59-DE10-4485-810B-9987F1533F1A}">
      <text>
        <r>
          <rPr>
            <sz val="9"/>
            <color indexed="81"/>
            <rFont val="Segoe UI"/>
            <family val="2"/>
          </rPr>
          <t xml:space="preserve">ID: 77811
Label: eup1p1tsa
Database: wiiw Monthly Database - Hidden
Status: active
Calculation: 
Calculation_M: 
Calculation_Q: m-&gt;q AVG(L_eup1p1tsa&gt;mdb)
Calculation_A: q-&gt;a AVG(L_eup1p1tsa&gt;mdb)
Periodicity: Q
Data available M: 1999m1 - 2023m12
Data available Q: 1999q1 - 2023q4
Data available A: 1999 - 2023
Text 99: 
Automatic update period: 1999|2015
Time shift: 
Note: 
Reporter: EU - European Union evolutionary
Chapter 1: 07_PRC - Prices
Indicator: SC0701 - Consumer prices
Unit: 03_I_1_085_15avg - index, monthly average, 2015 = 100
Footnote 1: FZZ40 - Based on HICP (Harmonized Index of Consumer Prices).
Footnote 2:  - 
Footnote 3:  - 
Footnote 4:  - 
Source 1: Z_ESTAT - Eurostat
Source 2:  - 
Source 3:  - 
</t>
        </r>
      </text>
    </comment>
    <comment ref="D8" authorId="1" shapeId="0" xr:uid="{8AD02556-2823-448A-A379-5FADC08AA896}">
      <text>
        <r>
          <rPr>
            <sz val="9"/>
            <color indexed="81"/>
            <rFont val="Segoe UI"/>
            <family val="2"/>
          </rPr>
          <t xml:space="preserve">ID: 77812
Label: eup1p1tscx
Database: wiiw Monthly Database - Hidden
Status: active
Calculation: SubScal(L_eup1p1tscx&gt;mdb,100)
Calculation_M: CPPY=100(L_eup1p1tsa&gt;mdb)
Calculation_Q: CPPY=100(L_eup1p1tsa&gt;mdb)
Calculation_A: CPPY=100(L_eup1p1tsa&gt;mdb)
Periodicity: Q
Data available M: 1992m1 - 2023m12
Data available Q: 1992q1 - 2023q4
Data available A: 1992 - 2023
Text 99: 
Automatic update period: 1999|2015
Time shift: 
Note: 
Reporter: EU - European Union evolutionary
Chapter 1: 07_PRC - Prices
Indicator: SC0701 - Consumer prices
Unit: 03_I_32 - index, corresponding period of previous year = 100
Footnote 1: FZZ40 - Based on HICP (Harmonized Index of Consumer Prices).
Footnote 2:  - 
Footnote 3:  - 
Footnote 4:  - 
Source 1: Z_ESTAT - Eurostat
Source 2: Z_wiiw - wiiw
Source 3:  - 
</t>
        </r>
      </text>
    </comment>
    <comment ref="E8" authorId="1" shapeId="0" xr:uid="{BA5F5014-8A12-4663-83D3-327956DD5C74}">
      <text>
        <r>
          <rPr>
            <sz val="9"/>
            <color indexed="81"/>
            <rFont val="Segoe UI"/>
            <family val="2"/>
          </rPr>
          <t xml:space="preserve">ID: 144399
Label: eafrr1tp_help
Database: wiiw Monthly Database - Hidden
Status: active
Calculation: 
Calculation_M: L_eafrr1tp&gt;mdb
Calculation_Q: m-&gt;q AVG(L_eafrr1tp&gt;mdb)
Calculation_A: q-&gt;a AVG(L_eafrr1tp&gt;mdb)
Periodicity: Q
Data available M: 1999m1 - 2023m12
Data available Q: 1999q1 - 2023q4
Data available A: 1999 - 2023
Text 99: 
Automatic update period: 1999|2015
Time shift: 
Note: 
Reporter: EA - Euro area evolutionary
Chapter 1: 10_DF - Domestic finance
Indicator: SC1050 - Central bank policy rate
Unit: 06_IntR_6 - % p.a., period average
Footnote 1: FZZ50 - Official refinancing operation rates for euro area (ECB), rate in fixed rate tenders (between June 2000 and September 2008 the minimum bid rate in variable rate tenders was applied).
Footnote 2:  - 
Footnote 3:  - 
Footnote 4:  - 
Source 1: Z_ECB - European Central Bank
Source 2:  - 
Source 3:  - 
</t>
        </r>
      </text>
    </comment>
    <comment ref="F8" authorId="1" shapeId="0" xr:uid="{F644062D-FDA9-4C40-9577-7060DCAA60C0}">
      <text>
        <r>
          <rPr>
            <sz val="9"/>
            <color indexed="81"/>
            <rFont val="Segoe UI"/>
            <family val="2"/>
          </rPr>
          <t xml:space="preserve">ID: 101874
Label: usp2oila
Database: wiiw Monthly Database - Hidden
Status: active
Calculation: 
Calculation_M: 
Calculation_Q: M-&gt;Q AVG(L_usp2oila&gt;mdb)
Calculation_A: Q-&gt;A AVG(L_usp2oila&gt;mdb)
Periodicity: Q
Data available M: 1990m1 - 2023m12
Data available Q: 1990q1 - 2023q4
Data available A: 1990 - 2023
Text 99: 
Automatic update period: 1999|2015
Time shift: 
Note: Oil prices  &amp; Europe Brent Spot Price FOB (Dollars per Barrel) &amp; EIA (US) Source of the data. Gespeichert auf die EU&amp;US Karten.
Reporter: US - United States
Chapter 1: 11_FF - Foreign finance
Indicator:  - 
Unit:  - 
Footnote 1:  - 
Footnote 2:  - 
Footnote 3:  - 
Footnote 4:  - 
Source 1:  - 
Source 2:  - 
Source 3:  - 
</t>
        </r>
      </text>
    </comment>
    <comment ref="G8" authorId="1" shapeId="0" xr:uid="{22A97132-6641-445A-B645-B5CDF99AF660}">
      <text>
        <r>
          <rPr>
            <sz val="9"/>
            <color indexed="81"/>
            <rFont val="Segoe UI"/>
            <family val="2"/>
          </rPr>
          <t xml:space="preserve">ID: 89090
Label: trbg21n_q
Database: wiiw Monthly Database - Public
Status: active
Calculation: SubScal(CPPY=100(L_trbg21n_q&gt;mdb),100)
Calculation_M: q-&gt;m EOP(L_trbg21n_q&gt;mdb)
Calculation_Q: 
Calculation_A: q-&gt;a CumPer(L_trbg21n_q&gt;mdb)
Periodicity: Q
Data available M: 2012m3 - 2023m6
Data available Q: 2012q1 - 2023q2
Data available A: 2012 - 2022
Text 99: 
Automatic update period: 1999|2015
Time shift: 
Note: 
Reporter: TR - Turkey
Chapter 1: 10_DF - Domestic finance
Indicator: SC1021 - General gov. budget - expenditures
Unit: 01_Curr_12 - NCU m (incl. 'euro fixed' series)
Footnote 1: FZZ06 - According to ESA'95.
Footnote 2:  - 
Footnote 3:  - 
Footnote 4:  - 
Source 1: QTR3 - Ministry of Finance of Turkey
Source 2:  - 
Source 3:  - 
</t>
        </r>
      </text>
    </comment>
    <comment ref="H8" authorId="1" shapeId="0" xr:uid="{BC1329F9-DC0B-4F0C-AB6A-588D1294499C}">
      <text>
        <r>
          <rPr>
            <sz val="9"/>
            <color indexed="81"/>
            <rFont val="Segoe UI"/>
            <family val="2"/>
          </rPr>
          <t xml:space="preserve">ID: 89088
Label: trbg11n_q
Database: wiiw Monthly Database - Public
Status: active
Calculation: SubScal(CPPY=100(L_trbg11n_q&gt;mdb),100)
Calculation_M: q-&gt;m EOP(L_trbg11n_q&gt;mdb)
Calculation_Q: 
Calculation_A: q-&gt;a CumPer(L_trbg11n_q&gt;mdb)
Periodicity: Q
Data available M: 2012m3 - 2023m6
Data available Q: 2012q1 - 2023q2
Data available A: 2012 - 2022
Text 99: 
Automatic update period: 1999|2015
Time shift: 
Note: 
Reporter: TR - Turkey
Chapter 1: 10_DF - Domestic finance
Indicator: SC1020 - General gov. budget - revenues
Unit: 01_Curr_12 - NCU m (incl. 'euro fixed' series)
Footnote 1: FZZ06 - According to ESA'95.
Footnote 2:  - 
Footnote 3:  - 
Footnote 4:  - 
Source 1: QTR3 - Ministry of Finance of Turkey
Source 2:  - 
Source 3:  - 
</t>
        </r>
      </text>
    </comment>
    <comment ref="I8" authorId="1" shapeId="0" xr:uid="{1E2535F8-5075-4F3C-9098-01BCB1C336E0}">
      <text>
        <r>
          <rPr>
            <sz val="9"/>
            <color indexed="81"/>
            <rFont val="Segoe UI"/>
            <family val="2"/>
          </rPr>
          <t xml:space="preserve">ID: 89227
Label: trbg31px_q
Database: wiiw Monthly Database - Public
Status: active
Calculation: 
Calculation_M: Q-&gt;M EOP(L_trbg31px_q&gt;mdb)
Calculation_Q: Share(L_trbg31nx_q&gt;mdb,L_trg11tn_q&gt;mdb)
Calculation_A: Share(L_trbg31nx_q&gt;mdb,L_trg11tn_q&gt;mdb)
Periodicity: Q
Data available M: 2012m3 - 2023m6
Data available Q: 2012q1 - 2023q2
Data available A: 2012 - 2022
Text 99: 
Automatic update period: 1999|2015
Time shift: 
Note: 
Reporter: TR - Turkey
Chapter 1: 10_DF - Domestic finance
Indicator: SC1022 - General gov. budget - balance
Unit: 09_Share_%gdp - in % of GDP
Footnote 1: FZZ06 - According to ESA'95.
Footnote 2:  - 
Footnote 3:  - 
Footnote 4:  - 
Source 1: QTR3 - Ministry of Finance of Turkey
Source 2: Z_wiiw - wiiw
Source 3:  - 
</t>
        </r>
      </text>
    </comment>
    <comment ref="J8" authorId="1" shapeId="0" xr:uid="{A2CF1099-726C-41D0-A13E-8AB8B9E4AD3F}">
      <text>
        <r>
          <rPr>
            <sz val="9"/>
            <color indexed="81"/>
            <rFont val="Segoe UI"/>
            <family val="2"/>
          </rPr>
          <t xml:space="preserve">ID: 88688
Label: trg11tr15_q
Database: wiiw Monthly Database - Public
Status: active
Calculation: SubScal(CPPY=100(L_trg11tr15_q&gt;mdb),100)
Calculation_M: q-&gt;m EOP(L_trg11tr15_q&gt;mdb)
Calculation_Q: 
Calculation_A: q-&gt;a CumPer(L_trg11tr15_q&gt;mdb)
Periodicity: Q
Data available M: 1990m3 - 2023m9
Data available Q: 1990q1 - 2023q3
Data available A: 1990 - 2022
Text 99: 
Automatic update period: 1999|2015
Time shift: 
Note: wiiw calc. Reihe with real growth rate
Reporter: TR - Turkey
Chapter 1: 02_NA - National accounts
Indicator: SC0201 - Gross domestic product total
Unit: 01_Curr_15_085_15_r - NCU m, 2015 reference prices (prev. year prices, incl. 'euro fixed' series)
Footnote 1: FTR10 - From 1998 ESA'10, SNA'68 before.
Footnote 2: FTR11 - From 1999 growth in real terms refer to previous year prices, constant prices 1987 before.
Footnote 3: FZZ90 - wiiw estimates.
Footnote 4:  - 
Source 1: QTR1 - Turkish Statistical Institute
Source 2: Z_wiiw - wiiw
Source 3:  - 
</t>
        </r>
      </text>
    </comment>
    <comment ref="K8" authorId="1" shapeId="0" xr:uid="{3BEF46F9-A76F-4E79-8930-CA074D061CAF}">
      <text>
        <r>
          <rPr>
            <sz val="9"/>
            <color indexed="81"/>
            <rFont val="Segoe UI"/>
            <family val="2"/>
          </rPr>
          <t xml:space="preserve">ID: 90881
Label: trg222r15_q
Database: wiiw Monthly Database - Public
Status: active
Calculation: SubScal(CPPY=100(L_trg222r15_q&gt;mdb),100)
Calculation_M: q-&gt;m EOP(L_trg222r15_q&gt;mdb)
Calculation_Q: 
Calculation_A: q-&gt;a CumPer(L_trg222r15_q&gt;mdb)
Periodicity: Q
Data available M: 1990m3 - 2023m9
Data available Q: 1990q1 - 2023q3
Data available A: 1990 - 2022
Text 99: 
Automatic update period: 1999|2015
Time shift: 
Note: wiiw calc. Reihe with real growth rate
Reporter: TR - Turkey
Chapter 1: 02_NA - National accounts
Indicator: SC0212 - Household final consumption expenditure
Unit: 01_Curr_15_085_15_r - NCU m, 2015 reference prices (prev. year prices, incl. 'euro fixed' series)
Footnote 1: FZZ90 - wiiw estimates.
Footnote 2:  - 
Footnote 3:  - 
Footnote 4:  - 
Source 1: QTR1 - Turkish Statistical Institute
Source 2: Z_wiiw - wiiw
Source 3:  - 
</t>
        </r>
      </text>
    </comment>
    <comment ref="L8" authorId="1" shapeId="0" xr:uid="{839889E2-0DCA-4353-AD74-EEB239CA7527}">
      <text>
        <r>
          <rPr>
            <sz val="9"/>
            <color indexed="81"/>
            <rFont val="Segoe UI"/>
            <family val="2"/>
          </rPr>
          <t xml:space="preserve">ID: 90925
Label: trg223r15_q
Database: wiiw Monthly Database - Public
Status: active
Calculation: SubScal(CPPY=100(L_trg223r15_q&gt;mdb),100)
Calculation_M: q-&gt;m EOP(L_trg223r15_q&gt;mdb)
Calculation_Q: 
Calculation_A: q-&gt;a CumPer(L_trg223r15_q&gt;mdb)
Periodicity: Q
Data available M: 1990m3 - 2023m9
Data available Q: 1990q1 - 2023q3
Data available A: 1990 - 2022
Text 99: 
Automatic update period: 1999|2015
Time shift: 
Note: wiiw calc. Reihe with real growth rate
Reporter: TR - Turkey
Chapter 1: 02_NA - National accounts
Indicator: SC0214 - Government final consumption expenditure
Unit: 01_Curr_15_085_15_r - NCU m, 2015 reference prices (prev. year prices, incl. 'euro fixed' series)
Footnote 1: FZZ90 - wiiw estimates.
Footnote 2:  - 
Footnote 3:  - 
Footnote 4:  - 
Source 1: QTR1 - Turkish Statistical Institute
Source 2: Z_wiiw - wiiw
Source 3:  - 
</t>
        </r>
      </text>
    </comment>
    <comment ref="M8" authorId="1" shapeId="0" xr:uid="{64C869F0-0F10-4A55-8650-56143DF75B2A}">
      <text>
        <r>
          <rPr>
            <sz val="9"/>
            <color indexed="81"/>
            <rFont val="Segoe UI"/>
            <family val="2"/>
          </rPr>
          <t xml:space="preserve">ID: 90947
Label: trg224r15_q
Database: wiiw Monthly Database - Public
Status: active
Calculation: SubScal(CPPY=100(L_trg224r15_q&gt;mdb),100)
Calculation_M: q-&gt;m EOP(L_trg224r15_q&gt;mdb)
Calculation_Q: 
Calculation_A: q-&gt;a CumPer(L_trg224r15_q&gt;mdb)
Periodicity: Q
Data available M: 1990m3 - 2023m9
Data available Q: 1990q1 - 2023q3
Data available A: 1990 - 2022
Text 99: 
Automatic update period: 1999|2015
Time shift: 
Note: wiiw calc. Reihe with real growth rate
Reporter: TR - Turkey
Chapter 1: 02_NA - National accounts
Indicator: SC0217 - Gross capital formation
Unit: 01_Curr_15_085_15_r - NCU m, 2015 reference prices (prev. year prices, incl. 'euro fixed' series)
Footnote 1: FZZ90 - wiiw estimates.
Footnote 2:  - 
Footnote 3:  - 
Footnote 4:  - 
Source 1: QTR1 - Turkish Statistical Institute
Source 2: Z_wiiw - wiiw
Source 3:  - 
</t>
        </r>
      </text>
    </comment>
    <comment ref="N8" authorId="1" shapeId="0" xr:uid="{112213D5-65B9-4891-BB75-9E06882B6E60}">
      <text>
        <r>
          <rPr>
            <sz val="9"/>
            <color indexed="81"/>
            <rFont val="Segoe UI"/>
            <family val="2"/>
          </rPr>
          <t xml:space="preserve">ID: 90991
Label: trg228r15_q
Database: wiiw Monthly Database - Public
Status: active
Calculation: SubScal(CPPY=100(L_trg228r15_q&gt;mdb),100)
Calculation_M: q-&gt;m EOP(L_trg228r15_q&gt;mdb)
Calculation_Q: 
Calculation_A: q-&gt;a CumPer(L_trg228r15_q&gt;mdb)
Periodicity: Q
Data available M: 1990m3 - 2023m9
Data available Q: 1990q1 - 2023q3
Data available A: 1990 - 2022
Text 99: 
Automatic update period: 1999|2015
Time shift: 
Note: wiiw calc. Reihe with real growth rate
Reporter: TR - Turkey
Chapter 1: 02_NA - National accounts
Indicator: SC0221 - Exports of goods and services
Unit: 01_Curr_15_085_15_r - NCU m, 2015 reference prices (prev. year prices, incl. 'euro fixed' series)
Footnote 1: FZZ90 - wiiw estimates.
Footnote 2:  - 
Footnote 3:  - 
Footnote 4:  - 
Source 1: QTR1 - Turkish Statistical Institute
Source 2: Z_wiiw - wiiw
Source 3:  - 
</t>
        </r>
      </text>
    </comment>
    <comment ref="O8" authorId="1" shapeId="0" xr:uid="{742E2B2B-2046-4516-B9FD-ADDB543EED34}">
      <text>
        <r>
          <rPr>
            <sz val="9"/>
            <color indexed="81"/>
            <rFont val="Segoe UI"/>
            <family val="2"/>
          </rPr>
          <t xml:space="preserve">ID: 91013
Label: trg229r15_q
Database: wiiw Monthly Database - Public
Status: active
Calculation: SubScal(CPPY=100(L_trg229r15_q&gt;mdb),100)
Calculation_M: q-&gt;m EOP(L_trg229r15_q&gt;mdb)
Calculation_Q: 
Calculation_A: q-&gt;a CumPer(L_trg229r15_q&gt;mdb)
Periodicity: Q
Data available M: 1990m3 - 2023m9
Data available Q: 1990q1 - 2023q3
Data available A: 1990 - 2022
Text 99: 
Automatic update period: 1999|2015
Time shift: 
Note: wiiw calc. Reihe with real growth rate
Reporter: TR - Turkey
Chapter 1: 02_NA - National accounts
Indicator: SC0222 - Imports of goods and services
Unit: 01_Curr_15_085_15_r - NCU m, 2015 reference prices (prev. year prices, incl. 'euro fixed' series)
Footnote 1: FZZ90 - wiiw estimates.
Footnote 2:  - 
Footnote 3:  - 
Footnote 4:  - 
Source 1: QTR1 - Turkish Statistical Institute
Source 2: Z_wiiw - wiiw
Source 3:  - 
</t>
        </r>
      </text>
    </comment>
    <comment ref="P8" authorId="1" shapeId="0" xr:uid="{8AF6582F-DC48-422D-A2AD-2C6910AF58DA}">
      <text>
        <r>
          <rPr>
            <sz val="9"/>
            <color indexed="81"/>
            <rFont val="Segoe UI"/>
            <family val="2"/>
          </rPr>
          <t xml:space="preserve">ID: 32656
Label: tre51_ta_q
Database: wiiw Monthly Database - Public
Status: active
Calculation: 
Calculation_M: q-&gt;m EOP(L_tre51_ta_q&gt;mdb)
Calculation_Q: 
Calculation_A: q-&gt;a AVG(L_tre51_ta_q&gt;mdb)
Periodicity: Q
Data available M: 1990m6 - 2023m9
Data available Q: 1990q2 - 2023q3
Data available A: 2000 - 2022
Text 99: 
Automatic update period: 1999|2015
Time shift: 
Note: 
Reporter: TR - Turkey
Chapter 1: 05_LAB - Labour market
Indicator: SC0501 - Employment, LFS
Unit: 02_Pers_11 - th persons, period average
Footnote 1: FZZ09 - From 2021 new methodology in line with the Integrated European Social Statistics Regulation (IESS).
Footnote 2: FTR05 - Break 2004/2005 - from 2005 based on 2008 population projections.
Footnote 3:  - 
Footnote 4:  - 
Source 1: QTR1 - Turkish Statistical Institute
Source 2:  - 
Source 3:  - 
</t>
        </r>
      </text>
    </comment>
    <comment ref="Q8" authorId="1" shapeId="0" xr:uid="{E2354D89-601A-430C-AE44-4875B43E4787}">
      <text>
        <r>
          <rPr>
            <sz val="9"/>
            <color indexed="81"/>
            <rFont val="Segoe UI"/>
            <family val="2"/>
          </rPr>
          <t xml:space="preserve">ID: 32686
Label: tre5u_ta_q
Database: wiiw Monthly Database - Public
Status: active
Calculation: 
Calculation_M: q-&gt;m EOP(L_tre5u_ta_q&gt;mdb)
Calculation_Q: 
Calculation_A: q-&gt;a AVG(L_tre5u_ta_q&gt;mdb)
Periodicity: Q
Data available M: 1990m6 - 2023m9
Data available Q: 1990q2 - 2023q3
Data available A: 2000 - 2022
Text 99: 
Automatic update period: 1999|2015
Time shift: 
Note: 
Reporter: TR - Turkey
Chapter 1: 05_LAB - Labour market
Indicator: SC0507 - Unemployment, LFS
Unit: 02_Pers_11 - th persons, period average
Footnote 1: FZZ09 - From 2021 new methodology in line with the Integrated European Social Statistics Regulation (IESS).
Footnote 2: FTR05 - Break 2004/2005 - from 2005 based on 2008 population projections.
Footnote 3:  - 
Footnote 4:  - 
Source 1: QTR1 - Turkish Statistical Institute
Source 2:  - 
Source 3:  - 
</t>
        </r>
      </text>
    </comment>
    <comment ref="R8" authorId="1" shapeId="0" xr:uid="{21C78C7A-7116-4B9C-BDAE-24258BC78C77}">
      <text>
        <r>
          <rPr>
            <sz val="9"/>
            <color indexed="81"/>
            <rFont val="Segoe UI"/>
            <family val="2"/>
          </rPr>
          <t xml:space="preserve">ID: 32703
Label: tre5u_tp_q
Database: wiiw Monthly Database - Public
Status: active
Calculation: 
Calculation_M: q-&gt;m EOP(L_tre5u_tp_q&gt;mdb)
Calculation_Q: 
Calculation_A: MulScal(Div(L_tre5u_ta_q&gt;mdb,Add(L_tre5u_ta_q&gt;mdb,L_tre51_ta_q&gt;mdb)),100)
Periodicity: Q
Data available M: 1990m6 - 2023m9
Data available Q: 1990q2 - 2023q3
Data available A: 2000 - 2022
Text 99: 
Automatic update period: 1999|2015
Time shift: 
Note: 
Reporter: TR - Turkey
Chapter 1: 05_LAB - Labour market
Indicator: SC0508 - Unemployment rate, LFS
Unit: 02_Pers_21 - in %, period average
Footnote 1: FZZ09 - From 2021 new methodology in line with the Integrated European Social Statistics Regulation (IESS).
Footnote 2: FTR05 - Break 2004/2005 - from 2005 based on 2008 population projections.
Footnote 3:  - 
Footnote 4:  - 
Source 1: QTR1 - Turkish Statistical Institute
Source 2:  - 
Source 3:  - 
</t>
        </r>
      </text>
    </comment>
    <comment ref="S8" authorId="1" shapeId="0" xr:uid="{2B64EE29-A5D4-4532-BA2A-ABAAD6B6A8BB}">
      <text>
        <r>
          <rPr>
            <sz val="9"/>
            <color indexed="81"/>
            <rFont val="Segoe UI"/>
            <family val="2"/>
          </rPr>
          <t xml:space="preserve">ID: 85711
Label: trw1211tccx_q
Database: wiiw Monthly Database - Public
Status: active
Calculation: SubScal(L_trw1211tccx_q&gt;mdb,100)
Calculation_M: q-&gt;m EOP(L_trw1211tccx_q&gt;mdb)
Calculation_Q: CPPY=100(L_trw1211tsa_q&gt;mdb)
Calculation_A: CPPY=100(L_trw1211tsa_q&gt;mdb)
Periodicity: Q
Data available M: 2006m3 - 2023m9
Data available Q: 2006q1 - 2023q3
Data available A: 2006 - 2022
Text 99: 
Automatic update period: 1999|2015
Time shift: 
Note: 
Reporter: TR - Turkey
Chapter 1: 06_WS - Wages
Indicator: SC0602 - Average monthly gross wages in industry (BCD - NACE Rev. 2)
Unit: 04_Inom_32 - index nominal, corresponding period of previous year = 100
Footnote 1:  - 
Footnote 2:  - 
Footnote 3:  - 
Footnote 4:  - 
Source 1: QTR1 - Turkish Statistical Institute
Source 2: Z_wiiw - wiiw
Source 3:  - 
</t>
        </r>
      </text>
    </comment>
    <comment ref="T8" authorId="1" shapeId="0" xr:uid="{63EBE13E-FEF2-4C82-9A55-ED0DFF873B8D}">
      <text>
        <r>
          <rPr>
            <sz val="9"/>
            <color indexed="81"/>
            <rFont val="Segoe UI"/>
            <family val="2"/>
          </rPr>
          <t xml:space="preserve">ID: 32455
Label: trfrr1tp
Database: wiiw Monthly Database - Public
Status: active
Calculation: 
Calculation_M: 
Calculation_Q: m-&gt;q EOP(L_trfrr1tp&gt;mdb)
Calculation_A: q-&gt;a EOP(L_trfrr1tp&gt;mdb)
Periodicity: Q
Data available M: 2000m1 - 2023m12
Data available Q: 2000q1 - 2023q4
Data available A: 2000 - 2023
Text 99: 
Automatic update period: 1999|2015
Time shift: 
Note: 
Reporter: TR - Turkey
Chapter 1: 10_DF - Domestic finance
Indicator: SC1050 - Central bank policy rate
Unit: 06_IntR_1 - % p.a., end of period
Footnote 1: FTR25 - From January 2010 one-week repo rate, overnight lending rate before.
Footnote 2:  - 
Footnote 3:  - 
Footnote 4:  - 
Source 1: QTR2 - Central Bank of Turkey
Source 2:  - 
Source 3:  - 
</t>
        </r>
      </text>
    </comment>
    <comment ref="U8" authorId="1" shapeId="0" xr:uid="{939B2D08-36E9-4814-9963-17573E4EA8B2}">
      <text>
        <r>
          <rPr>
            <sz val="9"/>
            <color indexed="81"/>
            <rFont val="Segoe UI"/>
            <family val="2"/>
          </rPr>
          <t xml:space="preserve">ID: 32771
Label: trp1p1tsa
Database: wiiw Monthly Database - Public
Status: active
Calculation: 
Calculation_M: 
Calculation_Q: m-&gt;q AVG(L_trp1p1tsa&gt;mdb)
Calculation_A: q-&gt;a AVG(L_trp1p1tsa&gt;mdb)
Periodicity: Q
Data available M: 1999m1 - 2023m12
Data available Q: 1999q1 - 2023q4
Data available A: 1999 - 2023
Text 99: 
Automatic update period: 1999|2015
Time shift: 
Note: 
Reporter: TR - Turkey
Chapter 1: 07_PRC - Prices
Indicator: SC0701 - Consumer prices
Unit: 03_I_1_085_15avg - index, monthly average, 2015 = 100
Footnote 1:  - 
Footnote 2:  - 
Footnote 3:  - 
Footnote 4:  - 
Source 1: Z_ESTAT - Eurostat
Source 2:  - 
Source 3:  - 
</t>
        </r>
      </text>
    </comment>
    <comment ref="V8" authorId="1" shapeId="0" xr:uid="{3056A227-FB2B-442B-8ADC-7A56D7173BC3}">
      <text>
        <r>
          <rPr>
            <sz val="9"/>
            <color indexed="81"/>
            <rFont val="Segoe UI"/>
            <family val="2"/>
          </rPr>
          <t xml:space="preserve">ID: 51741
Label: trp2xea
Database: wiiw Monthly Database - Public
Status: active
Calculation: 
Calculation_M: 
Calculation_Q: m-&gt;q AVG(L_trp2xea&gt;mdb)
Calculation_A: q-&gt;a AVG(L_trp2xea&gt;mdb)
Periodicity: Q
Data available M: 1990m1 - 2023m12
Data available Q: 1990q1 - 2023q4
Data available A: 1990 - 2023
Text 99: 
Automatic update period: 1999|2015
Time shift: 
Note: 
Reporter: TR - Turkey
Chapter 1: 11_FF - Foreign finance
Indicator: SC1107 - Exchange rate nominal
Unit: 07_Exch_12 - NCU/EUR, period average
Footnote 1: FZZ21 - Up to December 1998 ECU.
Footnote 2:  - 
Footnote 3:  - 
Footnote 4:  - 
Source 1: Z_ESTAT - Eurostat
Source 2:  - 
Source 3:  - 
</t>
        </r>
      </text>
    </comment>
    <comment ref="W8" authorId="1" shapeId="0" xr:uid="{AE81E7FA-C3C4-435A-BA80-13F267DBCC7A}">
      <text>
        <r>
          <rPr>
            <sz val="9"/>
            <color indexed="81"/>
            <rFont val="Segoe UI"/>
            <family val="2"/>
          </rPr>
          <t xml:space="preserve">ID: 32886
Label: tra1211tscx
Database: wiiw Monthly Database - Public
Status: active
Calculation: SubScal(L_tra1211tscx&gt;mdb,100)
Calculation_M: CPPY=100(L_tra1211tsa&gt;mdb)
Calculation_Q: CPPY=100(L_tra1211tsa&gt;mdb)
Calculation_A: CPPY=100(L_tra1211tsa&gt;mdb)
Periodicity: Q
Data available M: 2001m1 - 2023m11
Data available Q: 2001q1 - 2023q3
Data available A: 2001 - 2022
Text 99: 
Automatic update period: 1999|2015
Time shift: 
Note: 
Reporter: TR - Turkey
Chapter 1: 04_PROD - Production
Indicator: SC0401 - Industrial output (BCD - NACE Rev. 2)
Unit: 05_Ireal_32 - index real, corresponding period of previous year = 100
Footnote 1:  - 
Footnote 2:  - 
Footnote 3:  - 
Footnote 4:  - 
Source 1: Z_ESTAT - Eurostat
Source 2: Z_wiiw - wiiw
Source 3:  - 
</t>
        </r>
      </text>
    </comment>
    <comment ref="X8" authorId="1" shapeId="0" xr:uid="{BA5E0CB1-6CE9-43EE-B1E9-6D9A89E41709}">
      <text>
        <r>
          <rPr>
            <sz val="9"/>
            <color indexed="81"/>
            <rFont val="Segoe UI"/>
            <family val="2"/>
          </rPr>
          <t xml:space="preserve">ID: 87283
Label: trlago2e_q
Database: wiiw Monthly Database - Hidden
Status: active
Calculation: SubScal(CPPY=100(AddNull(L_trlago2e_q&gt;mdb,L_trlase2e_q&gt;mdb)),100)
Calculation_M: q-&gt;m EOP(L_trlago2e_q&gt;mdb)
Calculation_Q: 
Calculation_A: Q-&gt;A CUMPER(L_trlago2e_q&gt;mdb)
Periodicity: Q
Data available M: 2010m3 - 2023m9
Data available Q: 2010q1 - 2023q3
Data available A: 2010 - 2022
Text 99: 
Automatic update period: 1999|2015
Time shift: 
Note: 
Reporter: TR - Turkey
Chapter 1: 11_FF - Foreign finance
Indicator: SC1111 - 1.A.a. Goods exports, fob, credit
Unit: 01_Curr_23 - EUR m
Footnote 1: FZZ80 - Based on BPM6.
Footnote 2:  - 
Footnote 3:  - 
Footnote 4:  - 
Source 1: Z_ESTAT - Eurostat
Source 2:  - 
Source 3:  - 
</t>
        </r>
      </text>
    </comment>
    <comment ref="Y8" authorId="1" shapeId="0" xr:uid="{F90C22AE-7CC2-4361-947F-21C1B51217F2}">
      <text>
        <r>
          <rPr>
            <sz val="9"/>
            <color indexed="81"/>
            <rFont val="Segoe UI"/>
            <family val="2"/>
          </rPr>
          <t xml:space="preserve">ID: 87320
Label: trlago3e_q
Database: wiiw Monthly Database - Hidden
Status: active
Calculation: SubScal(CPPY=100(AddNull(L_trlago3e_q&gt;mdb,L_trlase3e_q&gt;mdb)),100)
Calculation_M: q-&gt;m EOP(L_trlago3e_q&gt;mdb)
Calculation_Q: 
Calculation_A: Q-&gt;A CUMPER(L_trlago3e_q&gt;mdb)
Periodicity: Q
Data available M: 2010m3 - 2023m9
Data available Q: 2010q1 - 2023q3
Data available A: 2010 - 2022
Text 99: 
Automatic update period: 1999|2015
Time shift: 
Note: 
Reporter: TR - Turkey
Chapter 1: 11_FF - Foreign finance
Indicator: SC1112 - 1.A.a. Goods imports, fob, debit
Unit: 01_Curr_23 - EUR m
Footnote 1: FZZ80 - Based on BPM6.
Footnote 2:  - 
Footnote 3:  - 
Footnote 4:  - 
Source 1: Z_ESTAT - Eurostat
Source 2:  - 
Source 3:  - 
</t>
        </r>
      </text>
    </comment>
    <comment ref="Z8" authorId="1" shapeId="0" xr:uid="{2C246DFE-911A-435D-BB93-68EF27F2CC19}">
      <text>
        <r>
          <rPr>
            <sz val="9"/>
            <color indexed="81"/>
            <rFont val="Segoe UI"/>
            <family val="2"/>
          </rPr>
          <t xml:space="preserve">ID: 88755
Label: trlacaepx_q
Database: wiiw Monthly Database - Public
Status: active
Calculation: 
Calculation_M: Q-&gt;M EOP(L_trlacaepx_q&gt;mdb)
Calculation_Q: Share(L_trlacaen_q&gt;mdb,Div(L_trg11tn_q&gt;mdb,L_trp2xea&gt;mdb))
Calculation_A: Share(L_trlacaen_q&gt;mdb,Div(L_trg11tn_q&gt;mdb,L_trp2xea&gt;mdb))
Periodicity: Q
Data available M: 1993m3 - 2023m9
Data available Q: 1993q1 - 2023q3
Data available A: 1993 - 2022
Text 99: 
Automatic update period: 1999|2015
Time shift: 
Note: 
Reporter: TR - Turkey
Chapter 1: 11_FF - Foreign finance
Indicator: SC1101 - Current account
Unit: 09_Share_%gdp - in % of GDP
Footnote 1: FTR30 - From 2010 based on BPM6.
Footnote 2:  - 
Footnote 3:  - 
Footnote 4:  - 
Source 1: Z_ESTAT - Eurostat
Source 2: Z_wiiw - wiiw
Source 3:  - 
</t>
        </r>
      </text>
    </comment>
    <comment ref="AA8" authorId="1" shapeId="0" xr:uid="{B8A83C80-C2B9-4D6B-A899-93A664F4D8B5}">
      <text>
        <r>
          <rPr>
            <sz val="9"/>
            <color indexed="81"/>
            <rFont val="Segoe UI"/>
            <family val="2"/>
          </rPr>
          <t xml:space="preserve">ID: 90353
Label: trg222px_q
Database: wiiw Monthly Database - Public
Status: active
Calculation: AddNull(L_trg222px_q&gt;mdb,L_trg22zpx_q&gt;mdb)
Calculation_M: Q-&gt;M EOP(L_trg222px_q&gt;mdb)
Calculation_Q: Share(L_trg222n_q&gt;mdb,L_trg11tzn_q&gt;mdb)
Calculation_A: Share(L_trg222n_q&gt;mdb,L_trg11tzn_q&gt;mdb)
Periodicity: Q
Data available M: 1990m3 - 2023m9
Data available Q: 1990q1 - 2023q3
Data available A: 1990 - 2022
Text 99: 
Automatic update period: 1999|2015
Time shift: 
Note: 
Reporter: TR - Turkey
Chapter 1: 02_NA - National accounts
Indicator: SC0212 - Household final consumption expenditure
Unit: 09_Share_%gdp - in % of GDP
Footnote 1:  - 
Footnote 2:  - 
Footnote 3:  - 
Footnote 4:  - 
Source 1: QTR1 - Turkish Statistical Institute
Source 2: Z_wiiw - wiiw
Source 3:  - 
</t>
        </r>
      </text>
    </comment>
    <comment ref="AB8" authorId="1" shapeId="0" xr:uid="{74FA4FB3-6957-4930-84E2-4EE2DE9AC2DF}">
      <text>
        <r>
          <rPr>
            <sz val="9"/>
            <color indexed="81"/>
            <rFont val="Segoe UI"/>
            <family val="2"/>
          </rPr>
          <t xml:space="preserve">ID: 90397
Label: trg223px_q
Database: wiiw Monthly Database - Public
Status: active
Calculation: 
Calculation_M: Q-&gt;M EOP(L_trg223px_q&gt;mdb)
Calculation_Q: Share(L_trg223n_q&gt;mdb,L_trg11tzn_q&gt;mdb)
Calculation_A: Share(L_trg223n_q&gt;mdb,L_trg11tzn_q&gt;mdb)
Periodicity: Q
Data available M: 1990m3 - 2023m9
Data available Q: 1990q1 - 2023q3
Data available A: 1990 - 2022
Text 99: 
Automatic update period: 1999|2015
Time shift: 
Note: 
Reporter: TR - Turkey
Chapter 1: 02_NA - National accounts
Indicator: SC0214 - Government final consumption expenditure
Unit: 09_Share_%gdp - in % of GDP
Footnote 1:  - 
Footnote 2:  - 
Footnote 3:  - 
Footnote 4:  - 
Source 1: QTR1 - Turkish Statistical Institute
Source 2: Z_wiiw - wiiw
Source 3:  - 
</t>
        </r>
      </text>
    </comment>
    <comment ref="AC8" authorId="1" shapeId="0" xr:uid="{72B86FD7-4941-40E3-85A1-33DECD68BDBC}">
      <text>
        <r>
          <rPr>
            <sz val="9"/>
            <color indexed="81"/>
            <rFont val="Segoe UI"/>
            <family val="2"/>
          </rPr>
          <t xml:space="preserve">ID: 90419
Label: trg224px_q
Database: wiiw Monthly Database - Public
Status: active
Calculation: 
Calculation_M: Q-&gt;M EOP(L_trg224px_q&gt;mdb)
Calculation_Q: Share(L_trg224n_q&gt;mdb,L_trg11tzn_q&gt;mdb)
Calculation_A: Share(L_trg224n_q&gt;mdb,L_trg11tzn_q&gt;mdb)
Periodicity: Q
Data available M: 1990m3 - 2023m9
Data available Q: 1990q1 - 2023q3
Data available A: 1990 - 2022
Text 99: 
Automatic update period: 1999|2015
Time shift: 
Note: 
Reporter: TR - Turkey
Chapter 1: 02_NA - National accounts
Indicator: SC0217 - Gross capital formation
Unit: 09_Share_%gdp - in % of GDP
Footnote 1:  - 
Footnote 2:  - 
Footnote 3:  - 
Footnote 4:  - 
Source 1: QTR1 - Turkish Statistical Institute
Source 2: Z_wiiw - wiiw
Source 3:  - 
</t>
        </r>
      </text>
    </comment>
    <comment ref="AD8" authorId="1" shapeId="0" xr:uid="{8C33EC6E-6F0F-41AD-B04D-2E3DE2AB2DF9}">
      <text>
        <r>
          <rPr>
            <sz val="9"/>
            <color indexed="81"/>
            <rFont val="Segoe UI"/>
            <family val="2"/>
          </rPr>
          <t xml:space="preserve">ID: 90507
Label: trg228px_q
Database: wiiw Monthly Database - Public
Status: active
Calculation: 
Calculation_M: Q-&gt;M EOP(L_trg228px_q&gt;mdb)
Calculation_Q: Share(L_trg228n_q&gt;mdb,L_trg11tzn_q&gt;mdb)
Calculation_A: Share(L_trg228n_q&gt;mdb,L_trg11tzn_q&gt;mdb)
Periodicity: Q
Data available M: 1990m3 - 2023m9
Data available Q: 1990q1 - 2023q3
Data available A: 1990 - 2022
Text 99: 
Automatic update period: 1999|2015
Time shift: 
Note: 
Reporter: TR - Turkey
Chapter 1: 02_NA - National accounts
Indicator: SC0221 - Exports of goods and services
Unit: 09_Share_%gdp - in % of GDP
Footnote 1:  - 
Footnote 2:  - 
Footnote 3:  - 
Footnote 4:  - 
Source 1: QTR1 - Turkish Statistical Institute
Source 2: Z_wiiw - wiiw
Source 3:  - 
</t>
        </r>
      </text>
    </comment>
    <comment ref="AE8" authorId="1" shapeId="0" xr:uid="{7AA5804A-FD5C-430D-A5F4-EA5F8C2F9727}">
      <text>
        <r>
          <rPr>
            <sz val="9"/>
            <color indexed="81"/>
            <rFont val="Segoe UI"/>
            <family val="2"/>
          </rPr>
          <t xml:space="preserve">ID: 90529
Label: trg229px_q
Database: wiiw Monthly Database - Public
Status: active
Calculation: 
Calculation_M: Q-&gt;M EOP(L_trg229px_q&gt;mdb)
Calculation_Q: Share(L_trg229n_q&gt;mdb,L_trg11tzn_q&gt;mdb)
Calculation_A: Share(L_trg229n_q&gt;mdb,L_trg11tzn_q&gt;mdb)
Periodicity: Q
Data available M: 1990m3 - 2023m9
Data available Q: 1990q1 - 2023q3
Data available A: 1990 - 2022
Text 99: 
Automatic update period: 1999|2015
Time shift: 
Note: 
Reporter: TR - Turkey
Chapter 1: 02_NA - National accounts
Indicator: SC0222 - Imports of goods and services
Unit: 09_Share_%gdp - in % of GDP
Footnote 1:  - 
Footnote 2:  - 
Footnote 3:  - 
Footnote 4:  - 
Source 1: QTR1 - Turkish Statistical Institute
Source 2: Z_wiiw - wiiw
Source 3:  - 
</t>
        </r>
      </text>
    </comment>
    <comment ref="AF8" authorId="1" shapeId="0" xr:uid="{71F63B62-211B-4B01-A05E-BD48E4341A99}">
      <text>
        <r>
          <rPr>
            <sz val="9"/>
            <color indexed="81"/>
            <rFont val="Segoe UI"/>
            <family val="2"/>
          </rPr>
          <t xml:space="preserve">ID: 89627
Label: trfls14scx
Database: wiiw Monthly Database - Public
Status: active
Calculation: SubScal(L_trfls14scx&gt;mdb,100)
Calculation_M: CPPY=100(L_trfls14e&gt;mdb)
Calculation_Q: M-&gt;Q EOP(L_trfls14scx&gt;mdb)
Calculation_A: Q-&gt;A EOP(L_trfls14scx&gt;mdb)
Periodicity: Q
Data available M: 2001m1 - 2023m10
Data available Q: 2001q1 - 2023q3
Data available A: 2001 - 2022
Text 99: 
Automatic update period: 1999|2015
Time shift: 
Note: 
Reporter: TR - Turkey
Chapter 1: 10_DF - Domestic finance
Indicator: SC1066 - Loans households (S14)
Unit: 04_Inom_32 - index nominal, corresponding period of previous year = 100
Footnote 1:  - 
Footnote 2:  - 
Footnote 3:  - 
Footnote 4:  - 
Source 1: QTR2 - Central Bank of Turkey
Source 2: Z_wiiw - wiiw
Source 3:  - 
</t>
        </r>
      </text>
    </comment>
    <comment ref="AG8" authorId="1" shapeId="0" xr:uid="{547F3BFB-ADBF-44EC-A9E5-ED7FF6E51D4A}">
      <text>
        <r>
          <rPr>
            <sz val="9"/>
            <color indexed="81"/>
            <rFont val="Segoe UI"/>
            <family val="2"/>
          </rPr>
          <t xml:space="preserve">ID: 144787
Label: trbgdtpx_help_q
Database: wiiw Monthly Database - Hidden
Status: active
Calculation: 
Calculation_M: q-&gt;m EOP(L_trbgdtpx_help_q&gt;mdb)
Calculation_Q: Share(L_trbgdtn_help_q&gt;mdb,L_trg11tnx_help_q&gt;mdb)
Calculation_A: q-&gt;a EOP(L_trbgdtpx_help_q&gt;mdb)
Periodicity: Q
Data available M: 2006m3 - 2023m6
Data available Q: 2006q1 - 2023q2
Data available A: 2006 - 2022
Text 99: 
Automatic update period: 1999|2015
Time shift: 
Note: 
Reporter: TR - Turkey
Chapter 1: 10_DF - Domestic finance
Indicator: SC1009 - General government gross debt, total
Unit: 09_Share_%gdp - in % of GDP
Footnote 1:  - 
Footnote 2:  - 
Footnote 3:  - 
Footnote 4:  - 
Source 1: QTR1 - Turkish Statistical Institute
Source 2: Z_wiiw - wiiw
Source 3:  - 
</t>
        </r>
      </text>
    </comment>
    <comment ref="G101" authorId="0" shapeId="0" xr:uid="{6495B5ED-44B8-42C8-A229-31BD2771B765}">
      <text>
        <r>
          <rPr>
            <b/>
            <sz val="9"/>
            <color indexed="81"/>
            <rFont val="Tahoma"/>
            <family val="2"/>
          </rPr>
          <t>BJ:</t>
        </r>
        <r>
          <rPr>
            <sz val="9"/>
            <color indexed="81"/>
            <rFont val="Tahoma"/>
            <family val="2"/>
          </rPr>
          <t xml:space="preserve">
from the budget for 2022</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BJ</author>
    <author>Alexandra Bykova</author>
  </authors>
  <commentList>
    <comment ref="B1" authorId="0" shapeId="0" xr:uid="{888D3EBA-4C15-426D-A78C-D2E23CBACED2}">
      <text>
        <r>
          <rPr>
            <b/>
            <sz val="9"/>
            <color indexed="81"/>
            <rFont val="Tahoma"/>
            <family val="2"/>
          </rPr>
          <t>BJ:</t>
        </r>
        <r>
          <rPr>
            <sz val="9"/>
            <color indexed="81"/>
            <rFont val="Tahoma"/>
            <family val="2"/>
          </rPr>
          <t xml:space="preserve">
EU 27, seasonally and calendar adjusted
Eurostat</t>
        </r>
      </text>
    </comment>
    <comment ref="C1" authorId="0" shapeId="0" xr:uid="{02AF7D56-BC34-4A12-986B-2CB99A23AAFA}">
      <text>
        <r>
          <rPr>
            <b/>
            <sz val="9"/>
            <color indexed="81"/>
            <rFont val="Tahoma"/>
            <family val="2"/>
          </rPr>
          <t>BJ:</t>
        </r>
        <r>
          <rPr>
            <sz val="9"/>
            <color indexed="81"/>
            <rFont val="Tahoma"/>
            <family val="2"/>
          </rPr>
          <t xml:space="preserve">
Eurostat</t>
        </r>
      </text>
    </comment>
    <comment ref="D1" authorId="0" shapeId="0" xr:uid="{101B69EE-6645-4CE7-AB48-06CD106687FC}">
      <text>
        <r>
          <rPr>
            <b/>
            <sz val="9"/>
            <color indexed="81"/>
            <rFont val="Tahoma"/>
            <family val="2"/>
          </rPr>
          <t>BJ:</t>
        </r>
        <r>
          <rPr>
            <sz val="9"/>
            <color indexed="81"/>
            <rFont val="Tahoma"/>
            <family val="2"/>
          </rPr>
          <t xml:space="preserve">
EU changing composition
Eurostat</t>
        </r>
      </text>
    </comment>
    <comment ref="E1" authorId="0" shapeId="0" xr:uid="{B556BCAB-B50D-4721-B3BA-8242B5CBC42A}">
      <text>
        <r>
          <rPr>
            <b/>
            <sz val="9"/>
            <color indexed="81"/>
            <rFont val="Tahoma"/>
            <family val="2"/>
          </rPr>
          <t>BJ:</t>
        </r>
        <r>
          <rPr>
            <sz val="9"/>
            <color indexed="81"/>
            <rFont val="Tahoma"/>
            <family val="2"/>
          </rPr>
          <t xml:space="preserve">
ECB</t>
        </r>
      </text>
    </comment>
    <comment ref="F1" authorId="0" shapeId="0" xr:uid="{D23E09F9-4C8E-4C79-87AB-AE508068A99E}">
      <text>
        <r>
          <rPr>
            <b/>
            <sz val="9"/>
            <color indexed="81"/>
            <rFont val="Tahoma"/>
            <family val="2"/>
          </rPr>
          <t>BJ:</t>
        </r>
        <r>
          <rPr>
            <sz val="9"/>
            <color indexed="81"/>
            <rFont val="Tahoma"/>
            <family val="2"/>
          </rPr>
          <t xml:space="preserve">
Crude oil, average, from WB pink sheets
in USD</t>
        </r>
      </text>
    </comment>
    <comment ref="G1" authorId="0" shapeId="0" xr:uid="{4D56B32A-395A-4935-9CCB-EFE99392F022}">
      <text>
        <r>
          <rPr>
            <b/>
            <sz val="9"/>
            <color indexed="81"/>
            <rFont val="Tahoma"/>
            <family val="2"/>
          </rPr>
          <t>BJ:</t>
        </r>
        <r>
          <rPr>
            <sz val="9"/>
            <color indexed="81"/>
            <rFont val="Tahoma"/>
            <family val="2"/>
          </rPr>
          <t xml:space="preserve">
nominal, in NCU
yoy growth</t>
        </r>
      </text>
    </comment>
    <comment ref="H1" authorId="0" shapeId="0" xr:uid="{08552915-EC71-4F7D-8965-C803A2BDA285}">
      <text>
        <r>
          <rPr>
            <b/>
            <sz val="9"/>
            <color indexed="81"/>
            <rFont val="Tahoma"/>
            <family val="2"/>
          </rPr>
          <t>BJ:</t>
        </r>
        <r>
          <rPr>
            <sz val="9"/>
            <color indexed="81"/>
            <rFont val="Tahoma"/>
            <family val="2"/>
          </rPr>
          <t xml:space="preserve">
General gov. budget - revenues NCU m (incl. 'euro fixed' series)
yoy growth
wiiw</t>
        </r>
      </text>
    </comment>
    <comment ref="I1" authorId="0" shapeId="0" xr:uid="{EE479978-1FB6-49EF-BC14-BF2B48AFC5C3}">
      <text>
        <r>
          <rPr>
            <b/>
            <sz val="9"/>
            <color indexed="81"/>
            <rFont val="Tahoma"/>
            <family val="2"/>
          </rPr>
          <t>BJ:</t>
        </r>
        <r>
          <rPr>
            <sz val="9"/>
            <color indexed="81"/>
            <rFont val="Tahoma"/>
            <family val="2"/>
          </rPr>
          <t xml:space="preserve">
General gov. budget - balance
 in % of GDP
wiiw</t>
        </r>
      </text>
    </comment>
    <comment ref="J1" authorId="0" shapeId="0" xr:uid="{2B5497E1-7D16-4066-BF27-E6E4AED3B4DF}">
      <text>
        <r>
          <rPr>
            <b/>
            <sz val="9"/>
            <color indexed="81"/>
            <rFont val="Tahoma"/>
            <family val="2"/>
          </rPr>
          <t>BJ:</t>
        </r>
        <r>
          <rPr>
            <sz val="9"/>
            <color indexed="81"/>
            <rFont val="Tahoma"/>
            <family val="2"/>
          </rPr>
          <t xml:space="preserve">
For all GDP: 
real yoy growth rates
wiiw</t>
        </r>
      </text>
    </comment>
    <comment ref="K1" authorId="0" shapeId="0" xr:uid="{6006194C-D87C-4CEC-9251-F6FB892780C4}">
      <text>
        <r>
          <rPr>
            <b/>
            <sz val="9"/>
            <color indexed="81"/>
            <rFont val="Tahoma"/>
            <family val="2"/>
          </rPr>
          <t>BJ:</t>
        </r>
        <r>
          <rPr>
            <sz val="9"/>
            <color indexed="81"/>
            <rFont val="Tahoma"/>
            <family val="2"/>
          </rPr>
          <t xml:space="preserve">
Households</t>
        </r>
      </text>
    </comment>
    <comment ref="M1" authorId="0" shapeId="0" xr:uid="{47A2874C-FC2E-4C25-938F-147E702CEA0D}">
      <text>
        <r>
          <rPr>
            <b/>
            <sz val="9"/>
            <color indexed="81"/>
            <rFont val="Tahoma"/>
            <family val="2"/>
          </rPr>
          <t>BJ:</t>
        </r>
        <r>
          <rPr>
            <sz val="9"/>
            <color indexed="81"/>
            <rFont val="Tahoma"/>
            <family val="2"/>
          </rPr>
          <t xml:space="preserve">
Gross capital formation</t>
        </r>
      </text>
    </comment>
    <comment ref="S1" authorId="0" shapeId="0" xr:uid="{3863801B-683B-42C1-A96D-92D3EBB42488}">
      <text>
        <r>
          <rPr>
            <b/>
            <sz val="9"/>
            <color indexed="81"/>
            <rFont val="Tahoma"/>
            <family val="2"/>
          </rPr>
          <t>BJ:</t>
        </r>
        <r>
          <rPr>
            <sz val="9"/>
            <color indexed="81"/>
            <rFont val="Tahoma"/>
            <family val="2"/>
          </rPr>
          <t xml:space="preserve">
nominal</t>
        </r>
      </text>
    </comment>
    <comment ref="Z1" authorId="0" shapeId="0" xr:uid="{6C1F01F2-A18F-465A-8D76-7D5ED3AA5321}">
      <text>
        <r>
          <rPr>
            <b/>
            <sz val="9"/>
            <color indexed="81"/>
            <rFont val="Tahoma"/>
            <family val="2"/>
          </rPr>
          <t>BJ:</t>
        </r>
        <r>
          <rPr>
            <sz val="9"/>
            <color indexed="81"/>
            <rFont val="Tahoma"/>
            <family val="2"/>
          </rPr>
          <t xml:space="preserve">
Current account in % of GDP
wiiw</t>
        </r>
      </text>
    </comment>
    <comment ref="AF1" authorId="0" shapeId="0" xr:uid="{3E1EC575-97DA-413A-82A5-341BE915BAC6}">
      <text>
        <r>
          <rPr>
            <b/>
            <sz val="9"/>
            <color indexed="81"/>
            <rFont val="Tahoma"/>
            <family val="2"/>
          </rPr>
          <t>BJ:</t>
        </r>
        <r>
          <rPr>
            <sz val="9"/>
            <color indexed="81"/>
            <rFont val="Tahoma"/>
            <family val="2"/>
          </rPr>
          <t xml:space="preserve">
loans to households, nominal, yoy growth rates</t>
        </r>
      </text>
    </comment>
    <comment ref="B8" authorId="1" shapeId="0" xr:uid="{2686A7B7-133F-4650-92F2-5CFB299EF4E5}">
      <text>
        <r>
          <rPr>
            <sz val="9"/>
            <color indexed="81"/>
            <rFont val="Segoe UI"/>
            <family val="2"/>
          </rPr>
          <t xml:space="preserve">ID: 144396
Label: eug11tscrx_q
Database: wiiw Monthly Database - Hidden
Status: active
Calculation: 
Calculation_M: SubScal(L_eug11tscx_q&gt;mdb,100)
Calculation_Q: SubScal(L_eug11tscx_q&gt;mdb,100)
Calculation_A: SubScal(L_eug11tscx_q&gt;mdb,100)
Periodicity: Q
Data available M: 1996m3 - 2023m9
Data available Q: 1996q1 - 2023q3
Data available A: 1996 - 2022
Text 99: 
Automatic update period: 1999|2015
Time shift: 
Note: 
Reporter: EU27_2020 - EU - 27 countries (from 2020)
Chapter 1: 02_NA - National accounts
Indicator: SC0201 - Gross domestic product total
Unit: 05_Ireal_36 - real growth rate to corresponding period of previous year in %
Footnote 1: FZZ05 - According to ESA'10.
Footnote 2:  - 
Footnote 3:  - 
Footnote 4:  - 
Source 1: Z_ESTAT - Eurostat
Source 2: Z_wiiw - wiiw
Source 3:  - 
</t>
        </r>
      </text>
    </comment>
    <comment ref="C8" authorId="1" shapeId="0" xr:uid="{2F8A27A8-8539-46A1-8AB4-F44A154A9C63}">
      <text>
        <r>
          <rPr>
            <sz val="9"/>
            <color indexed="81"/>
            <rFont val="Segoe UI"/>
            <family val="2"/>
          </rPr>
          <t xml:space="preserve">ID: 77811
Label: eup1p1tsa
Database: wiiw Monthly Database - Hidden
Status: active
Calculation: 
Calculation_M: 
Calculation_Q: m-&gt;q AVG(L_eup1p1tsa&gt;mdb)
Calculation_A: q-&gt;a AVG(L_eup1p1tsa&gt;mdb)
Periodicity: Q
Data available M: 1999m1 - 2023m12
Data available Q: 1999q1 - 2023q4
Data available A: 1999 - 2023
Text 99: 
Automatic update period: 1999|2015
Time shift: 
Note: 
Reporter: EU - European Union evolutionary
Chapter 1: 07_PRC - Prices
Indicator: SC0701 - Consumer prices
Unit: 03_I_1_085_15avg - index, monthly average, 2015 = 100
Footnote 1: FZZ40 - Based on HICP (Harmonized Index of Consumer Prices).
Footnote 2:  - 
Footnote 3:  - 
Footnote 4:  - 
Source 1: Z_ESTAT - Eurostat
Source 2:  - 
Source 3:  - 
</t>
        </r>
      </text>
    </comment>
    <comment ref="D8" authorId="1" shapeId="0" xr:uid="{25637771-8F82-4227-8D2A-592F6DC90EFD}">
      <text>
        <r>
          <rPr>
            <sz val="9"/>
            <color indexed="81"/>
            <rFont val="Segoe UI"/>
            <family val="2"/>
          </rPr>
          <t xml:space="preserve">ID: 77812
Label: eup1p1tscx
Database: wiiw Monthly Database - Hidden
Status: active
Calculation: SubScal(L_eup1p1tscx&gt;mdb,100)
Calculation_M: CPPY=100(L_eup1p1tsa&gt;mdb)
Calculation_Q: CPPY=100(L_eup1p1tsa&gt;mdb)
Calculation_A: CPPY=100(L_eup1p1tsa&gt;mdb)
Periodicity: Q
Data available M: 1992m1 - 2023m12
Data available Q: 1992q1 - 2023q4
Data available A: 1992 - 2023
Text 99: 
Automatic update period: 1999|2015
Time shift: 
Note: 
Reporter: EU - European Union evolutionary
Chapter 1: 07_PRC - Prices
Indicator: SC0701 - Consumer prices
Unit: 03_I_32 - index, corresponding period of previous year = 100
Footnote 1: FZZ40 - Based on HICP (Harmonized Index of Consumer Prices).
Footnote 2:  - 
Footnote 3:  - 
Footnote 4:  - 
Source 1: Z_ESTAT - Eurostat
Source 2: Z_wiiw - wiiw
Source 3:  - 
</t>
        </r>
      </text>
    </comment>
    <comment ref="E8" authorId="1" shapeId="0" xr:uid="{81385209-5B15-4D2D-9D70-9F6EC8EE43D0}">
      <text>
        <r>
          <rPr>
            <sz val="9"/>
            <color indexed="81"/>
            <rFont val="Segoe UI"/>
            <family val="2"/>
          </rPr>
          <t xml:space="preserve">ID: 144399
Label: eafrr1tp_help
Database: wiiw Monthly Database - Hidden
Status: active
Calculation: 
Calculation_M: L_eafrr1tp&gt;mdb
Calculation_Q: m-&gt;q AVG(L_eafrr1tp&gt;mdb)
Calculation_A: q-&gt;a AVG(L_eafrr1tp&gt;mdb)
Periodicity: Q
Data available M: 1999m1 - 2023m12
Data available Q: 1999q1 - 2023q4
Data available A: 1999 - 2023
Text 99: 
Automatic update period: 1999|2015
Time shift: 
Note: 
Reporter: EA - Euro area evolutionary
Chapter 1: 10_DF - Domestic finance
Indicator: SC1050 - Central bank policy rate
Unit: 06_IntR_6 - % p.a., period average
Footnote 1: FZZ50 - Official refinancing operation rates for euro area (ECB), rate in fixed rate tenders (between June 2000 and September 2008 the minimum bid rate in variable rate tenders was applied).
Footnote 2:  - 
Footnote 3:  - 
Footnote 4:  - 
Source 1: Z_ECB - European Central Bank
Source 2:  - 
Source 3:  - 
</t>
        </r>
      </text>
    </comment>
    <comment ref="F8" authorId="1" shapeId="0" xr:uid="{4E42722A-ED24-4FCA-9519-C541A6BABAAD}">
      <text>
        <r>
          <rPr>
            <sz val="9"/>
            <color indexed="81"/>
            <rFont val="Segoe UI"/>
            <family val="2"/>
          </rPr>
          <t xml:space="preserve">ID: 101874
Label: usp2oila
Database: wiiw Monthly Database - Hidden
Status: active
Calculation: 
Calculation_M: 
Calculation_Q: M-&gt;Q AVG(L_usp2oila&gt;mdb)
Calculation_A: Q-&gt;A AVG(L_usp2oila&gt;mdb)
Periodicity: Q
Data available M: 1990m1 - 2023m12
Data available Q: 1990q1 - 2023q4
Data available A: 1990 - 2023
Text 99: 
Automatic update period: 1999|2015
Time shift: 
Note: Oil prices  &amp; Europe Brent Spot Price FOB (Dollars per Barrel) &amp; EIA (US) Source of the data. Gespeichert auf die EU&amp;US Karten.
Reporter: US - United States
Chapter 1: 11_FF - Foreign finance
Indicator:  - 
Unit:  - 
Footnote 1:  - 
Footnote 2:  - 
Footnote 3:  - 
Footnote 4:  - 
Source 1:  - 
Source 2:  - 
Source 3:  - 
</t>
        </r>
      </text>
    </comment>
    <comment ref="G8" authorId="1" shapeId="0" xr:uid="{E77E4386-B8F1-4691-8655-592F50948207}">
      <text>
        <r>
          <rPr>
            <sz val="9"/>
            <color indexed="81"/>
            <rFont val="Segoe UI"/>
            <family val="2"/>
          </rPr>
          <t xml:space="preserve">ID: 122124
Label: bybg21n_q
Database: wiiw Monthly Database - Public
Status: active
Calculation: SubScal(CPPY=100(L_bybg21n_q&gt;mdb),100)
Calculation_M: q-&gt;m EOP(L_bybg21n_q&gt;mdb)
Calculation_Q: 
Calculation_A: Q-&gt;A CUMPER(L_bybg21n_q&gt;mdb)
Periodicity: Q
Data available M: 2005m3 - 2022m12
Data available Q: 2005q1 - 2022q4
Data available A: 2005 - 2022
Text 99: 
Automatic update period: 1999|2015
Time shift: 
Note: 
Reporter: BY - Belarus
Chapter 1: 10_DF - Domestic finance
Indicator: SC1021 - General gov. budget - expenditures
Unit: 01_Curr_12 - NCU m (incl. 'euro fixed' series)
Footnote 1:  - 
Footnote 2:  - 
Footnote 3:  - 
Footnote 4:  - 
Source 1: QBY2 - National Bank of Belarus
Source 2:  - 
Source 3:  - 
</t>
        </r>
      </text>
    </comment>
    <comment ref="H8" authorId="1" shapeId="0" xr:uid="{AAEE1FA7-4296-4CD1-8667-A560599E4E57}">
      <text>
        <r>
          <rPr>
            <sz val="9"/>
            <color indexed="81"/>
            <rFont val="Segoe UI"/>
            <family val="2"/>
          </rPr>
          <t xml:space="preserve">ID: 122120
Label: bybg11n_q
Database: wiiw Monthly Database - Public
Status: active
Calculation: SubScal(CPPY=100(L_bybg11n_q&gt;mdb),100)
Calculation_M: q-&gt;m EOP(L_bybg11n_q&gt;mdb)
Calculation_Q: 
Calculation_A: Q-&gt;A CUMPER(L_bybg11n_q&gt;mdb)
Periodicity: Q
Data available M: 2005m3 - 2022m12
Data available Q: 2005q1 - 2022q4
Data available A: 2005 - 2022
Text 99: 
Automatic update period: 1999|2015
Time shift: 
Note: 
Reporter: BY - Belarus
Chapter 1: 10_DF - Domestic finance
Indicator: SC1020 - General gov. budget - revenues
Unit: 01_Curr_12 - NCU m (incl. 'euro fixed' series)
Footnote 1:  - 
Footnote 2:  - 
Footnote 3:  - 
Footnote 4:  - 
Source 1: QBY2 - National Bank of Belarus
Source 2:  - 
Source 3:  - 
</t>
        </r>
      </text>
    </comment>
    <comment ref="I8" authorId="1" shapeId="0" xr:uid="{24116DE8-8725-48A3-B138-84965D562446}">
      <text>
        <r>
          <rPr>
            <sz val="9"/>
            <color indexed="81"/>
            <rFont val="Segoe UI"/>
            <family val="2"/>
          </rPr>
          <t xml:space="preserve">ID: 122131
Label: bybg31px_q
Database: wiiw Monthly Database - Public
Status: active
Calculation: 
Calculation_M: Q-&gt;M EOP(L_bybg31px_q&gt;mdb)
Calculation_Q: Share(L_bybg31nx_q&gt;mdb,L_byg11tn_q&gt;mdb)
Calculation_A: Share(L_bybg31nx_q&gt;mdb,L_byg11tn_q&gt;mdb)
Periodicity: Q
Data available M: 2005m3 - 2022m12
Data available Q: 2005q1 - 2022q4
Data available A: 2005 - 2022
Text 99: 
Automatic update period: 1999|2015
Time shift: 
Note: -
Reporter: BY - Belarus
Chapter 1: 10_DF - Domestic finance
Indicator: SC1022 - General gov. budget - balance
Unit: 09_Share_%gdp - in % of GDP
Footnote 1:  - 
Footnote 2:  - 
Footnote 3:  - 
Footnote 4:  - 
Source 1: QBY2 - National Bank of Belarus
Source 2: Z_wiiw - wiiw
Source 3:  - 
</t>
        </r>
      </text>
    </comment>
    <comment ref="J8" authorId="1" shapeId="0" xr:uid="{DFC9DA3D-8FD2-4A4B-88B2-A8BDF28BFBBA}">
      <text>
        <r>
          <rPr>
            <sz val="9"/>
            <color indexed="81"/>
            <rFont val="Segoe UI"/>
            <family val="2"/>
          </rPr>
          <t xml:space="preserve">ID: 89041
Label: byg11tr15_q
Database: wiiw Monthly Database - Public
Status: active
Calculation: SubScal(CPPY=100(L_byg11tr15_q&gt;mdb),100)
Calculation_M: q-&gt;m EOP(L_byg11tr15_q&gt;mdb)
Calculation_Q: 
Calculation_A: q-&gt;a CumPer(L_byg11tr15_q&gt;mdb)
Periodicity: Q
Data available M: 2000m3 - 2023m12
Data available Q: 2000q1 - 2023q4
Data available A: 2000 - 2023
Text 99: 
Automatic update period: 1999|2015
Time shift: 
Note: wiiw calc. Reihe with real growth rate
Reporter: BY - Belarus
Chapter 1: 02_NA - National accounts
Indicator: SC0201 - Gross domestic product total
Unit: 01_Curr_15_085_15_r - NCU m, 2015 reference prices (prev. year prices, incl. 'euro fixed' series)
Footnote 1: FBY01 - From 2010 SNA'08 (SNA'93 before, FISIM not reallocated until 2009).
Footnote 2: FZZ90 - wiiw estimates.
Footnote 3:  - 
Footnote 4:  - 
Source 1: QBY1 - National Statistical Committee of Belarus
Source 2: Z_wiiw - wiiw
Source 3:  - 
</t>
        </r>
      </text>
    </comment>
    <comment ref="K8" authorId="1" shapeId="0" xr:uid="{DBB1C6BE-5D4E-4A27-8CBB-8537561164FF}">
      <text>
        <r>
          <rPr>
            <sz val="9"/>
            <color indexed="81"/>
            <rFont val="Segoe UI"/>
            <family val="2"/>
          </rPr>
          <t xml:space="preserve">ID: 90865
Label: byg222r15_q
Database: wiiw Monthly Database - Public
Status: active
Calculation: SubScal(CPPY=100(L_byg222r15_q&gt;mdb),100)
Calculation_M: q-&gt;m EOP(L_byg222r15_q&gt;mdb)
Calculation_Q: 
Calculation_A: q-&gt;a CumPer(L_byg222r15_q&gt;mdb)
Periodicity: Q
Data available M: 2000m3 - 2023m9
Data available Q: 2000q1 - 2023q3
Data available A: 2000 - 2022
Text 99: 
Automatic update period: 1999|2015
Time shift: 
Note: wiiw calc. Reihe with real growth rate
Reporter: BY - Belarus
Chapter 1: 02_NA - National accounts
Indicator: SC0212 - Household final consumption expenditure
Unit: 01_Curr_15_085_15_r - NCU m, 2015 reference prices (prev. year prices, incl. 'euro fixed' series)
Footnote 1: FZZ90 - wiiw estimates.
Footnote 2:  - 
Footnote 3:  - 
Footnote 4:  - 
Source 1: QBY1 - National Statistical Committee of Belarus
Source 2: Z_wiiw - wiiw
Source 3:  - 
</t>
        </r>
      </text>
    </comment>
    <comment ref="L8" authorId="1" shapeId="0" xr:uid="{A2398AF1-F9CA-46CB-82B3-6DAE395DC52D}">
      <text>
        <r>
          <rPr>
            <sz val="9"/>
            <color indexed="81"/>
            <rFont val="Segoe UI"/>
            <family val="2"/>
          </rPr>
          <t xml:space="preserve">ID: 90909
Label: byg223r15_q
Database: wiiw Monthly Database - Public
Status: active
Calculation: SubScal(CPPY=100(L_byg223r15_q&gt;mdb),100)
Calculation_M: q-&gt;m EOP(L_byg223r15_q&gt;mdb)
Calculation_Q: 
Calculation_A: q-&gt;a CumPer(L_byg223r15_q&gt;mdb)
Periodicity: Q
Data available M: 2000m3 - 2023m9
Data available Q: 2000q1 - 2023q3
Data available A: 2000 - 2022
Text 99: 
Automatic update period: 1999|2015
Time shift: 
Note: wiiw calc. Reihe with real growth rate
Reporter: BY - Belarus
Chapter 1: 02_NA - National accounts
Indicator: SC0214 - Government final consumption expenditure
Unit: 01_Curr_15_085_15_r - NCU m, 2015 reference prices (prev. year prices, incl. 'euro fixed' series)
Footnote 1: FZZ90 - wiiw estimates.
Footnote 2:  - 
Footnote 3:  - 
Footnote 4:  - 
Source 1: QBY1 - National Statistical Committee of Belarus
Source 2: Z_wiiw - wiiw
Source 3:  - 
</t>
        </r>
      </text>
    </comment>
    <comment ref="M8" authorId="1" shapeId="0" xr:uid="{58060EC7-4D4C-4985-831A-54126739D302}">
      <text>
        <r>
          <rPr>
            <sz val="9"/>
            <color indexed="81"/>
            <rFont val="Segoe UI"/>
            <family val="2"/>
          </rPr>
          <t xml:space="preserve">ID: 90931
Label: byg224r15_q
Database: wiiw Monthly Database - Public
Status: active
Calculation: SubScal(CPPY=100(L_byg224r15_q&gt;mdb),100)
Calculation_M: q-&gt;m EOP(L_byg224r15_q&gt;mdb)
Calculation_Q: 
Calculation_A: q-&gt;a CumPer(L_byg224r15_q&gt;mdb)
Periodicity: Q
Data available M: 2000m3 - 2023m9
Data available Q: 2000q1 - 2023q3
Data available A: 2000 - 2022
Text 99: 
Automatic update period: 1999|2015
Time shift: 
Note: wiiw calc. Reihe with real growth rate
Reporter: BY - Belarus
Chapter 1: 02_NA - National accounts
Indicator: SC0217 - Gross capital formation
Unit: 01_Curr_15_085_15_r - NCU m, 2015 reference prices (prev. year prices, incl. 'euro fixed' series)
Footnote 1: FZZ90 - wiiw estimates.
Footnote 2:  - 
Footnote 3:  - 
Footnote 4:  - 
Source 1: QBY1 - National Statistical Committee of Belarus
Source 2: Z_wiiw - wiiw
Source 3:  - 
</t>
        </r>
      </text>
    </comment>
    <comment ref="N8" authorId="1" shapeId="0" xr:uid="{EAC197A8-49FB-43CF-A092-C284CB483790}">
      <text>
        <r>
          <rPr>
            <sz val="9"/>
            <color indexed="81"/>
            <rFont val="Segoe UI"/>
            <family val="2"/>
          </rPr>
          <t xml:space="preserve">ID: 90975
Label: byg228r15_q
Database: wiiw Monthly Database - Public
Status: active
Calculation: SubScal(CPPY=100(L_byg228r15_q&gt;mdb),100)
Calculation_M: q-&gt;m EOP(L_byg228r15_q&gt;mdb)
Calculation_Q: 
Calculation_A: q-&gt;a CumPer(L_byg228r15_q&gt;mdb)
Periodicity: Q
Data available M: 2000m3 - 2023m9
Data available Q: 2000q1 - 2023q3
Data available A: 2000 - 2022
Text 99: 
Automatic update period: 1999|2015
Time shift: 
Note: wiiw calc. Reihe with real growth rate
Reporter: BY - Belarus
Chapter 1: 02_NA - National accounts
Indicator: SC0221 - Exports of goods and services
Unit: 01_Curr_15_085_15_r - NCU m, 2015 reference prices (prev. year prices, incl. 'euro fixed' series)
Footnote 1: FZZ90 - wiiw estimates.
Footnote 2:  - 
Footnote 3:  - 
Footnote 4:  - 
Source 1: QBY1 - National Statistical Committee of Belarus
Source 2: Z_wiiw - wiiw
Source 3:  - 
</t>
        </r>
      </text>
    </comment>
    <comment ref="O8" authorId="1" shapeId="0" xr:uid="{0E194472-228E-4AB3-864D-BA25CC53FD89}">
      <text>
        <r>
          <rPr>
            <sz val="9"/>
            <color indexed="81"/>
            <rFont val="Segoe UI"/>
            <family val="2"/>
          </rPr>
          <t xml:space="preserve">ID: 90997
Label: byg229r15_q
Database: wiiw Monthly Database - Public
Status: active
Calculation: SubScal(CPPY=100(L_byg229r15_q&gt;mdb),100)
Calculation_M: q-&gt;m EOP(L_byg229r15_q&gt;mdb)
Calculation_Q: 
Calculation_A: q-&gt;a CumPer(L_byg229r15_q&gt;mdb)
Periodicity: Q
Data available M: 2000m3 - 2023m9
Data available Q: 2000q1 - 2023q3
Data available A: 2000 - 2022
Text 99: 
Automatic update period: 1999|2015
Time shift: 
Note: wiiw calc. Reihe with real growth rate
Reporter: BY - Belarus
Chapter 1: 02_NA - National accounts
Indicator: SC0222 - Imports of goods and services
Unit: 01_Curr_15_085_15_r - NCU m, 2015 reference prices (prev. year prices, incl. 'euro fixed' series)
Footnote 1: FZZ90 - wiiw estimates.
Footnote 2:  - 
Footnote 3:  - 
Footnote 4:  - 
Source 1: QBY1 - National Statistical Committee of Belarus
Source 2: Z_wiiw - wiiw
Source 3:  - 
</t>
        </r>
      </text>
    </comment>
    <comment ref="P8" authorId="1" shapeId="0" xr:uid="{718C3E67-4E79-4C6E-AC1C-23CB536976A0}">
      <text>
        <r>
          <rPr>
            <sz val="9"/>
            <color indexed="81"/>
            <rFont val="Segoe UI"/>
            <family val="2"/>
          </rPr>
          <t xml:space="preserve">ID: 122704
Label: bye51_ta_q
Database: wiiw Monthly Database - Public
Status: active
Calculation: 
Calculation_M: q-&gt;m EOP(L_bye51_ta_q&gt;mdb)
Calculation_Q: 
Calculation_A: q-&gt;a AVG(L_bye51_ta_q&gt;mdb)
Periodicity: Q
Data available M: 2016m3 - 2023m9
Data available Q: 2016q1 - 2023q3
Data available A: 2016 - 2022
Text 99: 
Automatic update period: 1999|2015
Time shift: 
Note: 
Reporter: BY - Belarus
Chapter 1: 05_LAB - Labour market
Indicator: SC0501 - Employment, LFS
Unit: 02_Pers_11 - th persons, period average
Footnote 1: FBY20 - Population 15-74, excluding conscripts.
Footnote 2:  - 
Footnote 3:  - 
Footnote 4:  - 
Source 1: QBY1 - National Statistical Committee of Belarus
Source 2:  - 
Source 3:  - 
</t>
        </r>
      </text>
    </comment>
    <comment ref="Q8" authorId="1" shapeId="0" xr:uid="{62A80397-4E47-4FBC-BEDC-81BA63CB347D}">
      <text>
        <r>
          <rPr>
            <sz val="9"/>
            <color indexed="81"/>
            <rFont val="Segoe UI"/>
            <family val="2"/>
          </rPr>
          <t xml:space="preserve">ID: 122708
Label: bye5u_ta_q
Database: wiiw Monthly Database - Public
Status: active
Calculation: 
Calculation_M: q-&gt;m EOP(L_bye5u_ta_q&gt;mdb)
Calculation_Q: 
Calculation_A: q-&gt;a AVG(L_bye5u_ta_q&gt;mdb)
Periodicity: Q
Data available M: 2016m3 - 2023m9
Data available Q: 2016q1 - 2023q3
Data available A: 2016 - 2022
Text 99: 
Automatic update period: 1999|2015
Time shift: 
Note: 
Reporter: BY - Belarus
Chapter 1: 05_LAB - Labour market
Indicator: SC0507 - Unemployment, LFS
Unit: 02_Pers_11 - th persons, period average
Footnote 1: FBY20 - Population 15-74, excluding conscripts.
Footnote 2:  - 
Footnote 3:  - 
Footnote 4:  - 
Source 1: QBY1 - National Statistical Committee of Belarus
Source 2:  - 
Source 3:  - 
</t>
        </r>
      </text>
    </comment>
    <comment ref="R8" authorId="1" shapeId="0" xr:uid="{3B59F1DA-8E96-4842-9BC4-57ADC2B75276}">
      <text>
        <r>
          <rPr>
            <sz val="9"/>
            <color indexed="81"/>
            <rFont val="Segoe UI"/>
            <family val="2"/>
          </rPr>
          <t xml:space="preserve">ID: 122709
Label: bye5u_tp_q
Database: wiiw Monthly Database - Public
Status: active
Calculation: 
Calculation_M: q-&gt;m EOP(L_bye5u_tp_q&gt;mdb)
Calculation_Q: 
Calculation_A: q-&gt;a AVG(L_bye5u_tp_q&gt;mdb)
Periodicity: Q
Data available M: 2016m3 - 2023m9
Data available Q: 2016q1 - 2023q3
Data available A: 2016 - 2022
Text 99: 
Automatic update period: 1999|2015
Time shift: 
Note: 
Reporter: BY - Belarus
Chapter 1: 05_LAB - Labour market
Indicator: SC0508 - Unemployment rate, LFS
Unit: 02_Pers_21 - in %, period average
Footnote 1: FBY20 - Population 15-74, excluding conscripts.
Footnote 2:  - 
Footnote 3:  - 
Footnote 4:  - 
Source 1: QBY1 - National Statistical Committee of Belarus
Source 2:  - 
Source 3:  - 
</t>
        </r>
      </text>
    </comment>
    <comment ref="S8" authorId="1" shapeId="0" xr:uid="{6596E157-3431-4A1C-A9BA-CE9DB5C4909F}">
      <text>
        <r>
          <rPr>
            <sz val="9"/>
            <color indexed="81"/>
            <rFont val="Segoe UI"/>
            <family val="2"/>
          </rPr>
          <t xml:space="preserve">ID: 122199
Label: byw11_tccx
Database: wiiw Monthly Database - Public
Status: active
Calculation: SubScal(L_byw11_tccx&gt;mdb,100)
Calculation_M: CPPY=100(L_byw11_tn&gt;mdb)
Calculation_Q: CPPY=100(L_byw11_tn&gt;mdb)
Calculation_A: CPPY=100(L_byw11_tn&gt;mdb)
Periodicity: Q
Data available M: 1992m1 - 2023m11
Data available Q: 1992q1 - 2023q3
Data available A: 1992 - 2022
Text 99: 
Automatic update period: 1999|2015
Time shift: 
Note: 
Reporter: BY - Belarus
Chapter 1: 06_WS - Wages
Indicator: SC0601 - Average monthly gross wages total
Unit: 04_Inom_32 - index nominal, corresponding period of previous year = 100
Footnote 1: FBY22 - Excluding micro and small organisations.
Footnote 2:  - 
Footnote 3:  - 
Footnote 4:  - 
Source 1: QBY1 - National Statistical Committee of Belarus
Source 2: Z_wiiw - wiiw
Source 3:  - 
</t>
        </r>
      </text>
    </comment>
    <comment ref="T8" authorId="1" shapeId="0" xr:uid="{592F1A4D-5761-4443-BF4A-35C2C4365232}">
      <text>
        <r>
          <rPr>
            <sz val="9"/>
            <color indexed="81"/>
            <rFont val="Segoe UI"/>
            <family val="2"/>
          </rPr>
          <t xml:space="preserve">ID: 122150
Label: byfrr1tp
Database: wiiw Monthly Database - Public
Status: active
Calculation: 
Calculation_M: 
Calculation_Q: m-&gt;q EOP(L_byfrr1tp&gt;mdb)
Calculation_A: q-&gt;a EOP(L_byfrr1tp&gt;mdb)
Periodicity: Q
Data available M: 1991m6 - 2023m12
Data available Q: 1991q2 - 2023q4
Data available A: 1991 - 2023
Text 99: 
Automatic update period: 1999|2015
Time shift: 
Note: 
Reporter: BY - Belarus
Chapter 1: 10_DF - Domestic finance
Indicator: SC1050 - Central bank policy rate
Unit: 06_IntR_1 - % p.a., end of period
Footnote 1: FBY30 - Refinancing rate.
Footnote 2:  - 
Footnote 3:  - 
Footnote 4:  - 
Source 1: QBY2 - National Bank of Belarus
Source 2:  - 
Source 3:  - 
</t>
        </r>
      </text>
    </comment>
    <comment ref="U8" authorId="1" shapeId="0" xr:uid="{ED97B478-0A70-4CA9-A2CA-A53B723B1DE8}">
      <text>
        <r>
          <rPr>
            <sz val="9"/>
            <color indexed="81"/>
            <rFont val="Segoe UI"/>
            <family val="2"/>
          </rPr>
          <t xml:space="preserve">ID: 122221
Label: byp1p1tsax
Database: wiiw Monthly Database - Public
Status: active
Calculation: 
Calculation_M: Index PP based(L_byp1p1tsb&gt;mdb,2015)
Calculation_Q: m-&gt;q AVG(L_byp1p1tsax&gt;mdb)
Calculation_A: q-&gt;a AVG(L_byp1p1tsax&gt;mdb)
Periodicity: Q
Data available M: 1991m1 - 2023m12
Data available Q: 1991q1 - 2023q4
Data available A: 1991 - 2023
Text 99: 
Automatic update period: 1999|2015
Time shift: 
Note: 
Reporter: BY - Belarus
Chapter 1: 07_PRC - Prices
Indicator: SC0701 - Consumer prices
Unit: 03_I_1_085_15avg - index, monthly average, 2015 = 100
Footnote 1:  - 
Footnote 2:  - 
Footnote 3:  - 
Footnote 4:  - 
Source 1: QBY1 - National Statistical Committee of Belarus
Source 2: Z_wiiw - wiiw
Source 3:  - 
</t>
        </r>
      </text>
    </comment>
    <comment ref="V8" authorId="1" shapeId="0" xr:uid="{2CE3EA73-4FAD-4EAA-9997-A02E0456A980}">
      <text>
        <r>
          <rPr>
            <sz val="9"/>
            <color indexed="81"/>
            <rFont val="Segoe UI"/>
            <family val="2"/>
          </rPr>
          <t xml:space="preserve">ID: 122230
Label: byp2xea
Database: wiiw Monthly Database - Public
Status: active
Calculation: 
Calculation_M: 
Calculation_Q: m-&gt;q AVG(L_byp2xea&gt;mdb)
Calculation_A: q-&gt;a AVG(L_byp2xea&gt;mdb)
Periodicity: Q
Data available M: 1995m3 - 2023m12
Data available Q: 1995q2 - 2023q4
Data available A: 1996 - 2023
Text 99: 
Automatic update period: 1999|2015
Time shift: 
Note: 
Reporter: BY - Belarus
Chapter 1: 11_FF - Foreign finance
Indicator: SC1107 - Exchange rate nominal
Unit: 07_Exch_12 - NCU/EUR, period average
Footnote 1: FZZ21 - Up to December 1998 ECU.
Footnote 2:  - 
Footnote 3:  - 
Footnote 4:  - 
Source 1: QBY2 - National Bank of Belarus
Source 2:  - 
Source 3:  - 
</t>
        </r>
      </text>
    </comment>
    <comment ref="W8" authorId="1" shapeId="0" xr:uid="{AD1D2DC5-0CEB-4267-8712-8D8F192B963E}">
      <text>
        <r>
          <rPr>
            <sz val="9"/>
            <color indexed="81"/>
            <rFont val="Segoe UI"/>
            <family val="2"/>
          </rPr>
          <t xml:space="preserve">ID: 122191
Label: bya1211tsc
Database: wiiw Monthly Database - Public
Status: active
Calculation: SubScal(L_bya1211tsc&gt;mdb,100)
Calculation_M: 
Calculation_Q: m-&gt;q AVG(L_bya1211tsc&gt;mdb)
Calculation_A: q-&gt;a AVG(L_bya1211tsc&gt;mdb)
Periodicity: Q
Data available M: 2012m1 - 2023m12
Data available Q: 2012q1 - 2023q4
Data available A: 2012 - 2023
Text 99: 
Automatic update period: 1999|2015
Time shift: 
Note: 
Reporter: BY - Belarus
Chapter 1: 04_PROD - Production
Indicator: SC0401 - Industrial output (BCD - NACE Rev. 2)
Unit: 05_Ireal_32 - index real, corresponding period of previous year = 100
Footnote 1:  - 
Footnote 2:  - 
Footnote 3:  - 
Footnote 4:  - 
Source 1: QBY1 - National Statistical Committee of Belarus
Source 2:  - 
Source 3:  - 
</t>
        </r>
      </text>
    </comment>
    <comment ref="X8" authorId="1" shapeId="0" xr:uid="{0455ED0C-178A-43B5-BD70-6CD89F4735FC}">
      <text>
        <r>
          <rPr>
            <sz val="9"/>
            <color indexed="81"/>
            <rFont val="Segoe UI"/>
            <family val="2"/>
          </rPr>
          <t xml:space="preserve">ID: 122162
Label: bylago2ex_q
Database: wiiw Monthly Database - Hidden
Status: active
Calculation: SubScal(CPPY=100(AddNull(L_bylago2ex_q&gt;mdb,L_bylase2ex_q&gt;mdb)),100)
Calculation_M: q-&gt;m EOP(L_bylago2ex_q&gt;mdb)
Calculation_Q: Div(L_bylago2d_q&gt;mdb,Div(m-&gt;q AVG(L_byp2xea&gt;mdb),m-&gt;q AVG(L_byp2usa&gt;mdb)))
Calculation_A: Q-&gt;A CUMPER(L_bylago2ex_q&gt;mdb)
Periodicity: Q
Data available M: 2000m3 - 2023m9
Data available Q: 2000q1 - 2023q3
Data available A: 2000 - 2022
Text 99: 
Automatic update period: 1999|2015
Time shift: 
Note: 
Reporter: BY - Belarus
Chapter 1: 11_FF - Foreign finance
Indicator: SC1111 - 1.A.a. Goods exports, fob, credit
Unit: 01_Curr_23 - EUR m
Footnote 1: FZZ80 - Based on BPM6.
Footnote 2: FZZ28 - Calculated from USD to NCU to EUR using the average exchange rate.
Footnote 3:  - 
Footnote 4:  - 
Source 1: QBY2 - National Bank of Belarus
Source 2: Z_wiiw - wiiw
Source 3:  - 
</t>
        </r>
      </text>
    </comment>
    <comment ref="Y8" authorId="1" shapeId="0" xr:uid="{33BEA5BB-00B7-45B4-A42C-5817998862FC}">
      <text>
        <r>
          <rPr>
            <sz val="9"/>
            <color indexed="81"/>
            <rFont val="Segoe UI"/>
            <family val="2"/>
          </rPr>
          <t xml:space="preserve">ID: 122166
Label: bylago3ex_q
Database: wiiw Monthly Database - Hidden
Status: active
Calculation: SubScal(CPPY=100(AddNull(L_bylago3ex_q&gt;mdb,L_bylase3ex_q&gt;mdb)),100)
Calculation_M: q-&gt;m EOP(L_bylago3ex_q&gt;mdb)
Calculation_Q: Div(L_bylago3d_q&gt;mdb,Div(m-&gt;q AVG(L_byp2xea&gt;mdb),m-&gt;q AVG(L_byp2usa&gt;mdb)))
Calculation_A: Q-&gt;A CUMPER(L_bylago3ex_q&gt;mdb)
Periodicity: Q
Data available M: 2000m3 - 2023m9
Data available Q: 2000q1 - 2023q3
Data available A: 2000 - 2022
Text 99: 
Automatic update period: 1999|2015
Time shift: 
Note: 
Reporter: BY - Belarus
Chapter 1: 11_FF - Foreign finance
Indicator: SC1112 - 1.A.a. Goods imports, fob, debit
Unit: 01_Curr_23 - EUR m
Footnote 1: FZZ80 - Based on BPM6.
Footnote 2: FZZ28 - Calculated from USD to NCU to EUR using the average exchange rate.
Footnote 3:  - 
Footnote 4:  - 
Source 1: QBY2 - National Bank of Belarus
Source 2: Z_wiiw - wiiw
Source 3:  - 
</t>
        </r>
      </text>
    </comment>
    <comment ref="Z8" authorId="1" shapeId="0" xr:uid="{6E82BFDF-13E4-4D7E-9071-457CBD65A3EF}">
      <text>
        <r>
          <rPr>
            <sz val="9"/>
            <color indexed="81"/>
            <rFont val="Segoe UI"/>
            <family val="2"/>
          </rPr>
          <t xml:space="preserve">ID: 122158
Label: bylacaepx_q
Database: wiiw Monthly Database - Public
Status: active
Calculation: 
Calculation_M: Q-&gt;M EOP(L_bylacaepx_q&gt;mdb)
Calculation_Q: Share(L_bylacaenx_q&gt;mdb,Div(L_byg11tn_q&gt;mdb,L_byp2xea&gt;mdb))
Calculation_A: Share(L_bylacaenx_q&gt;mdb,Div(L_byg11tn_q&gt;mdb,L_byp2xea&gt;mdb))
Periodicity: Q
Data available M: 2000m3 - 2023m9
Data available Q: 2000q1 - 2023q3
Data available A: 2000 - 2022
Text 99: 
Automatic update period: 1999|2015
Time shift: 
Note: 
Reporter: BY - Belarus
Chapter 1: 11_FF - Foreign finance
Indicator: SC1101 - Current account
Unit: 09_Share_%gdp - in % of GDP
Footnote 1: FZZ80 - Based on BPM6.
Footnote 2:  - 
Footnote 3:  - 
Footnote 4:  - 
Source 1: QBY2 - National Bank of Belarus
Source 2: Z_wiiw - wiiw
Source 3:  - 
</t>
        </r>
      </text>
    </comment>
    <comment ref="AA8" authorId="1" shapeId="0" xr:uid="{C95EA151-3293-4D3E-9BA9-DC60DD6A10EF}">
      <text>
        <r>
          <rPr>
            <sz val="9"/>
            <color indexed="81"/>
            <rFont val="Segoe UI"/>
            <family val="2"/>
          </rPr>
          <t xml:space="preserve">ID: 90337
Label: byg222px_q
Database: wiiw Monthly Database - Public
Status: active
Calculation: AddNull(L_byg222px_q&gt;mdb,L_byg22zpx_q&gt;mdb)
Calculation_M: Q-&gt;M EOP(L_byg222px_q&gt;mdb)
Calculation_Q: Share(L_byg222n_q&gt;mdb,L_byg11tzn_q&gt;mdb)
Calculation_A: Share(L_byg222n_q&gt;mdb,L_byg11tzn_q&gt;mdb)
Periodicity: Q
Data available M: 2000m3 - 2023m9
Data available Q: 2000q1 - 2023q3
Data available A: 2000 - 2022
Text 99: 
Automatic update period: 1999|2015
Time shift: 
Note: 
Reporter: BY - Belarus
Chapter 1: 02_NA - National accounts
Indicator: SC0212 - Household final consumption expenditure
Unit: 09_Share_%gdp - in % of GDP
Footnote 1:  - 
Footnote 2:  - 
Footnote 3:  - 
Footnote 4:  - 
Source 1: QBY1 - National Statistical Committee of Belarus
Source 2: Z_wiiw - wiiw
Source 3:  - 
</t>
        </r>
      </text>
    </comment>
    <comment ref="AB8" authorId="1" shapeId="0" xr:uid="{EFBB86DE-D229-4F31-8D59-329BE8F9C5CE}">
      <text>
        <r>
          <rPr>
            <sz val="9"/>
            <color indexed="81"/>
            <rFont val="Segoe UI"/>
            <family val="2"/>
          </rPr>
          <t xml:space="preserve">ID: 90381
Label: byg223px_q
Database: wiiw Monthly Database - Public
Status: active
Calculation: 
Calculation_M: Q-&gt;M EOP(L_byg223px_q&gt;mdb)
Calculation_Q: Share(L_byg223n_q&gt;mdb,L_byg11tzn_q&gt;mdb)
Calculation_A: Share(L_byg223n_q&gt;mdb,L_byg11tzn_q&gt;mdb)
Periodicity: Q
Data available M: 2000m3 - 2023m9
Data available Q: 2000q1 - 2023q3
Data available A: 2000 - 2022
Text 99: 
Automatic update period: 1999|2015
Time shift: 
Note: 
Reporter: BY - Belarus
Chapter 1: 02_NA - National accounts
Indicator: SC0214 - Government final consumption expenditure
Unit: 09_Share_%gdp - in % of GDP
Footnote 1:  - 
Footnote 2:  - 
Footnote 3:  - 
Footnote 4:  - 
Source 1: QBY1 - National Statistical Committee of Belarus
Source 2: Z_wiiw - wiiw
Source 3:  - 
</t>
        </r>
      </text>
    </comment>
    <comment ref="AC8" authorId="1" shapeId="0" xr:uid="{8BE908C3-3416-4BD0-A96C-19BFB80D74F7}">
      <text>
        <r>
          <rPr>
            <sz val="9"/>
            <color indexed="81"/>
            <rFont val="Segoe UI"/>
            <family val="2"/>
          </rPr>
          <t xml:space="preserve">ID: 90403
Label: byg224px_q
Database: wiiw Monthly Database - Public
Status: active
Calculation: 
Calculation_M: Q-&gt;M EOP(L_byg224px_q&gt;mdb)
Calculation_Q: Share(L_byg224n_q&gt;mdb,L_byg11tzn_q&gt;mdb)
Calculation_A: Share(L_byg224n_q&gt;mdb,L_byg11tzn_q&gt;mdb)
Periodicity: Q
Data available M: 2000m3 - 2023m9
Data available Q: 2000q1 - 2023q3
Data available A: 2000 - 2022
Text 99: 
Automatic update period: 1999|2015
Time shift: 
Note: 
Reporter: BY - Belarus
Chapter 1: 02_NA - National accounts
Indicator: SC0217 - Gross capital formation
Unit: 09_Share_%gdp - in % of GDP
Footnote 1:  - 
Footnote 2:  - 
Footnote 3:  - 
Footnote 4:  - 
Source 1: QBY1 - National Statistical Committee of Belarus
Source 2: Z_wiiw - wiiw
Source 3:  - 
</t>
        </r>
      </text>
    </comment>
    <comment ref="AD8" authorId="1" shapeId="0" xr:uid="{ABE58F65-DA19-49E0-8580-18A44B5AD887}">
      <text>
        <r>
          <rPr>
            <sz val="9"/>
            <color indexed="81"/>
            <rFont val="Segoe UI"/>
            <family val="2"/>
          </rPr>
          <t xml:space="preserve">ID: 90491
Label: byg228px_q
Database: wiiw Monthly Database - Public
Status: active
Calculation: 
Calculation_M: Q-&gt;M EOP(L_byg228px_q&gt;mdb)
Calculation_Q: Share(L_byg228n_q&gt;mdb,L_byg11tzn_q&gt;mdb)
Calculation_A: Share(L_byg228n_q&gt;mdb,L_byg11tzn_q&gt;mdb)
Periodicity: Q
Data available M: 2000m3 - 2023m9
Data available Q: 2000q1 - 2023q3
Data available A: 2000 - 2022
Text 99: 
Automatic update period: 1999|2015
Time shift: 
Note: 
Reporter: BY - Belarus
Chapter 1: 02_NA - National accounts
Indicator: SC0221 - Exports of goods and services
Unit: 09_Share_%gdp - in % of GDP
Footnote 1:  - 
Footnote 2:  - 
Footnote 3:  - 
Footnote 4:  - 
Source 1: QBY1 - National Statistical Committee of Belarus
Source 2: Z_wiiw - wiiw
Source 3:  - 
</t>
        </r>
      </text>
    </comment>
    <comment ref="AE8" authorId="1" shapeId="0" xr:uid="{E7B9CF6C-E3C8-44FE-8DE6-560273316E92}">
      <text>
        <r>
          <rPr>
            <sz val="9"/>
            <color indexed="81"/>
            <rFont val="Segoe UI"/>
            <family val="2"/>
          </rPr>
          <t xml:space="preserve">ID: 90513
Label: byg229px_q
Database: wiiw Monthly Database - Public
Status: active
Calculation: 
Calculation_M: Q-&gt;M EOP(L_byg229px_q&gt;mdb)
Calculation_Q: Share(L_byg229n_q&gt;mdb,L_byg11tzn_q&gt;mdb)
Calculation_A: Share(L_byg229n_q&gt;mdb,L_byg11tzn_q&gt;mdb)
Periodicity: Q
Data available M: 2000m3 - 2023m9
Data available Q: 2000q1 - 2023q3
Data available A: 2000 - 2022
Text 99: 
Automatic update period: 1999|2015
Time shift: 
Note: 
Reporter: BY - Belarus
Chapter 1: 02_NA - National accounts
Indicator: SC0222 - Imports of goods and services
Unit: 09_Share_%gdp - in % of GDP
Footnote 1:  - 
Footnote 2:  - 
Footnote 3:  - 
Footnote 4:  - 
Source 1: QBY1 - National Statistical Committee of Belarus
Source 2: Z_wiiw - wiiw
Source 3:  - 
</t>
        </r>
      </text>
    </comment>
    <comment ref="AF8" authorId="1" shapeId="0" xr:uid="{D4CE8744-BE09-4297-BAE9-1D1FEB5B8853}">
      <text>
        <r>
          <rPr>
            <sz val="9"/>
            <color indexed="81"/>
            <rFont val="Segoe UI"/>
            <family val="2"/>
          </rPr>
          <t xml:space="preserve">ID: 89611
Label: byfls14scx
Database: wiiw Monthly Database - Public
Status: active
Calculation: SubScal(L_byfls14scx&gt;mdb,100)
Calculation_M: CPPY=100(L_byfls14e&gt;mdb)
Calculation_Q: M-&gt;Q EOP(L_byfls14scx&gt;mdb)
Calculation_A: Q-&gt;A EOP(L_byfls14scx&gt;mdb)
Periodicity: Q
Data available M: 2003m12 - 2023m12
Data available Q: 2003q4 - 2023q4
Data available A: 2003 - 2023
Text 99: 
Automatic update period: 1999|2015
Time shift: 
Note: 
Reporter: BY - Belarus
Chapter 1: 10_DF - Domestic finance
Indicator: SC1066 - Loans households (S14)
Unit: 04_Inom_32 - index nominal, corresponding period of previous year = 100
Footnote 1:  - 
Footnote 2:  - 
Footnote 3:  - 
Footnote 4:  - 
Source 1: QBY2 - National Bank of Belarus
Source 2: Z_wiiw - wiiw
Source 3:  - 
</t>
        </r>
      </text>
    </comment>
    <comment ref="AG8" authorId="1" shapeId="0" xr:uid="{69C480C3-AB9C-44DB-AB43-884B92E7CEDB}">
      <text>
        <r>
          <rPr>
            <sz val="9"/>
            <color indexed="81"/>
            <rFont val="Segoe UI"/>
            <family val="2"/>
          </rPr>
          <t xml:space="preserve">ID: 
Label: 
Database: 
Status: UNKNOWN
Calculation: 
Calculation_M: 
Calculation_Q: 
Calculation_A: 
Periodicity: Q
Data available M: 
Data available Q: 
Data available A: 
Text 99: 
Automatic update period: 1999|2015
Time shift: 
Note: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BJ</author>
    <author>Alexandra Bykova</author>
  </authors>
  <commentList>
    <comment ref="B1" authorId="0" shapeId="0" xr:uid="{996CA100-17B1-461E-B2D4-E2DD1BD08DD0}">
      <text>
        <r>
          <rPr>
            <b/>
            <sz val="9"/>
            <color indexed="81"/>
            <rFont val="Tahoma"/>
            <family val="2"/>
          </rPr>
          <t>BJ:</t>
        </r>
        <r>
          <rPr>
            <sz val="9"/>
            <color indexed="81"/>
            <rFont val="Tahoma"/>
            <family val="2"/>
          </rPr>
          <t xml:space="preserve">
EU 27, seasonally and calendar adjusted
Eurostat</t>
        </r>
      </text>
    </comment>
    <comment ref="C1" authorId="0" shapeId="0" xr:uid="{AA179E60-0201-4CD5-81A3-83E18BC1EE45}">
      <text>
        <r>
          <rPr>
            <b/>
            <sz val="9"/>
            <color indexed="81"/>
            <rFont val="Tahoma"/>
            <family val="2"/>
          </rPr>
          <t>BJ:</t>
        </r>
        <r>
          <rPr>
            <sz val="9"/>
            <color indexed="81"/>
            <rFont val="Tahoma"/>
            <family val="2"/>
          </rPr>
          <t xml:space="preserve">
Eurostat</t>
        </r>
      </text>
    </comment>
    <comment ref="D1" authorId="0" shapeId="0" xr:uid="{CA866A1A-4900-4CFB-9888-5A970CDAA532}">
      <text>
        <r>
          <rPr>
            <b/>
            <sz val="9"/>
            <color indexed="81"/>
            <rFont val="Tahoma"/>
            <family val="2"/>
          </rPr>
          <t>BJ:</t>
        </r>
        <r>
          <rPr>
            <sz val="9"/>
            <color indexed="81"/>
            <rFont val="Tahoma"/>
            <family val="2"/>
          </rPr>
          <t xml:space="preserve">
EU changing composition
Eurostat</t>
        </r>
      </text>
    </comment>
    <comment ref="E1" authorId="0" shapeId="0" xr:uid="{F1F17770-6128-46FE-9C0A-CBB70F965AA2}">
      <text>
        <r>
          <rPr>
            <b/>
            <sz val="9"/>
            <color indexed="81"/>
            <rFont val="Tahoma"/>
            <family val="2"/>
          </rPr>
          <t>BJ:</t>
        </r>
        <r>
          <rPr>
            <sz val="9"/>
            <color indexed="81"/>
            <rFont val="Tahoma"/>
            <family val="2"/>
          </rPr>
          <t xml:space="preserve">
ECB</t>
        </r>
      </text>
    </comment>
    <comment ref="F1" authorId="0" shapeId="0" xr:uid="{21FC567C-CD81-458A-82CB-0C2E78FDF1FC}">
      <text>
        <r>
          <rPr>
            <b/>
            <sz val="9"/>
            <color indexed="81"/>
            <rFont val="Tahoma"/>
            <family val="2"/>
          </rPr>
          <t>BJ:</t>
        </r>
        <r>
          <rPr>
            <sz val="9"/>
            <color indexed="81"/>
            <rFont val="Tahoma"/>
            <family val="2"/>
          </rPr>
          <t xml:space="preserve">
Crude oil, average, from WB pink sheets</t>
        </r>
      </text>
    </comment>
    <comment ref="G1" authorId="0" shapeId="0" xr:uid="{4093934D-EF7A-4136-8FC8-24F51ECA8168}">
      <text>
        <r>
          <rPr>
            <sz val="9"/>
            <color indexed="81"/>
            <rFont val="Tahoma"/>
            <family val="2"/>
          </rPr>
          <t>General gov, nominal yoy growth, in NCU
wiiw</t>
        </r>
      </text>
    </comment>
    <comment ref="H1" authorId="0" shapeId="0" xr:uid="{84B6C3E1-CE10-4707-8070-EA12939D62CB}">
      <text>
        <r>
          <rPr>
            <b/>
            <sz val="9"/>
            <color indexed="81"/>
            <rFont val="Tahoma"/>
            <family val="2"/>
          </rPr>
          <t>BJ:</t>
        </r>
        <r>
          <rPr>
            <sz val="9"/>
            <color indexed="81"/>
            <rFont val="Tahoma"/>
            <family val="2"/>
          </rPr>
          <t xml:space="preserve">
General gov. budget - revenues NCU m (incl. 'euro fixed' series)
wiiw</t>
        </r>
      </text>
    </comment>
    <comment ref="I1" authorId="0" shapeId="0" xr:uid="{943F74FD-B02B-42CE-8DD7-D2DD21278500}">
      <text>
        <r>
          <rPr>
            <b/>
            <sz val="9"/>
            <color indexed="81"/>
            <rFont val="Tahoma"/>
            <family val="2"/>
          </rPr>
          <t>BJ:</t>
        </r>
        <r>
          <rPr>
            <sz val="9"/>
            <color indexed="81"/>
            <rFont val="Tahoma"/>
            <family val="2"/>
          </rPr>
          <t xml:space="preserve">
General gov. budget - balance
 in % of GDP
wiiw</t>
        </r>
      </text>
    </comment>
    <comment ref="J1" authorId="0" shapeId="0" xr:uid="{636BD566-ACCA-4FC0-916F-2002F6A7FAD2}">
      <text>
        <r>
          <rPr>
            <b/>
            <sz val="9"/>
            <color indexed="81"/>
            <rFont val="Tahoma"/>
            <family val="2"/>
          </rPr>
          <t>BJ:</t>
        </r>
        <r>
          <rPr>
            <sz val="9"/>
            <color indexed="81"/>
            <rFont val="Tahoma"/>
            <family val="2"/>
          </rPr>
          <t xml:space="preserve">
For all GDP: 
NCU m, 2015 reference prices (prev. year prices, incl. 'euro fixed' series)
wiiw</t>
        </r>
      </text>
    </comment>
    <comment ref="K1" authorId="0" shapeId="0" xr:uid="{1718B8EA-AF4A-4032-BA21-1CCA0B73EA70}">
      <text>
        <r>
          <rPr>
            <b/>
            <sz val="9"/>
            <color indexed="81"/>
            <rFont val="Tahoma"/>
            <family val="2"/>
          </rPr>
          <t>BJ:</t>
        </r>
        <r>
          <rPr>
            <sz val="9"/>
            <color indexed="81"/>
            <rFont val="Tahoma"/>
            <family val="2"/>
          </rPr>
          <t xml:space="preserve">
Households + NPISH
Only Households</t>
        </r>
      </text>
    </comment>
    <comment ref="M1" authorId="0" shapeId="0" xr:uid="{F7549C45-AD61-4FC9-9E33-7F9A5DD07CC4}">
      <text>
        <r>
          <rPr>
            <b/>
            <sz val="9"/>
            <color indexed="81"/>
            <rFont val="Tahoma"/>
            <family val="2"/>
          </rPr>
          <t>BJ:</t>
        </r>
        <r>
          <rPr>
            <sz val="9"/>
            <color indexed="81"/>
            <rFont val="Tahoma"/>
            <family val="2"/>
          </rPr>
          <t xml:space="preserve">
Gross capital formation</t>
        </r>
      </text>
    </comment>
    <comment ref="P1" authorId="0" shapeId="0" xr:uid="{C11547A7-7B23-4924-A3EC-A3E4F0406E5B}">
      <text>
        <r>
          <rPr>
            <b/>
            <sz val="9"/>
            <color indexed="81"/>
            <rFont val="Tahoma"/>
            <family val="2"/>
          </rPr>
          <t>Employment, LFS, thousand persons
wiiw</t>
        </r>
      </text>
    </comment>
    <comment ref="Q1" authorId="0" shapeId="0" xr:uid="{D6893E39-504C-4ADA-9B8B-015781181A07}">
      <text>
        <r>
          <rPr>
            <b/>
            <sz val="9"/>
            <color indexed="81"/>
            <rFont val="Tahoma"/>
            <family val="2"/>
          </rPr>
          <t>Unemployment, LFS, thousand persons
wiiw</t>
        </r>
      </text>
    </comment>
    <comment ref="R1" authorId="0" shapeId="0" xr:uid="{D182809C-2F70-4DD2-874A-604F2AC2D80C}">
      <text>
        <r>
          <rPr>
            <b/>
            <sz val="9"/>
            <color indexed="81"/>
            <rFont val="Tahoma"/>
            <family val="2"/>
          </rPr>
          <t>Unemployment, LFS, in %
wiiw</t>
        </r>
      </text>
    </comment>
    <comment ref="S1" authorId="0" shapeId="0" xr:uid="{6C7D2377-B61B-4191-960D-9DF7D4A780DA}">
      <text>
        <r>
          <rPr>
            <sz val="9"/>
            <color indexed="81"/>
            <rFont val="Tahoma"/>
            <family val="2"/>
          </rPr>
          <t>Average monthly gross wages total, 
national currency (incl. 'euro fixed' series), yoy growth
wiiw</t>
        </r>
      </text>
    </comment>
    <comment ref="T1" authorId="0" shapeId="0" xr:uid="{4A5FDAF3-C297-48DB-AACD-47C50F5BC72E}">
      <text>
        <r>
          <rPr>
            <b/>
            <sz val="9"/>
            <color indexed="81"/>
            <rFont val="Tahoma"/>
            <family val="2"/>
          </rPr>
          <t>BJ:</t>
        </r>
        <r>
          <rPr>
            <sz val="9"/>
            <color indexed="81"/>
            <rFont val="Tahoma"/>
            <family val="2"/>
          </rPr>
          <t xml:space="preserve">
Central bank policy rate, nominal
wiiw</t>
        </r>
      </text>
    </comment>
    <comment ref="U1" authorId="0" shapeId="0" xr:uid="{2808D48E-F9D0-4E18-A53A-DD0B6E895860}">
      <text>
        <r>
          <rPr>
            <b/>
            <sz val="9"/>
            <color indexed="81"/>
            <rFont val="Tahoma"/>
            <family val="2"/>
          </rPr>
          <t>BJ:</t>
        </r>
        <r>
          <rPr>
            <sz val="9"/>
            <color indexed="81"/>
            <rFont val="Tahoma"/>
            <family val="2"/>
          </rPr>
          <t xml:space="preserve">
Consumer prices index, monthly average, 2015 = 100
wiiw</t>
        </r>
      </text>
    </comment>
    <comment ref="V1" authorId="0" shapeId="0" xr:uid="{65D0F4C7-32C0-4592-96A4-DB9531DF8D10}">
      <text>
        <r>
          <rPr>
            <b/>
            <sz val="9"/>
            <color indexed="81"/>
            <rFont val="Tahoma"/>
            <family val="2"/>
          </rPr>
          <t>BJ:</t>
        </r>
        <r>
          <rPr>
            <sz val="9"/>
            <color indexed="81"/>
            <rFont val="Tahoma"/>
            <family val="2"/>
          </rPr>
          <t xml:space="preserve">
Exchange rate nominal NCU/EUR, period average
wiiw</t>
        </r>
      </text>
    </comment>
    <comment ref="W1" authorId="0" shapeId="0" xr:uid="{EEBFF108-2133-4D1C-A9F5-FD0E85D3474B}">
      <text>
        <r>
          <rPr>
            <b/>
            <sz val="9"/>
            <color indexed="81"/>
            <rFont val="Tahoma"/>
            <family val="2"/>
          </rPr>
          <t>BJ:</t>
        </r>
        <r>
          <rPr>
            <sz val="9"/>
            <color indexed="81"/>
            <rFont val="Tahoma"/>
            <family val="2"/>
          </rPr>
          <t xml:space="preserve">
 Industrial output (BCD - NACE Rev. 2), index real, monthly average, 2015 = 100, yoy growth
wiiw</t>
        </r>
      </text>
    </comment>
    <comment ref="X1" authorId="0" shapeId="0" xr:uid="{02669A1D-E360-4DB1-A2ED-F9B05D476AD8}">
      <text>
        <r>
          <rPr>
            <b/>
            <sz val="9"/>
            <color indexed="81"/>
            <rFont val="Tahoma"/>
            <family val="2"/>
          </rPr>
          <t>BJ:</t>
        </r>
        <r>
          <rPr>
            <sz val="9"/>
            <color indexed="81"/>
            <rFont val="Tahoma"/>
            <family val="2"/>
          </rPr>
          <t xml:space="preserve">
Exports total, fob EUR m, yoy growth
wiiw
Alexandra: changed to BOP: exports of goods and services</t>
        </r>
      </text>
    </comment>
    <comment ref="Y1" authorId="0" shapeId="0" xr:uid="{CB001405-0ACE-4246-91FF-75DFD8B03370}">
      <text>
        <r>
          <rPr>
            <b/>
            <sz val="9"/>
            <color indexed="81"/>
            <rFont val="Tahoma"/>
            <family val="2"/>
          </rPr>
          <t>BJ:</t>
        </r>
        <r>
          <rPr>
            <sz val="9"/>
            <color indexed="81"/>
            <rFont val="Tahoma"/>
            <family val="2"/>
          </rPr>
          <t xml:space="preserve">
 Imports total, cif EUR m
wiiw
Alexandra: changed to BOP: imports of goods and services</t>
        </r>
      </text>
    </comment>
    <comment ref="Z1" authorId="0" shapeId="0" xr:uid="{E20CFC55-01A2-4F5E-9640-18C58F34E229}">
      <text>
        <r>
          <rPr>
            <b/>
            <sz val="9"/>
            <color indexed="81"/>
            <rFont val="Tahoma"/>
            <family val="2"/>
          </rPr>
          <t>BJ:</t>
        </r>
        <r>
          <rPr>
            <sz val="9"/>
            <color indexed="81"/>
            <rFont val="Tahoma"/>
            <family val="2"/>
          </rPr>
          <t xml:space="preserve">
Current account in % of GDP
wiiw</t>
        </r>
      </text>
    </comment>
    <comment ref="AA1" authorId="0" shapeId="0" xr:uid="{0DAED0B0-0015-487A-A5C9-DB858A701531}">
      <text>
        <r>
          <rPr>
            <b/>
            <sz val="9"/>
            <color indexed="81"/>
            <rFont val="Tahoma"/>
            <family val="2"/>
          </rPr>
          <t>BJ:</t>
        </r>
        <r>
          <rPr>
            <sz val="9"/>
            <color indexed="81"/>
            <rFont val="Tahoma"/>
            <family val="2"/>
          </rPr>
          <t xml:space="preserve">
Households + NPISH</t>
        </r>
      </text>
    </comment>
    <comment ref="AC1" authorId="0" shapeId="0" xr:uid="{30A826CC-AF14-43D4-835E-D61BAFC89831}">
      <text>
        <r>
          <rPr>
            <b/>
            <sz val="9"/>
            <color indexed="81"/>
            <rFont val="Tahoma"/>
            <family val="2"/>
          </rPr>
          <t>BJ:</t>
        </r>
        <r>
          <rPr>
            <sz val="9"/>
            <color indexed="81"/>
            <rFont val="Tahoma"/>
            <family val="2"/>
          </rPr>
          <t xml:space="preserve">
Gross capital formation</t>
        </r>
      </text>
    </comment>
    <comment ref="AF1" authorId="0" shapeId="0" xr:uid="{455A8C61-0BB5-43CE-AB24-0616CE8F282B}">
      <text>
        <r>
          <rPr>
            <b/>
            <sz val="9"/>
            <color indexed="81"/>
            <rFont val="Tahoma"/>
            <family val="2"/>
          </rPr>
          <t>BJ:</t>
        </r>
        <r>
          <rPr>
            <sz val="9"/>
            <color indexed="81"/>
            <rFont val="Tahoma"/>
            <family val="2"/>
          </rPr>
          <t xml:space="preserve">
loans to households, nominal, yoy growth rates</t>
        </r>
      </text>
    </comment>
    <comment ref="B8" authorId="1" shapeId="0" xr:uid="{3C318715-4005-4F34-BB23-0AEEA72861F6}">
      <text>
        <r>
          <rPr>
            <sz val="9"/>
            <color indexed="81"/>
            <rFont val="Segoe UI"/>
            <family val="2"/>
          </rPr>
          <t xml:space="preserve">ID: 144396
Label: eug11tscrx_q
Database: wiiw Monthly Database - Hidden
Status: active
Calculation: 
Calculation_M: SubScal(L_eug11tscx_q&gt;mdb,100)
Calculation_Q: SubScal(L_eug11tscx_q&gt;mdb,100)
Calculation_A: SubScal(L_eug11tscx_q&gt;mdb,100)
Periodicity: Q
Data available M: 1996m3 - 2023m9
Data available Q: 1996q1 - 2023q3
Data available A: 1996 - 2022
Text 99: 
Automatic update period: 1999|2015
Time shift: 
Note: 
Reporter: EU27_2020 - EU - 27 countries (from 2020)
Chapter 1: 02_NA - National accounts
Indicator: SC0201 - Gross domestic product total
Unit: 05_Ireal_36 - real growth rate to corresponding period of previous year in %
Footnote 1: FZZ05 - According to ESA'10.
Footnote 2:  - 
Footnote 3:  - 
Footnote 4:  - 
Source 1: Z_ESTAT - Eurostat
Source 2: Z_wiiw - wiiw
Source 3:  - 
</t>
        </r>
      </text>
    </comment>
    <comment ref="C8" authorId="1" shapeId="0" xr:uid="{526F6C7F-B4EF-4080-93D6-5AE485E74199}">
      <text>
        <r>
          <rPr>
            <sz val="9"/>
            <color indexed="81"/>
            <rFont val="Segoe UI"/>
            <family val="2"/>
          </rPr>
          <t xml:space="preserve">ID: 77811
Label: eup1p1tsa
Database: wiiw Monthly Database - Hidden
Status: active
Calculation: 
Calculation_M: 
Calculation_Q: m-&gt;q AVG(L_eup1p1tsa&gt;mdb)
Calculation_A: q-&gt;a AVG(L_eup1p1tsa&gt;mdb)
Periodicity: Q
Data available M: 1999m1 - 2023m12
Data available Q: 1999q1 - 2023q4
Data available A: 1999 - 2023
Text 99: 
Automatic update period: 1999|2015
Time shift: 
Note: 
Reporter: EU - European Union evolutionary
Chapter 1: 07_PRC - Prices
Indicator: SC0701 - Consumer prices
Unit: 03_I_1_085_15avg - index, monthly average, 2015 = 100
Footnote 1: FZZ40 - Based on HICP (Harmonized Index of Consumer Prices).
Footnote 2:  - 
Footnote 3:  - 
Footnote 4:  - 
Source 1: Z_ESTAT - Eurostat
Source 2:  - 
Source 3:  - 
</t>
        </r>
      </text>
    </comment>
    <comment ref="D8" authorId="1" shapeId="0" xr:uid="{F40D68F5-D728-4DF6-82B0-73E36BF93DEA}">
      <text>
        <r>
          <rPr>
            <sz val="9"/>
            <color indexed="81"/>
            <rFont val="Segoe UI"/>
            <family val="2"/>
          </rPr>
          <t xml:space="preserve">ID: 77812
Label: eup1p1tscx
Database: wiiw Monthly Database - Hidden
Status: active
Calculation: SubScal(L_eup1p1tscx&gt;mdb,100)
Calculation_M: CPPY=100(L_eup1p1tsa&gt;mdb)
Calculation_Q: CPPY=100(L_eup1p1tsa&gt;mdb)
Calculation_A: CPPY=100(L_eup1p1tsa&gt;mdb)
Periodicity: Q
Data available M: 1992m1 - 2023m12
Data available Q: 1992q1 - 2023q4
Data available A: 1992 - 2023
Text 99: 
Automatic update period: 1999|2015
Time shift: 
Note: 
Reporter: EU - European Union evolutionary
Chapter 1: 07_PRC - Prices
Indicator: SC0701 - Consumer prices
Unit: 03_I_32 - index, corresponding period of previous year = 100
Footnote 1: FZZ40 - Based on HICP (Harmonized Index of Consumer Prices).
Footnote 2:  - 
Footnote 3:  - 
Footnote 4:  - 
Source 1: Z_ESTAT - Eurostat
Source 2: Z_wiiw - wiiw
Source 3:  - 
</t>
        </r>
      </text>
    </comment>
    <comment ref="E8" authorId="1" shapeId="0" xr:uid="{52EF8101-24BF-4276-A212-80643F37D43A}">
      <text>
        <r>
          <rPr>
            <sz val="9"/>
            <color indexed="81"/>
            <rFont val="Segoe UI"/>
            <family val="2"/>
          </rPr>
          <t xml:space="preserve">ID: 144399
Label: eafrr1tp_help
Database: wiiw Monthly Database - Hidden
Status: active
Calculation: 
Calculation_M: L_eafrr1tp&gt;mdb
Calculation_Q: m-&gt;q AVG(L_eafrr1tp&gt;mdb)
Calculation_A: q-&gt;a AVG(L_eafrr1tp&gt;mdb)
Periodicity: Q
Data available M: 1999m1 - 2023m12
Data available Q: 1999q1 - 2023q4
Data available A: 1999 - 2023
Text 99: 
Automatic update period: 1999|2015
Time shift: 
Note: 
Reporter: EA - Euro area evolutionary
Chapter 1: 10_DF - Domestic finance
Indicator: SC1050 - Central bank policy rate
Unit: 06_IntR_6 - % p.a., period average
Footnote 1: FZZ50 - Official refinancing operation rates for euro area (ECB), rate in fixed rate tenders (between June 2000 and September 2008 the minimum bid rate in variable rate tenders was applied).
Footnote 2:  - 
Footnote 3:  - 
Footnote 4:  - 
Source 1: Z_ECB - European Central Bank
Source 2:  - 
Source 3:  - 
</t>
        </r>
      </text>
    </comment>
    <comment ref="F8" authorId="1" shapeId="0" xr:uid="{45FB0D36-311B-4375-AA03-59BEB4838AF5}">
      <text>
        <r>
          <rPr>
            <sz val="9"/>
            <color indexed="81"/>
            <rFont val="Segoe UI"/>
            <family val="2"/>
          </rPr>
          <t xml:space="preserve">ID: 101874
Label: usp2oila
Database: wiiw Monthly Database - Hidden
Status: active
Calculation: 
Calculation_M: 
Calculation_Q: M-&gt;Q AVG(L_usp2oila&gt;mdb)
Calculation_A: Q-&gt;A AVG(L_usp2oila&gt;mdb)
Periodicity: Q
Data available M: 1990m1 - 2023m12
Data available Q: 1990q1 - 2023q4
Data available A: 1990 - 2023
Text 99: 
Automatic update period: 1999|2015
Time shift: 
Note: Oil prices  &amp; Europe Brent Spot Price FOB (Dollars per Barrel) &amp; EIA (US) Source of the data. Gespeichert auf die EU&amp;US Karten.
Reporter: US - United States
Chapter 1: 11_FF - Foreign finance
Indicator:  - 
Unit:  - 
Footnote 1:  - 
Footnote 2:  - 
Footnote 3:  - 
Footnote 4:  - 
Source 1:  - 
Source 2:  - 
Source 3:  - 
</t>
        </r>
      </text>
    </comment>
    <comment ref="G8" authorId="1" shapeId="0" xr:uid="{DE48BB83-977C-440B-8C3C-1651DCFEF1E2}">
      <text>
        <r>
          <rPr>
            <sz val="9"/>
            <color indexed="81"/>
            <rFont val="Segoe UI"/>
            <family val="2"/>
          </rPr>
          <t xml:space="preserve">ID: 32791
Label: eebg21n_q
Database: wiiw Monthly Database - Public
Status: active
Calculation: SubScal(CPPY=100(L_eebg21n_q&gt;mdb),100)
Calculation_M: q-&gt;m EOP(L_eebg21n_q&gt;mdb)
Calculation_Q: 
Calculation_A: Q-&gt;A CUMPER(L_eebg21n_q&gt;mdb)
Periodicity: Q
Data available M: 1999m3 - 2023m9
Data available Q: 1999q1 - 2023q3
Data available A: 1999 - 2022
Text 99: 
Automatic update period: 1999|2015
Time shift: 
Note: 
Reporter: EE - Estonia
Chapter 1: 10_DF - Domestic finance
Indicator: SC1011 - General gov. budget (ESA'10, EDP) - expenditures
Unit: 01_Curr_12 - NCU m (incl. 'euro fixed' series)
Footnote 1: FZZ56 - From 2002 according to ESA'10 excessive deficit procedure, ESA'95 before.
Footnote 2: FEE08 - Until December 2010 time series in EEK have been divided by the conversion factor 15,6466 (EEK per EUR) to EUR-EEK.
Footnote 3:  - 
Footnote 4:  - 
Source 1: Z_ESTAT - Eurostat
Source 2:  - 
Source 3:  - 
</t>
        </r>
      </text>
    </comment>
    <comment ref="H8" authorId="1" shapeId="0" xr:uid="{65B58765-A4B0-4DDA-9AA5-F02AE26E5402}">
      <text>
        <r>
          <rPr>
            <sz val="9"/>
            <color indexed="81"/>
            <rFont val="Segoe UI"/>
            <family val="2"/>
          </rPr>
          <t xml:space="preserve">ID: 32790
Label: eebg11n_q
Database: wiiw Monthly Database - Public
Status: active
Calculation: SubScal(CPPY=100(L_eebg11n_q&gt;mdb),100)
Calculation_M: q-&gt;m EOP(L_eebg11n_q&gt;mdb)
Calculation_Q: 
Calculation_A: Q-&gt;A CUMPER(L_eebg11n_q&gt;mdb)
Periodicity: Q
Data available M: 1999m3 - 2023m9
Data available Q: 1999q1 - 2023q3
Data available A: 1999 - 2022
Text 99: 
Automatic update period: 1999|2015
Time shift: 
Note: 
Reporter: EE - Estonia
Chapter 1: 10_DF - Domestic finance
Indicator: SC1010 - General gov. budget (ESA'10, EDP) - revenues
Unit: 01_Curr_12 - NCU m (incl. 'euro fixed' series)
Footnote 1: FZZ56 - From 2002 according to ESA'10 excessive deficit procedure, ESA'95 before.
Footnote 2: FEE08 - Until December 2010 time series in EEK have been divided by the conversion factor 15,6466 (EEK per EUR) to EUR-EEK.
Footnote 3:  - 
Footnote 4:  - 
Source 1: Z_ESTAT - Eurostat
Source 2:  - 
Source 3:  - 
</t>
        </r>
      </text>
    </comment>
    <comment ref="I8" authorId="1" shapeId="0" xr:uid="{3D3B6E7A-A928-460A-9535-6A0331EEE54C}">
      <text>
        <r>
          <rPr>
            <sz val="9"/>
            <color indexed="81"/>
            <rFont val="Segoe UI"/>
            <family val="2"/>
          </rPr>
          <t xml:space="preserve">ID: 89164
Label: eebg31px_q
Database: wiiw Monthly Database - Public
Status: active
Calculation: 
Calculation_M: Q-&gt;M EOP(L_eebg31px_q&gt;mdb)
Calculation_Q: Share(L_eebg31nx_q&gt;mdb,L_eeg11tn_q&gt;mdb)
Calculation_A: Share(L_eebg31nx_q&gt;mdb,L_eeg11tn_q&gt;mdb)
Periodicity: Q
Data available M: 1999m3 - 2023m9
Data available Q: 1999q1 - 2023q3
Data available A: 1999 - 2022
Text 99: 
Automatic update period: 1999|2015
Time shift: 
Note: 
Reporter: EE - Estonia
Chapter 1: 10_DF - Domestic finance
Indicator: SC1012 - General gov. budget (ESA'10, EDP) - balance
Unit: 09_Share_%gdp - in % of GDP
Footnote 1: FZZ56 - From 2002 according to ESA'10 excessive deficit procedure, ESA'95 before.
Footnote 2:  - 
Footnote 3:  - 
Footnote 4:  - 
Source 1: Z_ESTAT - Eurostat
Source 2: Z_wiiw - wiiw
Source 3:  - 
</t>
        </r>
      </text>
    </comment>
    <comment ref="J8" authorId="1" shapeId="0" xr:uid="{0399CE11-F8F1-47AE-B187-7A18D60E09EA}">
      <text>
        <r>
          <rPr>
            <sz val="9"/>
            <color indexed="81"/>
            <rFont val="Segoe UI"/>
            <family val="2"/>
          </rPr>
          <t xml:space="preserve">ID: 88636
Label: eeg11tr15_q
Database: wiiw Monthly Database - Public
Status: active
Calculation: SubScal(CPPY=100(L_eeg11tr15_q&gt;mdb),100)
Calculation_M: q-&gt;m EOP(L_eeg11tr15_q&gt;mdb)
Calculation_Q: 
Calculation_A: q-&gt;a CumPer(L_eeg11tr15_q&gt;mdb)
Periodicity: Q
Data available M: 1995m3 - 2023m9
Data available Q: 1995q1 - 2023q3
Data available A: 1995 - 2022
Text 99: 
Automatic update period: 1999|2015
Time shift: 
Note: 
Reporter: EE - Estonia
Chapter 1: 02_NA - National accounts
Indicator: SC0201 - Gross domestic product total
Unit: 01_Curr_15_085_15_r - NCU m, 2015 reference prices (prev. year prices, incl. 'euro fixed' series)
Footnote 1: FZZ05 - According to ESA'10.
Footnote 2:  - 
Footnote 3:  - 
Footnote 4:  - 
Source 1: Z_ESTAT - Eurostat
Source 2:  - 
Source 3:  - 
</t>
        </r>
      </text>
    </comment>
    <comment ref="K8" authorId="1" shapeId="0" xr:uid="{EFBF7291-CFDC-4365-B596-23165EA37879}">
      <text>
        <r>
          <rPr>
            <sz val="9"/>
            <color indexed="81"/>
            <rFont val="Segoe UI"/>
            <family val="2"/>
          </rPr>
          <t xml:space="preserve">ID: 90867
Label: eeg222r15_q
Database: wiiw Monthly Database - Public
Status: active
Calculation: SubScal(CPPY=100(L_eeg222r15_q&gt;mdb),100)
Calculation_M: q-&gt;m EOP(L_eeg222r15_q&gt;mdb)
Calculation_Q: 
Calculation_A: q-&gt;a CumPer(L_eeg222r15_q&gt;mdb)
Periodicity: Q
Data available M: 1995m3 - 2023m9
Data available Q: 1995q1 - 2023q3
Data available A: 1995 - 2022
Text 99: 
Automatic update period: 1999|2015
Time shift: 
Note: 
Reporter: EE - Estonia
Chapter 1: 02_NA - National accounts
Indicator: SC0212 - Household final consumption expenditure
Unit: 01_Curr_15_085_15_r - NCU m, 2015 reference prices (prev. year prices, incl. 'euro fixed' series)
Footnote 1:  - 
Footnote 2:  - 
Footnote 3:  - 
Footnote 4:  - 
Source 1: Z_ESTAT - Eurostat
Source 2:  - 
Source 3:  - 
</t>
        </r>
      </text>
    </comment>
    <comment ref="L8" authorId="1" shapeId="0" xr:uid="{C5C77919-E963-4396-9F1D-BAF89701A44F}">
      <text>
        <r>
          <rPr>
            <sz val="9"/>
            <color indexed="81"/>
            <rFont val="Segoe UI"/>
            <family val="2"/>
          </rPr>
          <t xml:space="preserve">ID: 90911
Label: eeg223r15_q
Database: wiiw Monthly Database - Public
Status: active
Calculation: SubScal(CPPY=100(L_eeg223r15_q&gt;mdb),100)
Calculation_M: q-&gt;m EOP(L_eeg223r15_q&gt;mdb)
Calculation_Q: 
Calculation_A: q-&gt;a CumPer(L_eeg223r15_q&gt;mdb)
Periodicity: Q
Data available M: 1995m3 - 2023m9
Data available Q: 1995q1 - 2023q3
Data available A: 1995 - 2022
Text 99: 
Automatic update period: 1999|2015
Time shift: 
Note: 
Reporter: EE - Estonia
Chapter 1: 02_NA - National accounts
Indicator: SC0214 - Government final consumption expenditure
Unit: 01_Curr_15_085_15_r - NCU m, 2015 reference prices (prev. year prices, incl. 'euro fixed' series)
Footnote 1:  - 
Footnote 2:  - 
Footnote 3:  - 
Footnote 4:  - 
Source 1: Z_ESTAT - Eurostat
Source 2:  - 
Source 3:  - 
</t>
        </r>
      </text>
    </comment>
    <comment ref="M8" authorId="1" shapeId="0" xr:uid="{5F9B8BE8-465C-4DEF-863A-40DA1D06D776}">
      <text>
        <r>
          <rPr>
            <sz val="9"/>
            <color indexed="81"/>
            <rFont val="Segoe UI"/>
            <family val="2"/>
          </rPr>
          <t xml:space="preserve">ID: 90933
Label: eeg224r15_q
Database: wiiw Monthly Database - Public
Status: active
Calculation: SubScal(CPPY=100(L_eeg224r15_q&gt;mdb),100)
Calculation_M: q-&gt;m EOP(L_eeg224r15_q&gt;mdb)
Calculation_Q: 
Calculation_A: q-&gt;a CumPer(L_eeg224r15_q&gt;mdb)
Periodicity: Q
Data available M: 1995m3 - 2023m9
Data available Q: 1995q1 - 2023q3
Data available A: 1995 - 2022
Text 99: 
Automatic update period: 1999|2015
Time shift: 
Note: 
Reporter: EE - Estonia
Chapter 1: 02_NA - National accounts
Indicator: SC0217 - Gross capital formation
Unit: 01_Curr_15_085_15_r - NCU m, 2015 reference prices (prev. year prices, incl. 'euro fixed' series)
Footnote 1:  - 
Footnote 2:  - 
Footnote 3:  - 
Footnote 4:  - 
Source 1: Z_ESTAT - Eurostat
Source 2:  - 
Source 3:  - 
</t>
        </r>
      </text>
    </comment>
    <comment ref="N8" authorId="1" shapeId="0" xr:uid="{A1999D81-6EC1-4FF7-B045-4F4286AFD584}">
      <text>
        <r>
          <rPr>
            <sz val="9"/>
            <color indexed="81"/>
            <rFont val="Segoe UI"/>
            <family val="2"/>
          </rPr>
          <t xml:space="preserve">ID: 90977
Label: eeg228r15_q
Database: wiiw Monthly Database - Public
Status: active
Calculation: SubScal(CPPY=100(L_eeg228r15_q&gt;mdb),100)
Calculation_M: q-&gt;m EOP(L_eeg228r15_q&gt;mdb)
Calculation_Q: 
Calculation_A: q-&gt;a CumPer(L_eeg228r15_q&gt;mdb)
Periodicity: Q
Data available M: 1995m3 - 2023m9
Data available Q: 1995q1 - 2023q3
Data available A: 1995 - 2022
Text 99: 
Automatic update period: 1999|2015
Time shift: 
Note: 
Reporter: EE - Estonia
Chapter 1: 02_NA - National accounts
Indicator: SC0221 - Exports of goods and services
Unit: 01_Curr_15_085_15_r - NCU m, 2015 reference prices (prev. year prices, incl. 'euro fixed' series)
Footnote 1:  - 
Footnote 2:  - 
Footnote 3:  - 
Footnote 4:  - 
Source 1: Z_ESTAT - Eurostat
Source 2:  - 
Source 3:  - 
</t>
        </r>
      </text>
    </comment>
    <comment ref="O8" authorId="1" shapeId="0" xr:uid="{13DBFFDF-0A4B-49AD-9D67-A15D9E386FB2}">
      <text>
        <r>
          <rPr>
            <sz val="9"/>
            <color indexed="81"/>
            <rFont val="Segoe UI"/>
            <family val="2"/>
          </rPr>
          <t xml:space="preserve">ID: 90999
Label: eeg229r15_q
Database: wiiw Monthly Database - Public
Status: active
Calculation: SubScal(CPPY=100(L_eeg229r15_q&gt;mdb),100)
Calculation_M: q-&gt;m EOP(L_eeg229r15_q&gt;mdb)
Calculation_Q: 
Calculation_A: q-&gt;a CumPer(L_eeg229r15_q&gt;mdb)
Periodicity: Q
Data available M: 1995m3 - 2023m9
Data available Q: 1995q1 - 2023q3
Data available A: 1995 - 2022
Text 99: 
Automatic update period: 1999|2015
Time shift: 
Note: 
Reporter: EE - Estonia
Chapter 1: 02_NA - National accounts
Indicator: SC0222 - Imports of goods and services
Unit: 01_Curr_15_085_15_r - NCU m, 2015 reference prices (prev. year prices, incl. 'euro fixed' series)
Footnote 1:  - 
Footnote 2:  - 
Footnote 3:  - 
Footnote 4:  - 
Source 1: Z_ESTAT - Eurostat
Source 2:  - 
Source 3:  - 
</t>
        </r>
      </text>
    </comment>
    <comment ref="P8" authorId="1" shapeId="0" xr:uid="{2D0FBA9F-DB97-4A3E-A731-F3783027DCDA}">
      <text>
        <r>
          <rPr>
            <sz val="9"/>
            <color indexed="81"/>
            <rFont val="Segoe UI"/>
            <family val="2"/>
          </rPr>
          <t xml:space="preserve">ID: 32646
Label: eee51_ta_q
Database: wiiw Monthly Database - Public
Status: active
Calculation: 
Calculation_M: q-&gt;m EOP(L_eee51_ta_q&gt;mdb)
Calculation_Q: 
Calculation_A: q-&gt;a AVG(L_eee51_ta_q&gt;mdb)
Periodicity: Q
Data available M: 1997m3 - 2023m9
Data available Q: 1997q1 - 2023q3
Data available A: 1997 - 2022
Text 99: 
Automatic update period: 1999|2015
Time shift: 
Note: 
Reporter: EE - Estonia
Chapter 1: 05_LAB - Labour market
Indicator: SC0501 - Employment, LFS
Unit: 02_Pers_11 - th persons, period average
Footnote 1: FZZ09 - From 2021 new methodology in line with the Integrated European Social Statistics Regulation (IESS).
Footnote 2: FEE05 - From 2012 according to census March 2011.
Footnote 3:  - 
Footnote 4:  - 
Source 1: Z_ESTAT - Eurostat
Source 2: QEE1 - Statistics Estonia
Source 3:  - 
</t>
        </r>
      </text>
    </comment>
    <comment ref="Q8" authorId="1" shapeId="0" xr:uid="{3063FC3A-54E4-4929-BB6E-C36F5D73B70F}">
      <text>
        <r>
          <rPr>
            <sz val="9"/>
            <color indexed="81"/>
            <rFont val="Segoe UI"/>
            <family val="2"/>
          </rPr>
          <t xml:space="preserve">ID: 32672
Label: eee5u_ta_q
Database: wiiw Monthly Database - Public
Status: active
Calculation: 
Calculation_M: q-&gt;m EOP(L_eee5u_ta_q&gt;mdb)
Calculation_Q: 
Calculation_A: q-&gt;a AVG(L_eee5u_ta_q&gt;mdb)
Periodicity: Q
Data available M: 1997m3 - 2023m9
Data available Q: 1997q1 - 2023q3
Data available A: 1997 - 2022
Text 99: 
Automatic update period: 1999|2015
Time shift: 
Note: 
Reporter: EE - Estonia
Chapter 1: 05_LAB - Labour market
Indicator: SC0507 - Unemployment, LFS
Unit: 02_Pers_11 - th persons, period average
Footnote 1: FZZ09 - From 2021 new methodology in line with the Integrated European Social Statistics Regulation (IESS).
Footnote 2: FEE05 - From 2012 according to census March 2011.
Footnote 3:  - 
Footnote 4:  - 
Source 1: Z_ESTAT - Eurostat
Source 2: QEE1 - Statistics Estonia
Source 3:  - 
</t>
        </r>
      </text>
    </comment>
    <comment ref="R8" authorId="1" shapeId="0" xr:uid="{06973647-3EE4-453E-97D9-4A9C1A3A5DE5}">
      <text>
        <r>
          <rPr>
            <sz val="9"/>
            <color indexed="81"/>
            <rFont val="Segoe UI"/>
            <family val="2"/>
          </rPr>
          <t xml:space="preserve">ID: 32692
Label: eee5u_tp_q
Database: wiiw Monthly Database - Public
Status: active
Calculation: 
Calculation_M: q-&gt;m EOP(L_eee5u_tp_q&gt;mdb)
Calculation_Q: 
Calculation_A: MulScal(Div(L_eee5u_ta_q&gt;mdb,Add(L_eee5u_ta_q&gt;mdb,L_eee51_ta_q&gt;mdb)),100)
Periodicity: Q
Data available M: 1997m3 - 2023m9
Data available Q: 1997q1 - 2023q3
Data available A: 1997 - 2022
Text 99: 
Automatic update period: 1999|2015
Time shift: 
Note: 
Reporter: EE - Estonia
Chapter 1: 05_LAB - Labour market
Indicator: SC0508 - Unemployment rate, LFS
Unit: 02_Pers_21 - in %, period average
Footnote 1: FZZ09 - From 2021 new methodology in line with the Integrated European Social Statistics Regulation (IESS).
Footnote 2: FEE05 - From 2012 according to census March 2011.
Footnote 3:  - 
Footnote 4:  - 
Source 1: Z_ESTAT - Eurostat
Source 2: QEE1 - Statistics Estonia
Source 3:  - 
</t>
        </r>
      </text>
    </comment>
    <comment ref="S8" authorId="1" shapeId="0" xr:uid="{4D501D43-DC34-4041-9063-FDEA01FF81C4}">
      <text>
        <r>
          <rPr>
            <sz val="9"/>
            <color indexed="81"/>
            <rFont val="Segoe UI"/>
            <family val="2"/>
          </rPr>
          <t xml:space="preserve">ID: 32778
Label: eew11_tccx_q
Database: wiiw Monthly Database - Public
Status: active
Calculation: SubScal(L_eew11_tccx_q&gt;mdb,100)
Calculation_M: q-&gt;m EOP(L_eew11_tccx_q&gt;mdb)
Calculation_Q: CPPY=100(L_eew11_tn_q&gt;mdb)
Calculation_A: CPPY=100(L_eew11_tn_q&gt;mdb)
Periodicity: Q
Data available M: 1993m3 - 2023m9
Data available Q: 1993q1 - 2023q3
Data available A: 1993 - 2022
Text 99: 
Automatic update period: 1999|2015
Time shift: 
Note: total NACE 1 = total NACE 2 -&gt; no impact on growth rates. From 2009 according to NACE Rev. 2.
Reporter: EE - Estonia
Chapter 1: 06_WS - Wages
Indicator: SC0601 - Average monthly gross wages total
Unit: 04_Inom_32 - index nominal, corresponding period of previous year = 100
Footnote 1: FEE20 - From 2022 based on tax administration data, survey data before.
Footnote 2: FEE04 - From 1999 excluding compensations from Health Insurance Fund for sick benefits.
Footnote 3:  - 
Footnote 4:  - 
Source 1: QEE1 - Statistics Estonia
Source 2: Z_wiiw - wiiw
Source 3:  - 
</t>
        </r>
      </text>
    </comment>
    <comment ref="T8" authorId="1" shapeId="0" xr:uid="{8D354094-835C-48A5-9A30-E2F10956BF47}">
      <text>
        <r>
          <rPr>
            <sz val="9"/>
            <color indexed="81"/>
            <rFont val="Segoe UI"/>
            <family val="2"/>
          </rPr>
          <t xml:space="preserve">ID: 763
Label: eefrr1tp
Database: wiiw Monthly Database - Public
Status: active
Calculation: 
Calculation_M: TimeSpan(L_eafrr1tp&gt;mdb,2011-)
Calculation_Q: m-&gt;q EOP(L_eefrr1tp&gt;mdb)
Calculation_A: q-&gt;a EOP(L_eefrr1tp&gt;mdb)
Periodicity: Q
Data available M: 1996m1 - 2023m12
Data available Q: 1996q1 - 2023q4
Data available A: 1996 - 2023
Text 99: 
Automatic update period: 1999|2015
Time shift: 
Note: es gibt bei E-Stat f. policy rate überhaupt keine Daten (cause: currency board) --&gt; money market rate
Reporter: EE - Estonia
Chapter 1: 10_DF - Domestic finance
Indicator: SC1050 - Central bank policy rate
Unit: 06_IntR_1 - % p.a., end of period
Footnote 1: FEE02 - From January 2011 euro area official refinancing operation rate, 1996-2010 TALIBOR 1-month interbank offered rate (Estonia had a currency board).
Footnote 2:  - 
Footnote 3:  - 
Footnote 4:  - 
Source 1: Z_ECB - European Central Bank
Source 2: QEE2 - Bank of Estonia
Source 3:  - 
</t>
        </r>
      </text>
    </comment>
    <comment ref="U8" authorId="1" shapeId="0" xr:uid="{B8C3388F-405F-42EA-B2A1-40570C07344A}">
      <text>
        <r>
          <rPr>
            <sz val="9"/>
            <color indexed="81"/>
            <rFont val="Segoe UI"/>
            <family val="2"/>
          </rPr>
          <t xml:space="preserve">ID: 576
Label: eep1p1tsa
Database: wiiw Monthly Database - Public
Status: active
Calculation: 
Calculation_M: 
Calculation_Q: m-&gt;q AVG(L_eep1p1tsa&gt;mdb)
Calculation_A: q-&gt;a AVG(L_eep1p1tsa&gt;mdb)
Periodicity: Q
Data available M: 1999m1 - 2023m12
Data available Q: 1999q1 - 2023q4
Data available A: 1999 - 2023
Text 99: 
Automatic update period: 1999|2015
Time shift: 
Note: 
Reporter: EE - Estonia
Chapter 1: 07_PRC - Prices
Indicator: SC0701 - Consumer prices
Unit: 03_I_1_085_15avg - index, monthly average, 2015 = 100
Footnote 1: FZZ40 - Based on HICP (Harmonized Index of Consumer Prices).
Footnote 2:  - 
Footnote 3:  - 
Footnote 4:  - 
Source 1: Z_ESTAT - Eurostat
Source 2:  - 
Source 3:  - 
</t>
        </r>
      </text>
    </comment>
    <comment ref="V8" authorId="1" shapeId="0" xr:uid="{9C1C2056-7CDA-4229-96B9-CB24CA378038}">
      <text>
        <r>
          <rPr>
            <sz val="9"/>
            <color indexed="81"/>
            <rFont val="Segoe UI"/>
            <family val="2"/>
          </rPr>
          <t xml:space="preserve">ID: 969
Label: eep2xea
Database: wiiw Monthly Database - Public
Status: active
Calculation: 
Calculation_M: TimeSpan(L_mep2xea&gt;mdb,2020-)
Calculation_Q: m-&gt;q AVG(L_eep2xea&gt;mdb)
Calculation_A: q-&gt;a AVG(L_eep2xea&gt;mdb)
Periodicity: Q
Data available M: 1992m6 - 2024m1
Data available Q: 1992q3 - 2023q4
Data available A: 1993 - 2023
Text 99: 
Automatic update period: 1999|2015
Time shift: 
Note: 
Reporter: EE - Estonia
Chapter 1: 11_FF - Foreign finance
Indicator: SC1107 - Exchange rate nominal
Unit: 07_Exch_12 - NCU/EUR, period average
Footnote 1: FZZ21 - Up to December 1998 ECU.
Footnote 2: FEE06 - Until December 2010 EUR-EEK per EUR.
Footnote 3:  - 
Footnote 4:  - 
Source 1: Z_ESTAT - Eurostat
Source 2: QEE2 - Bank of Estonia
Source 3:  - 
</t>
        </r>
      </text>
    </comment>
    <comment ref="W8" authorId="1" shapeId="0" xr:uid="{273200D7-2AD8-43A8-9702-F11A201456DC}">
      <text>
        <r>
          <rPr>
            <sz val="9"/>
            <color indexed="81"/>
            <rFont val="Segoe UI"/>
            <family val="2"/>
          </rPr>
          <t xml:space="preserve">ID: 32213
Label: eea1211tscx
Database: wiiw Monthly Database - Public
Status: active
Calculation: SubScal(L_eea1211tscx&gt;mdb,100)
Calculation_M: CPPY=100(L_eea1211tsa&gt;mdb)
Calculation_Q: CPPY=100(L_eea1211tsa&gt;mdb)
Calculation_A: CPPY=100(L_eea1211tsa&gt;mdb)
Periodicity: Q
Data available M: 2001m1 - 2023m11
Data available Q: 2001q1 - 2023q3
Data available A: 2001 - 2022
Text 99: 
Automatic update period: 1999|2015
Time shift: 
Note: 
Reporter: EE - Estonia
Chapter 1: 04_PROD - Production
Indicator: SC0401 - Industrial output (BCD - NACE Rev. 2)
Unit: 05_Ireal_32 - index real, corresponding period of previous year = 100
Footnote 1: FZZ13 - Enterprises with 20 and more employees and smaller enterprises with additional criteria.
Footnote 2:  - 
Footnote 3:  - 
Footnote 4:  - 
Source 1: Z_ESTAT - Eurostat
Source 2: Z_wiiw - wiiw
Source 3:  - 
</t>
        </r>
      </text>
    </comment>
    <comment ref="X8" authorId="1" shapeId="0" xr:uid="{AA213F26-EA54-4E1F-BE4C-4DB1D3B7AE3F}">
      <text>
        <r>
          <rPr>
            <sz val="9"/>
            <color indexed="81"/>
            <rFont val="Segoe UI"/>
            <family val="2"/>
          </rPr>
          <t xml:space="preserve">ID: 87258
Label: eelago2e_q
Database: wiiw Monthly Database - Hidden
Status: active
Calculation: SubScal(CPPY=100(AddNull(L_eelago2e_q&gt;mdb,L_eelase2e_q&gt;mdb)),100)
Calculation_M: q-&gt;m EOP(L_eelago2e_q&gt;mdb)
Calculation_Q: 
Calculation_A: Q-&gt;A CUMPER(L_eelago2e_q&gt;mdb)
Periodicity: Q
Data available M: 2008m3 - 2023m9
Data available Q: 2008q1 - 2023q3
Data available A: 2008 - 2022
Text 99: 
Automatic update period: 1999|2015
Time shift: 
Note: 
Reporter: EE - Estonia
Chapter 1: 11_FF - Foreign finance
Indicator: SC1111 - 1.A.a. Goods exports, fob, credit
Unit: 01_Curr_23 - EUR m
Footnote 1: FZZ80 - Based on BPM6.
Footnote 2:  - 
Footnote 3:  - 
Footnote 4:  - 
Source 1: Z_ESTAT - Eurostat
Source 2: QEE2 - Bank of Estonia
Source 3:  - 
</t>
        </r>
      </text>
    </comment>
    <comment ref="Y8" authorId="1" shapeId="0" xr:uid="{4C6B9D28-9CA9-40C9-8922-8893B7064637}">
      <text>
        <r>
          <rPr>
            <sz val="9"/>
            <color indexed="81"/>
            <rFont val="Segoe UI"/>
            <family val="2"/>
          </rPr>
          <t xml:space="preserve">ID: 87295
Label: eelago3e_q
Database: wiiw Monthly Database - Hidden
Status: active
Calculation: SubScal(CPPY=100(AddNull(L_eelago3e_q&gt;mdb,L_eelase3e_q&gt;mdb)),100)
Calculation_M: q-&gt;m EOP(L_eelago3e_q&gt;mdb)
Calculation_Q: 
Calculation_A: Q-&gt;A CUMPER(L_eelago3e_q&gt;mdb)
Periodicity: Q
Data available M: 2008m3 - 2023m9
Data available Q: 2008q1 - 2023q3
Data available A: 2008 - 2022
Text 99: 
Automatic update period: 1999|2015
Time shift: 
Note: 
Reporter: EE - Estonia
Chapter 1: 11_FF - Foreign finance
Indicator: SC1112 - 1.A.a. Goods imports, fob, debit
Unit: 01_Curr_23 - EUR m
Footnote 1: FZZ80 - Based on BPM6.
Footnote 2:  - 
Footnote 3:  - 
Footnote 4:  - 
Source 1: Z_ESTAT - Eurostat
Source 2: QEE2 - Bank of Estonia
Source 3:  - 
</t>
        </r>
      </text>
    </comment>
    <comment ref="Z8" authorId="1" shapeId="0" xr:uid="{6F7B151D-AC6E-4C06-B888-84BA558FAB6F}">
      <text>
        <r>
          <rPr>
            <sz val="9"/>
            <color indexed="81"/>
            <rFont val="Segoe UI"/>
            <family val="2"/>
          </rPr>
          <t xml:space="preserve">ID: 88728
Label: eelacaepx_q
Database: wiiw Monthly Database - Public
Status: active
Calculation: 
Calculation_M: Q-&gt;M EOP(L_eelacaepx_q&gt;mdb)
Calculation_Q: Share(L_eelacaen_q&gt;mdb,Div(L_eeg11tn_q&gt;mdb,L_eep2xea&gt;mdb))
Calculation_A: Share(L_eelacaen_q&gt;mdb,Div(L_eeg11tn_q&gt;mdb,L_eep2xea&gt;mdb))
Periodicity: Q
Data available M: 1995m3 - 2023m9
Data available Q: 1995q1 - 2023q3
Data available A: 1995 - 2022
Text 99: 
Automatic update period: 1999|2015
Time shift: 
Note: 
Reporter: EE - Estonia
Chapter 1: 11_FF - Foreign finance
Indicator: SC1101 - Current account
Unit: 09_Share_%gdp - in % of GDP
Footnote 1: FZZ55 - From 2008 based on BPM6.
Footnote 2:  - 
Footnote 3:  - 
Footnote 4:  - 
Source 1: Z_ESTAT - Eurostat
Source 2: QEE2 - Bank of Estonia
Source 3: Z_wiiw - wiiw
</t>
        </r>
      </text>
    </comment>
    <comment ref="AA8" authorId="1" shapeId="0" xr:uid="{F20294AD-6B77-4EA4-829A-1EEC125CDF84}">
      <text>
        <r>
          <rPr>
            <sz val="9"/>
            <color indexed="81"/>
            <rFont val="Segoe UI"/>
            <family val="2"/>
          </rPr>
          <t xml:space="preserve">ID: 90339
Label: eeg222px_q
Database: wiiw Monthly Database - Public
Status: active
Calculation: AddNull(L_eeg222px_q&gt;mdb,L_eeg22zpx_q&gt;mdb)
Calculation_M: Q-&gt;M EOP(L_eeg222px_q&gt;mdb)
Calculation_Q: Share(L_eeg222n_q&gt;mdb,L_eeg11tzn_q&gt;mdb)
Calculation_A: Share(L_eeg222n_q&gt;mdb,L_eeg11tzn_q&gt;mdb)
Periodicity: Q
Data available M: 1995m3 - 2023m9
Data available Q: 1995q1 - 2023q3
Data available A: 1995 - 2022
Text 99: 
Automatic update period: 1999|2015
Time shift: 
Note: 
Reporter: EE - Estonia
Chapter 1: 02_NA - National accounts
Indicator: SC0212 - Household final consumption expenditure
Unit: 09_Share_%gdp - in % of GDP
Footnote 1:  - 
Footnote 2:  - 
Footnote 3:  - 
Footnote 4:  - 
Source 1: Z_ESTAT - Eurostat
Source 2: Z_wiiw - wiiw
Source 3:  - 
</t>
        </r>
      </text>
    </comment>
    <comment ref="AB8" authorId="1" shapeId="0" xr:uid="{A3339279-C6C7-4014-AA73-47B21AEAA7B1}">
      <text>
        <r>
          <rPr>
            <sz val="9"/>
            <color indexed="81"/>
            <rFont val="Segoe UI"/>
            <family val="2"/>
          </rPr>
          <t xml:space="preserve">ID: 90383
Label: eeg223px_q
Database: wiiw Monthly Database - Public
Status: active
Calculation: 
Calculation_M: Q-&gt;M EOP(L_eeg223px_q&gt;mdb)
Calculation_Q: Share(L_eeg223n_q&gt;mdb,L_eeg11tzn_q&gt;mdb)
Calculation_A: Share(L_eeg223n_q&gt;mdb,L_eeg11tzn_q&gt;mdb)
Periodicity: Q
Data available M: 1995m3 - 2023m9
Data available Q: 1995q1 - 2023q3
Data available A: 1995 - 2022
Text 99: 
Automatic update period: 1999|2015
Time shift: 
Note: 
Reporter: EE - Estonia
Chapter 1: 02_NA - National accounts
Indicator: SC0214 - Government final consumption expenditure
Unit: 09_Share_%gdp - in % of GDP
Footnote 1:  - 
Footnote 2:  - 
Footnote 3:  - 
Footnote 4:  - 
Source 1: Z_ESTAT - Eurostat
Source 2: Z_wiiw - wiiw
Source 3:  - 
</t>
        </r>
      </text>
    </comment>
    <comment ref="AC8" authorId="1" shapeId="0" xr:uid="{8B82200C-0E61-43CA-9BD7-09904EDC69A8}">
      <text>
        <r>
          <rPr>
            <sz val="9"/>
            <color indexed="81"/>
            <rFont val="Segoe UI"/>
            <family val="2"/>
          </rPr>
          <t xml:space="preserve">ID: 90405
Label: eeg224px_q
Database: wiiw Monthly Database - Public
Status: active
Calculation: 
Calculation_M: Q-&gt;M EOP(L_eeg224px_q&gt;mdb)
Calculation_Q: Share(L_eeg224n_q&gt;mdb,L_eeg11tzn_q&gt;mdb)
Calculation_A: Share(L_eeg224n_q&gt;mdb,L_eeg11tzn_q&gt;mdb)
Periodicity: Q
Data available M: 1995m3 - 2023m9
Data available Q: 1995q1 - 2023q3
Data available A: 1995 - 2022
Text 99: 
Automatic update period: 1999|2015
Time shift: 
Note: 
Reporter: EE - Estonia
Chapter 1: 02_NA - National accounts
Indicator: SC0217 - Gross capital formation
Unit: 09_Share_%gdp - in % of GDP
Footnote 1:  - 
Footnote 2:  - 
Footnote 3:  - 
Footnote 4:  - 
Source 1: Z_ESTAT - Eurostat
Source 2: Z_wiiw - wiiw
Source 3:  - 
</t>
        </r>
      </text>
    </comment>
    <comment ref="AD8" authorId="1" shapeId="0" xr:uid="{0FE1670A-8BDD-4E83-B502-6CD835624AA8}">
      <text>
        <r>
          <rPr>
            <sz val="9"/>
            <color indexed="81"/>
            <rFont val="Segoe UI"/>
            <family val="2"/>
          </rPr>
          <t xml:space="preserve">ID: 90493
Label: eeg228px_q
Database: wiiw Monthly Database - Public
Status: active
Calculation: 
Calculation_M: Q-&gt;M EOP(L_eeg228px_q&gt;mdb)
Calculation_Q: Share(L_eeg228n_q&gt;mdb,L_eeg11tzn_q&gt;mdb)
Calculation_A: Share(L_eeg228n_q&gt;mdb,L_eeg11tzn_q&gt;mdb)
Periodicity: Q
Data available M: 1995m3 - 2023m9
Data available Q: 1995q1 - 2023q3
Data available A: 1995 - 2022
Text 99: 
Automatic update period: 1999|2015
Time shift: 
Note: 
Reporter: EE - Estonia
Chapter 1: 02_NA - National accounts
Indicator: SC0221 - Exports of goods and services
Unit: 09_Share_%gdp - in % of GDP
Footnote 1:  - 
Footnote 2:  - 
Footnote 3:  - 
Footnote 4:  - 
Source 1: Z_ESTAT - Eurostat
Source 2: Z_wiiw - wiiw
Source 3:  - 
</t>
        </r>
      </text>
    </comment>
    <comment ref="AE8" authorId="1" shapeId="0" xr:uid="{AC47664B-26B2-45BF-8CA5-7426FDA61DE3}">
      <text>
        <r>
          <rPr>
            <sz val="9"/>
            <color indexed="81"/>
            <rFont val="Segoe UI"/>
            <family val="2"/>
          </rPr>
          <t xml:space="preserve">ID: 90515
Label: eeg229px_q
Database: wiiw Monthly Database - Public
Status: active
Calculation: 
Calculation_M: Q-&gt;M EOP(L_eeg229px_q&gt;mdb)
Calculation_Q: Share(L_eeg229n_q&gt;mdb,L_eeg11tzn_q&gt;mdb)
Calculation_A: Share(L_eeg229n_q&gt;mdb,L_eeg11tzn_q&gt;mdb)
Periodicity: Q
Data available M: 1995m3 - 2023m9
Data available Q: 1995q1 - 2023q3
Data available A: 1995 - 2022
Text 99: 
Automatic update period: 1999|2015
Time shift: 
Note: 
Reporter: EE - Estonia
Chapter 1: 02_NA - National accounts
Indicator: SC0222 - Imports of goods and services
Unit: 09_Share_%gdp - in % of GDP
Footnote 1:  - 
Footnote 2:  - 
Footnote 3:  - 
Footnote 4:  - 
Source 1: Z_ESTAT - Eurostat
Source 2: Z_wiiw - wiiw
Source 3:  - 
</t>
        </r>
      </text>
    </comment>
    <comment ref="AF8" authorId="1" shapeId="0" xr:uid="{3BA12DAC-3D72-440A-8E9A-CC26853F8EC9}">
      <text>
        <r>
          <rPr>
            <sz val="9"/>
            <color indexed="81"/>
            <rFont val="Segoe UI"/>
            <family val="2"/>
          </rPr>
          <t xml:space="preserve">ID: 89613
Label: eefls14scx
Database: wiiw Monthly Database - Public
Status: active
Calculation: SubScal(L_eefls14scx&gt;mdb,100)
Calculation_M: CPPY=100(L_eefls14e&gt;mdb)
Calculation_Q: M-&gt;Q EOP(L_eefls14scx&gt;mdb)
Calculation_A: Q-&gt;A EOP(L_eefls14scx&gt;mdb)
Periodicity: Q
Data available M: 2001m1 - 2023m11
Data available Q: 2001q1 - 2023q3
Data available A: 2001 - 2022
Text 99: 
Automatic update period: 1999|2015
Time shift: 
Note: 
Reporter: EE - Estonia
Chapter 1: 10_DF - Domestic finance
Indicator: SC1066 - Loans households (S14)
Unit: 04_Inom_32 - index nominal, corresponding period of previous year = 100
Footnote 1:  - 
Footnote 2:  - 
Footnote 3:  - 
Footnote 4:  - 
Source 1: QEE2 - Bank of Estonia
Source 2: Z_wiiw - wiiw
Source 3:  - 
</t>
        </r>
      </text>
    </comment>
    <comment ref="AG8" authorId="1" shapeId="0" xr:uid="{9913AC29-E18F-4277-8F77-A67F2EBBFE8A}">
      <text>
        <r>
          <rPr>
            <sz val="9"/>
            <color indexed="81"/>
            <rFont val="Segoe UI"/>
            <family val="2"/>
          </rPr>
          <t xml:space="preserve">ID: 144764
Label: eebgdtpx_help_q
Database: wiiw Monthly Database - Hidden
Status: active
Calculation: 
Calculation_M: q-&gt;m EOP(L_eebgdtpx_help_q&gt;mdb)
Calculation_Q: Share(L_eebgdtn_help_q&gt;mdb,L_eeg11tnx_help_q&gt;mdb)
Calculation_A: q-&gt;a EOP(L_eebgdtpx_help_q&gt;mdb)
Periodicity: Q
Data available M: 2000m3 - 2023m9
Data available Q: 2000q1 - 2023q3
Data available A: 2000 - 2022
Text 99: 
Automatic update period: 1999|2015
Time shift: 
Note: 
Reporter: EE - Estonia
Chapter 1: 10_DF - Domestic finance
Indicator: SC1009 - General government gross debt, total
Unit: 09_Share_%gdp - in % of GDP
Footnote 1:  - 
Footnote 2:  - 
Footnote 3:  - 
Footnote 4:  - 
Source 1: Z_ESTAT - Eurostat
Source 2: Z_wiiw - wiiw
Source 3:  - 
</t>
        </r>
      </text>
    </comment>
    <comment ref="G101" authorId="0" shapeId="0" xr:uid="{8BCE3ECB-DD15-40F6-BE82-C389D4851EF7}">
      <text>
        <r>
          <rPr>
            <b/>
            <sz val="9"/>
            <color indexed="81"/>
            <rFont val="Tahoma"/>
            <family val="2"/>
          </rPr>
          <t>BJ:</t>
        </r>
        <r>
          <rPr>
            <sz val="9"/>
            <color indexed="81"/>
            <rFont val="Tahoma"/>
            <family val="2"/>
          </rPr>
          <t xml:space="preserve">
from the budget for 2022</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BJ</author>
    <author>Alexandra Bykova</author>
  </authors>
  <commentList>
    <comment ref="B1" authorId="0" shapeId="0" xr:uid="{0F457DEB-D1BA-4772-BBBE-3238691B37ED}">
      <text>
        <r>
          <rPr>
            <b/>
            <sz val="9"/>
            <color indexed="81"/>
            <rFont val="Tahoma"/>
            <family val="2"/>
          </rPr>
          <t>BJ:</t>
        </r>
        <r>
          <rPr>
            <sz val="9"/>
            <color indexed="81"/>
            <rFont val="Tahoma"/>
            <family val="2"/>
          </rPr>
          <t xml:space="preserve">
EU 27, seasonally and calendar adjusted
Eurostat</t>
        </r>
      </text>
    </comment>
    <comment ref="C1" authorId="0" shapeId="0" xr:uid="{8407ECBB-40B1-449B-9F6E-C3EDF784209B}">
      <text>
        <r>
          <rPr>
            <b/>
            <sz val="9"/>
            <color indexed="81"/>
            <rFont val="Tahoma"/>
            <family val="2"/>
          </rPr>
          <t>BJ:</t>
        </r>
        <r>
          <rPr>
            <sz val="9"/>
            <color indexed="81"/>
            <rFont val="Tahoma"/>
            <family val="2"/>
          </rPr>
          <t xml:space="preserve">
Eurostat</t>
        </r>
      </text>
    </comment>
    <comment ref="D1" authorId="0" shapeId="0" xr:uid="{D4DFAC2C-095D-4167-8136-8B96831C505A}">
      <text>
        <r>
          <rPr>
            <b/>
            <sz val="9"/>
            <color indexed="81"/>
            <rFont val="Tahoma"/>
            <family val="2"/>
          </rPr>
          <t>BJ:</t>
        </r>
        <r>
          <rPr>
            <sz val="9"/>
            <color indexed="81"/>
            <rFont val="Tahoma"/>
            <family val="2"/>
          </rPr>
          <t xml:space="preserve">
EU changing composition
Eurostat</t>
        </r>
      </text>
    </comment>
    <comment ref="E1" authorId="0" shapeId="0" xr:uid="{A3757932-FA07-4053-935F-0A640410AEAF}">
      <text>
        <r>
          <rPr>
            <b/>
            <sz val="9"/>
            <color indexed="81"/>
            <rFont val="Tahoma"/>
            <family val="2"/>
          </rPr>
          <t>BJ:</t>
        </r>
        <r>
          <rPr>
            <sz val="9"/>
            <color indexed="81"/>
            <rFont val="Tahoma"/>
            <family val="2"/>
          </rPr>
          <t xml:space="preserve">
ECB</t>
        </r>
      </text>
    </comment>
    <comment ref="F1" authorId="0" shapeId="0" xr:uid="{E233DA8B-8792-4D74-BB83-1F18E426E744}">
      <text>
        <r>
          <rPr>
            <b/>
            <sz val="9"/>
            <color indexed="81"/>
            <rFont val="Tahoma"/>
            <family val="2"/>
          </rPr>
          <t>BJ:</t>
        </r>
        <r>
          <rPr>
            <sz val="9"/>
            <color indexed="81"/>
            <rFont val="Tahoma"/>
            <family val="2"/>
          </rPr>
          <t xml:space="preserve">
Crude oil, average, from WB pink sheets
in USD</t>
        </r>
      </text>
    </comment>
    <comment ref="G1" authorId="0" shapeId="0" xr:uid="{96428D03-8798-4B7D-A3AD-2D71FAA1BBDE}">
      <text>
        <r>
          <rPr>
            <b/>
            <sz val="9"/>
            <color indexed="81"/>
            <rFont val="Tahoma"/>
            <family val="2"/>
          </rPr>
          <t>BJ:</t>
        </r>
        <r>
          <rPr>
            <sz val="9"/>
            <color indexed="81"/>
            <rFont val="Tahoma"/>
            <family val="2"/>
          </rPr>
          <t xml:space="preserve">
nominal, in NCU
yoy growth</t>
        </r>
      </text>
    </comment>
    <comment ref="H1" authorId="0" shapeId="0" xr:uid="{DEBC0D9F-F0FE-47EB-8C55-DD0E253651D6}">
      <text>
        <r>
          <rPr>
            <b/>
            <sz val="9"/>
            <color indexed="81"/>
            <rFont val="Tahoma"/>
            <family val="2"/>
          </rPr>
          <t>BJ:</t>
        </r>
        <r>
          <rPr>
            <sz val="9"/>
            <color indexed="81"/>
            <rFont val="Tahoma"/>
            <family val="2"/>
          </rPr>
          <t xml:space="preserve">
General gov. budget - revenues NCU m (incl. 'euro fixed' series)
yoy growth
wiiw</t>
        </r>
      </text>
    </comment>
    <comment ref="I1" authorId="0" shapeId="0" xr:uid="{B4239AF6-1ADE-4BEB-B5C2-11BF413545CF}">
      <text>
        <r>
          <rPr>
            <b/>
            <sz val="9"/>
            <color indexed="81"/>
            <rFont val="Tahoma"/>
            <family val="2"/>
          </rPr>
          <t>BJ:</t>
        </r>
        <r>
          <rPr>
            <sz val="9"/>
            <color indexed="81"/>
            <rFont val="Tahoma"/>
            <family val="2"/>
          </rPr>
          <t xml:space="preserve">
General gov. budget - balance
 in % of GDP
wiiw</t>
        </r>
      </text>
    </comment>
    <comment ref="J1" authorId="0" shapeId="0" xr:uid="{D14F7369-6555-4B4C-BC18-7055327016E3}">
      <text>
        <r>
          <rPr>
            <b/>
            <sz val="9"/>
            <color indexed="81"/>
            <rFont val="Tahoma"/>
            <family val="2"/>
          </rPr>
          <t>BJ:</t>
        </r>
        <r>
          <rPr>
            <sz val="9"/>
            <color indexed="81"/>
            <rFont val="Tahoma"/>
            <family val="2"/>
          </rPr>
          <t xml:space="preserve">
For all GDP: 
real yoy growth rates
wiiw</t>
        </r>
      </text>
    </comment>
    <comment ref="K1" authorId="0" shapeId="0" xr:uid="{92AAF401-70F6-4023-80A2-C9AFAE9A6F23}">
      <text>
        <r>
          <rPr>
            <b/>
            <sz val="9"/>
            <color indexed="81"/>
            <rFont val="Tahoma"/>
            <family val="2"/>
          </rPr>
          <t>BJ:</t>
        </r>
        <r>
          <rPr>
            <sz val="9"/>
            <color indexed="81"/>
            <rFont val="Tahoma"/>
            <family val="2"/>
          </rPr>
          <t xml:space="preserve">
Households</t>
        </r>
      </text>
    </comment>
    <comment ref="M1" authorId="0" shapeId="0" xr:uid="{389E8104-D4D2-486F-B41D-42D30F206E8F}">
      <text>
        <r>
          <rPr>
            <b/>
            <sz val="9"/>
            <color indexed="81"/>
            <rFont val="Tahoma"/>
            <family val="2"/>
          </rPr>
          <t>BJ:</t>
        </r>
        <r>
          <rPr>
            <sz val="9"/>
            <color indexed="81"/>
            <rFont val="Tahoma"/>
            <family val="2"/>
          </rPr>
          <t xml:space="preserve">
Gross capital formation</t>
        </r>
      </text>
    </comment>
    <comment ref="S1" authorId="0" shapeId="0" xr:uid="{3549B2A7-FF88-446A-A7F0-7C0A0089124E}">
      <text>
        <r>
          <rPr>
            <b/>
            <sz val="9"/>
            <color indexed="81"/>
            <rFont val="Tahoma"/>
            <family val="2"/>
          </rPr>
          <t>BJ:</t>
        </r>
        <r>
          <rPr>
            <sz val="9"/>
            <color indexed="81"/>
            <rFont val="Tahoma"/>
            <family val="2"/>
          </rPr>
          <t xml:space="preserve">
nominal</t>
        </r>
      </text>
    </comment>
    <comment ref="Z1" authorId="0" shapeId="0" xr:uid="{6163F79E-12B3-43D2-BFF3-3FEABBB71684}">
      <text>
        <r>
          <rPr>
            <b/>
            <sz val="9"/>
            <color indexed="81"/>
            <rFont val="Tahoma"/>
            <family val="2"/>
          </rPr>
          <t>BJ:</t>
        </r>
        <r>
          <rPr>
            <sz val="9"/>
            <color indexed="81"/>
            <rFont val="Tahoma"/>
            <family val="2"/>
          </rPr>
          <t xml:space="preserve">
Current account in % of GDP
wiiw</t>
        </r>
      </text>
    </comment>
    <comment ref="AF1" authorId="0" shapeId="0" xr:uid="{768CECF5-CF8D-45A0-B2BB-7B782E882021}">
      <text>
        <r>
          <rPr>
            <b/>
            <sz val="9"/>
            <color indexed="81"/>
            <rFont val="Tahoma"/>
            <family val="2"/>
          </rPr>
          <t>BJ:</t>
        </r>
        <r>
          <rPr>
            <sz val="9"/>
            <color indexed="81"/>
            <rFont val="Tahoma"/>
            <family val="2"/>
          </rPr>
          <t xml:space="preserve">
loans to households, nominal, yoy growth rates</t>
        </r>
      </text>
    </comment>
    <comment ref="B8" authorId="1" shapeId="0" xr:uid="{283DE248-C2BA-450B-B5A8-8B1EE803A431}">
      <text>
        <r>
          <rPr>
            <sz val="9"/>
            <color indexed="81"/>
            <rFont val="Segoe UI"/>
            <family val="2"/>
          </rPr>
          <t xml:space="preserve">ID: 144396
Label: eug11tscrx_q
Database: wiiw Monthly Database - Hidden
Status: active
Calculation: 
Calculation_M: SubScal(L_eug11tscx_q&gt;mdb,100)
Calculation_Q: SubScal(L_eug11tscx_q&gt;mdb,100)
Calculation_A: SubScal(L_eug11tscx_q&gt;mdb,100)
Periodicity: Q
Data available M: 1996m3 - 2023m9
Data available Q: 1996q1 - 2023q3
Data available A: 1996 - 2022
Text 99: 
Automatic update period: 1999|2015
Time shift: 
Note: 
Reporter: EU27_2020 - EU - 27 countries (from 2020)
Chapter 1: 02_NA - National accounts
Indicator: SC0201 - Gross domestic product total
Unit: 05_Ireal_36 - real growth rate to corresponding period of previous year in %
Footnote 1: FZZ05 - According to ESA'10.
Footnote 2:  - 
Footnote 3:  - 
Footnote 4:  - 
Source 1: Z_ESTAT - Eurostat
Source 2: Z_wiiw - wiiw
Source 3:  - 
</t>
        </r>
      </text>
    </comment>
    <comment ref="C8" authorId="1" shapeId="0" xr:uid="{85FF968D-44AB-4F4E-ACE1-313CB10A90A7}">
      <text>
        <r>
          <rPr>
            <sz val="9"/>
            <color indexed="81"/>
            <rFont val="Segoe UI"/>
            <family val="2"/>
          </rPr>
          <t xml:space="preserve">ID: 77811
Label: eup1p1tsa
Database: wiiw Monthly Database - Hidden
Status: active
Calculation: 
Calculation_M: 
Calculation_Q: m-&gt;q AVG(L_eup1p1tsa&gt;mdb)
Calculation_A: q-&gt;a AVG(L_eup1p1tsa&gt;mdb)
Periodicity: Q
Data available M: 1999m1 - 2023m12
Data available Q: 1999q1 - 2023q4
Data available A: 1999 - 2023
Text 99: 
Automatic update period: 1999|2015
Time shift: 
Note: 
Reporter: EU - European Union evolutionary
Chapter 1: 07_PRC - Prices
Indicator: SC0701 - Consumer prices
Unit: 03_I_1_085_15avg - index, monthly average, 2015 = 100
Footnote 1: FZZ40 - Based on HICP (Harmonized Index of Consumer Prices).
Footnote 2:  - 
Footnote 3:  - 
Footnote 4:  - 
Source 1: Z_ESTAT - Eurostat
Source 2:  - 
Source 3:  - 
</t>
        </r>
      </text>
    </comment>
    <comment ref="D8" authorId="1" shapeId="0" xr:uid="{1BBE6F78-2041-4A33-8730-D1F1D84FF7FE}">
      <text>
        <r>
          <rPr>
            <sz val="9"/>
            <color indexed="81"/>
            <rFont val="Segoe UI"/>
            <family val="2"/>
          </rPr>
          <t xml:space="preserve">ID: 77812
Label: eup1p1tscx
Database: wiiw Monthly Database - Hidden
Status: active
Calculation: SubScal(L_eup1p1tscx&gt;mdb,100)
Calculation_M: CPPY=100(L_eup1p1tsa&gt;mdb)
Calculation_Q: CPPY=100(L_eup1p1tsa&gt;mdb)
Calculation_A: CPPY=100(L_eup1p1tsa&gt;mdb)
Periodicity: Q
Data available M: 1992m1 - 2023m12
Data available Q: 1992q1 - 2023q4
Data available A: 1992 - 2023
Text 99: 
Automatic update period: 1999|2015
Time shift: 
Note: 
Reporter: EU - European Union evolutionary
Chapter 1: 07_PRC - Prices
Indicator: SC0701 - Consumer prices
Unit: 03_I_32 - index, corresponding period of previous year = 100
Footnote 1: FZZ40 - Based on HICP (Harmonized Index of Consumer Prices).
Footnote 2:  - 
Footnote 3:  - 
Footnote 4:  - 
Source 1: Z_ESTAT - Eurostat
Source 2: Z_wiiw - wiiw
Source 3:  - 
</t>
        </r>
      </text>
    </comment>
    <comment ref="E8" authorId="1" shapeId="0" xr:uid="{F7F7D6A7-2620-483C-B30D-FABA571D16CB}">
      <text>
        <r>
          <rPr>
            <sz val="9"/>
            <color indexed="81"/>
            <rFont val="Segoe UI"/>
            <family val="2"/>
          </rPr>
          <t xml:space="preserve">ID: 144399
Label: eafrr1tp_help
Database: wiiw Monthly Database - Hidden
Status: active
Calculation: 
Calculation_M: L_eafrr1tp&gt;mdb
Calculation_Q: m-&gt;q AVG(L_eafrr1tp&gt;mdb)
Calculation_A: q-&gt;a AVG(L_eafrr1tp&gt;mdb)
Periodicity: Q
Data available M: 1999m1 - 2023m12
Data available Q: 1999q1 - 2023q4
Data available A: 1999 - 2023
Text 99: 
Automatic update period: 1999|2015
Time shift: 
Note: 
Reporter: EA - Euro area evolutionary
Chapter 1: 10_DF - Domestic finance
Indicator: SC1050 - Central bank policy rate
Unit: 06_IntR_6 - % p.a., period average
Footnote 1: FZZ50 - Official refinancing operation rates for euro area (ECB), rate in fixed rate tenders (between June 2000 and September 2008 the minimum bid rate in variable rate tenders was applied).
Footnote 2:  - 
Footnote 3:  - 
Footnote 4:  - 
Source 1: Z_ECB - European Central Bank
Source 2:  - 
Source 3:  - 
</t>
        </r>
      </text>
    </comment>
    <comment ref="F8" authorId="1" shapeId="0" xr:uid="{7EC23C0F-CA1A-4E70-A534-0A3279A85537}">
      <text>
        <r>
          <rPr>
            <sz val="9"/>
            <color indexed="81"/>
            <rFont val="Segoe UI"/>
            <family val="2"/>
          </rPr>
          <t xml:space="preserve">ID: 101874
Label: usp2oila
Database: wiiw Monthly Database - Hidden
Status: active
Calculation: 
Calculation_M: 
Calculation_Q: M-&gt;Q AVG(L_usp2oila&gt;mdb)
Calculation_A: Q-&gt;A AVG(L_usp2oila&gt;mdb)
Periodicity: Q
Data available M: 1990m1 - 2023m12
Data available Q: 1990q1 - 2023q4
Data available A: 1990 - 2023
Text 99: 
Automatic update period: 1999|2015
Time shift: 
Note: Oil prices  &amp; Europe Brent Spot Price FOB (Dollars per Barrel) &amp; EIA (US) Source of the data. Gespeichert auf die EU&amp;US Karten.
Reporter: US - United States
Chapter 1: 11_FF - Foreign finance
Indicator:  - 
Unit:  - 
Footnote 1:  - 
Footnote 2:  - 
Footnote 3:  - 
Footnote 4:  - 
Source 1:  - 
Source 2:  - 
Source 3:  - 
</t>
        </r>
      </text>
    </comment>
    <comment ref="G8" authorId="1" shapeId="0" xr:uid="{6DFBBD1C-9EAF-4934-8989-551C58F4B2B4}">
      <text>
        <r>
          <rPr>
            <sz val="9"/>
            <color indexed="81"/>
            <rFont val="Segoe UI"/>
            <family val="2"/>
          </rPr>
          <t xml:space="preserve">ID: 53439
Label: rubg21nx
Database: wiiw Monthly Database - Public
Status: active
Calculation: SubScal(CPPY=100(L_rubg21nx&gt;mdb),100)
Calculation_M: DeCum(L_rubg21nu&gt;mdb)
Calculation_Q: m-&gt;q CumPer(L_rubg21nx&gt;mdb)
Calculation_A: q-&gt;a CumPer(L_rubg21nx&gt;mdb)
Periodicity: Q
Data available M: 1999m1 - 2023m11
Data available Q: 1999q1 - 2023q3
Data available A: 1999 - 2022
Text 99: 
Automatic update period: 1999|2015
Time shift: 
Note: 
Reporter: RU - Russia
Chapter 1: 10_DF - Domestic finance
Indicator: SC1021 - General gov. budget - expenditures
Unit: 01_Curr_12 - NCU m (incl. 'euro fixed' series)
Footnote 1:  - 
Footnote 2:  - 
Footnote 3:  - 
Footnote 4:  - 
Source 1: QRU1 - Russian Federal State Statistics Service
Source 2: QRU2 - Central Bank of Russia
Source 3: Z_wiiw - wiiw
</t>
        </r>
      </text>
    </comment>
    <comment ref="H8" authorId="1" shapeId="0" xr:uid="{F0DD8175-0182-4082-92C5-A349641488B4}">
      <text>
        <r>
          <rPr>
            <sz val="9"/>
            <color indexed="81"/>
            <rFont val="Segoe UI"/>
            <family val="2"/>
          </rPr>
          <t xml:space="preserve">ID: 53438
Label: rubg11nx
Database: wiiw Monthly Database - Public
Status: active
Calculation: SubScal(CPPY=100(L_rubg11nx&gt;mdb),100)
Calculation_M: DeCum(L_rubg11nu&gt;mdb)
Calculation_Q: m-&gt;q CumPer(L_rubg11nx&gt;mdb)
Calculation_A: q-&gt;a CumPer(L_rubg11nx&gt;mdb)
Periodicity: Q
Data available M: 1999m1 - 2023m11
Data available Q: 1999q1 - 2023q3
Data available A: 1999 - 2022
Text 99: 
Automatic update period: 1999|2015
Time shift: 
Note: 
Reporter: RU - Russia
Chapter 1: 10_DF - Domestic finance
Indicator: SC1020 - General gov. budget - revenues
Unit: 01_Curr_12 - NCU m (incl. 'euro fixed' series)
Footnote 1:  - 
Footnote 2:  - 
Footnote 3:  - 
Footnote 4:  - 
Source 1: QRU1 - Russian Federal State Statistics Service
Source 2: QRU2 - Central Bank of Russia
Source 3: Z_wiiw - wiiw
</t>
        </r>
      </text>
    </comment>
    <comment ref="I8" authorId="1" shapeId="0" xr:uid="{E3F02E82-BC5F-41B9-B0D8-7D87C7562089}">
      <text>
        <r>
          <rPr>
            <sz val="9"/>
            <color indexed="81"/>
            <rFont val="Segoe UI"/>
            <family val="2"/>
          </rPr>
          <t xml:space="preserve">ID: 89226
Label: rubg31px_q
Database: wiiw Monthly Database - Public
Status: active
Calculation: 
Calculation_M: Q-&gt;M EOP(L_rubg31px_q&gt;mdb)
Calculation_Q: Share(L_rubg31nx&gt;mdb,L_rug11tn_q&gt;mdb)
Calculation_A: Share(L_rubg31nx&gt;mdb,L_rug11tn_q&gt;mdb)
Periodicity: Q
Data available M: 1999m3 - 2023m9
Data available Q: 1999q1 - 2023q3
Data available A: 1999 - 2022
Text 99: 
Automatic update period: 1999|2015
Time shift: 
Note: 
Reporter: RU - Russia
Chapter 1: 10_DF - Domestic finance
Indicator: SC1022 - General gov. budget - balance
Unit: 09_Share_%gdp - in % of GDP
Footnote 1:  - 
Footnote 2:  - 
Footnote 3:  - 
Footnote 4:  - 
Source 1: QRU1 - Russian Federal State Statistics Service
Source 2: QRU2 - Central Bank of Russia
Source 3: Z_wiiw - wiiw
</t>
        </r>
      </text>
    </comment>
    <comment ref="J8" authorId="1" shapeId="0" xr:uid="{D60B63DE-7001-4E6F-B6CC-1F804DC3F71A}">
      <text>
        <r>
          <rPr>
            <sz val="9"/>
            <color indexed="81"/>
            <rFont val="Segoe UI"/>
            <family val="2"/>
          </rPr>
          <t xml:space="preserve">ID: 88672
Label: rug11tr15_q
Database: wiiw Monthly Database - Public
Status: active
Calculation: SubScal(CPPY=100(L_rug11tr15_q&gt;mdb),100)
Calculation_M: q-&gt;m EOP(L_rug11tr15_q&gt;mdb)
Calculation_Q: 
Calculation_A: q-&gt;a CumPer(L_rug11tr15_q&gt;mdb)
Periodicity: Q
Data available M: 1995m3 - 2023m9
Data available Q: 1995q1 - 2023q3
Data available A: 1995 - 2022
Text 99: 
Automatic update period: 1999|2015
Time shift: 
Note: wiiw calc. Reihe from real growth
Reporter: RU - Russia
Chapter 1: 02_NA - National accounts
Indicator: SC0201 - Gross domestic product total
Unit: 01_Curr_15_085_15_r - NCU m, 2015 reference prices (prev. year prices, incl. 'euro fixed' series)
Footnote 1: FRU05 - From 2012 SNA'08, SNA'93 before (FISIM not reallocated until 2001).
Footnote 2: FRU48 - From 2014 including Crimean Federal District.
Footnote 3: FZZ90 - wiiw estimates.
Footnote 4:  - 
Source 1: QRU1 - Russian Federal State Statistics Service
Source 2: Z_wiiw - wiiw
Source 3:  - 
</t>
        </r>
      </text>
    </comment>
    <comment ref="K8" authorId="1" shapeId="0" xr:uid="{F6B0D979-1760-47C8-A287-FB8BAEBF5F35}">
      <text>
        <r>
          <rPr>
            <sz val="9"/>
            <color indexed="81"/>
            <rFont val="Segoe UI"/>
            <family val="2"/>
          </rPr>
          <t xml:space="preserve">ID: 90878
Label: rug222r15_q
Database: wiiw Monthly Database - Public
Status: active
Calculation: SubScal(CPPY=100(L_rug222r15_q&gt;mdb),100)
Calculation_M: q-&gt;m EOP(L_rug222r15_q&gt;mdb)
Calculation_Q: 
Calculation_A: q-&gt;a CumPer(L_rug222r15_q&gt;mdb)
Periodicity: Q
Data available M: 1995m3 - 2023m9
Data available Q: 1995q1 - 2023q3
Data available A: 1995 - 2022
Text 99: 
Automatic update period: 1999|2015
Time shift: 
Note: wiiw calc. Reihe from real growth
Reporter: RU - Russia
Chapter 1: 02_NA - National accounts
Indicator: SC0212 - Household final consumption expenditure
Unit: 01_Curr_15_085_15_r - NCU m, 2015 reference prices (prev. year prices, incl. 'euro fixed' series)
Footnote 1: FZZ90 - wiiw estimates.
Footnote 2:  - 
Footnote 3:  - 
Footnote 4:  - 
Source 1: QRU1 - Russian Federal State Statistics Service
Source 2: Z_wiiw - wiiw
Source 3:  - 
</t>
        </r>
      </text>
    </comment>
    <comment ref="L8" authorId="1" shapeId="0" xr:uid="{23607C5B-CAD8-4DD7-A443-AA269672D8F7}">
      <text>
        <r>
          <rPr>
            <sz val="9"/>
            <color indexed="81"/>
            <rFont val="Segoe UI"/>
            <family val="2"/>
          </rPr>
          <t xml:space="preserve">ID: 90922
Label: rug223r15_q
Database: wiiw Monthly Database - Public
Status: active
Calculation: SubScal(CPPY=100(L_rug223r15_q&gt;mdb),100)
Calculation_M: q-&gt;m EOP(L_rug223r15_q&gt;mdb)
Calculation_Q: 
Calculation_A: q-&gt;a CumPer(L_rug223r15_q&gt;mdb)
Periodicity: Q
Data available M: 1995m3 - 2023m9
Data available Q: 1995q1 - 2023q3
Data available A: 1995 - 2022
Text 99: 
Automatic update period: 1999|2015
Time shift: 
Note: wiiw calc. Reihe from real growth
Reporter: RU - Russia
Chapter 1: 02_NA - National accounts
Indicator: SC0214 - Government final consumption expenditure
Unit: 01_Curr_15_085_15_r - NCU m, 2015 reference prices (prev. year prices, incl. 'euro fixed' series)
Footnote 1: FZZ90 - wiiw estimates.
Footnote 2:  - 
Footnote 3:  - 
Footnote 4:  - 
Source 1: QRU1 - Russian Federal State Statistics Service
Source 2: Z_wiiw - wiiw
Source 3:  - 
</t>
        </r>
      </text>
    </comment>
    <comment ref="M8" authorId="1" shapeId="0" xr:uid="{00F975AA-905F-4858-BBF8-9D6F0C3C3685}">
      <text>
        <r>
          <rPr>
            <sz val="9"/>
            <color indexed="81"/>
            <rFont val="Segoe UI"/>
            <family val="2"/>
          </rPr>
          <t xml:space="preserve">ID: 90944
Label: rug224r15_q
Database: wiiw Monthly Database - Public
Status: active
Calculation: SubScal(CPPY=100(L_rug224r15_q&gt;mdb),100)
Calculation_M: q-&gt;m EOP(L_rug224r15_q&gt;mdb)
Calculation_Q: 
Calculation_A: q-&gt;a CumPer(L_rug224r15_q&gt;mdb)
Periodicity: Q
Data available M: 1995m3 - 2023m9
Data available Q: 1995q1 - 2023q3
Data available A: 1995 - 2022
Text 99: 
Automatic update period: 1999|2015
Time shift: 
Note: wiiw calc. Reihe from real growth
Reporter: RU - Russia
Chapter 1: 02_NA - National accounts
Indicator: SC0217 - Gross capital formation
Unit: 01_Curr_15_085_15_r - NCU m, 2015 reference prices (prev. year prices, incl. 'euro fixed' series)
Footnote 1: FZZ90 - wiiw estimates.
Footnote 2:  - 
Footnote 3:  - 
Footnote 4:  - 
Source 1: QRU1 - Russian Federal State Statistics Service
Source 2: Z_wiiw - wiiw
Source 3:  - 
</t>
        </r>
      </text>
    </comment>
    <comment ref="N8" authorId="1" shapeId="0" xr:uid="{2CE03B9C-3560-438C-8B67-B4C988E239F2}">
      <text>
        <r>
          <rPr>
            <sz val="9"/>
            <color indexed="81"/>
            <rFont val="Segoe UI"/>
            <family val="2"/>
          </rPr>
          <t xml:space="preserve">ID: 90988
Label: rug228r15_q
Database: wiiw Monthly Database - Public
Status: active
Calculation: SubScal(CPPY=100(L_rug228r15_q&gt;mdb),100)
Calculation_M: q-&gt;m EOP(L_rug228r15_q&gt;mdb)
Calculation_Q: 
Calculation_A: q-&gt;a CumPer(L_rug228r15_q&gt;mdb)
Periodicity: Q
Data available M: 1995m3 - 2022m12
Data available Q: 1995q1 - 2022q4
Data available A: 1995 - 2022
Text 99: 
Automatic update period: 1999|2015
Time shift: 
Note: wiiw calc. Reihe from real growth
Reporter: RU - Russia
Chapter 1: 02_NA - National accounts
Indicator: SC0221 - Exports of goods and services
Unit: 01_Curr_15_085_15_r - NCU m, 2015 reference prices (prev. year prices, incl. 'euro fixed' series)
Footnote 1: FZZ90 - wiiw estimates.
Footnote 2:  - 
Footnote 3:  - 
Footnote 4:  - 
Source 1: QRU1 - Russian Federal State Statistics Service
Source 2: Z_wiiw - wiiw
Source 3:  - 
</t>
        </r>
      </text>
    </comment>
    <comment ref="O8" authorId="1" shapeId="0" xr:uid="{DA3CE5CF-C45B-4205-BBC3-CC77DBE40B39}">
      <text>
        <r>
          <rPr>
            <sz val="9"/>
            <color indexed="81"/>
            <rFont val="Segoe UI"/>
            <family val="2"/>
          </rPr>
          <t xml:space="preserve">ID: 91010
Label: rug229r15_q
Database: wiiw Monthly Database - Public
Status: active
Calculation: SubScal(CPPY=100(L_rug229r15_q&gt;mdb),100)
Calculation_M: q-&gt;m EOP(L_rug229r15_q&gt;mdb)
Calculation_Q: 
Calculation_A: q-&gt;a CumPer(L_rug229r15_q&gt;mdb)
Periodicity: Q
Data available M: 1995m3 - 2022m12
Data available Q: 1995q1 - 2022q4
Data available A: 1995 - 2022
Text 99: 
Automatic update period: 1999|2015
Time shift: 
Note: wiiw calc. Reihe from real growth
Reporter: RU - Russia
Chapter 1: 02_NA - National accounts
Indicator: SC0222 - Imports of goods and services
Unit: 01_Curr_15_085_15_r - NCU m, 2015 reference prices (prev. year prices, incl. 'euro fixed' series)
Footnote 1: FZZ90 - wiiw estimates.
Footnote 2:  - 
Footnote 3:  - 
Footnote 4:  - 
Source 1: QRU1 - Russian Federal State Statistics Service
Source 2: Z_wiiw - wiiw
Source 3:  - 
</t>
        </r>
      </text>
    </comment>
    <comment ref="P8" authorId="1" shapeId="0" xr:uid="{7F74F4FB-0077-4A91-946A-C85581501169}">
      <text>
        <r>
          <rPr>
            <sz val="9"/>
            <color indexed="81"/>
            <rFont val="Segoe UI"/>
            <family val="2"/>
          </rPr>
          <t xml:space="preserve">ID: 154
Label: rue51_ta
Database: wiiw Monthly Database - Public
Status: active
Calculation: 
Calculation_M: 
Calculation_Q: m-&gt;q AVG(L_rue51_ta&gt;mdb)
Calculation_A: q-&gt;a AVG(L_rue51_ta&gt;mdb)
Periodicity: Q
Data available M: 1999m3 - 2023m11
Data available Q: 1999q1 - 2023q3
Data available A: 1999 - 2022
Text 99: 
Automatic update period: 1999|2015
Time shift: 
Note: 
Reporter: RU - Russia
Chapter 1: 05_LAB - Labour market
Indicator: SC0501 - Employment, LFS
Unit: 02_Pers_11 - th persons, period average
Footnote 1: FRU11 - From 2018 population age group 15+, 15-72 before.
Footnote 2: FRU47 - From 2015 including Crimean Federal District.
Footnote 3: FRU43 - Until mid 2009 survey results as of February, May, August and November, from August 2009 on a monthly basis.
Footnote 4: FRU44 - From 2004 according to census October 2010.
Source 1: QRU1 - Russian Federal State Statistics Service
Source 2:  - 
Source 3:  - 
</t>
        </r>
      </text>
    </comment>
    <comment ref="Q8" authorId="1" shapeId="0" xr:uid="{5F09A71A-1D92-44AC-BC29-B20562F40322}">
      <text>
        <r>
          <rPr>
            <sz val="9"/>
            <color indexed="81"/>
            <rFont val="Segoe UI"/>
            <family val="2"/>
          </rPr>
          <t xml:space="preserve">ID: 262
Label: rue5u_ta
Database: wiiw Monthly Database - Public
Status: active
Calculation: 
Calculation_M: 
Calculation_Q: m-&gt;q AVG(L_rue5u_ta&gt;mdb)
Calculation_A: q-&gt;a AVG(L_rue5u_ta&gt;mdb)
Periodicity: Q
Data available M: 1999m3 - 2023m11
Data available Q: 1999q1 - 2023q3
Data available A: 1999 - 2022
Text 99: 
Automatic update period: 1999|2015
Time shift: 
Note: 
Reporter: RU - Russia
Chapter 1: 05_LAB - Labour market
Indicator: SC0507 - Unemployment, LFS
Unit: 02_Pers_11 - th persons, period average
Footnote 1: FRU11 - From 2018 population age group 15+, 15-72 before.
Footnote 2: FRU47 - From 2015 including Crimean Federal District.
Footnote 3: FRU43 - Until mid 2009 survey results as of February, May, August and November, from August 2009 on a monthly basis.
Footnote 4: FRU44 - From 2004 according to census October 2010.
Source 1: QRU1 - Russian Federal State Statistics Service
Source 2:  - 
Source 3:  - 
</t>
        </r>
      </text>
    </comment>
    <comment ref="R8" authorId="1" shapeId="0" xr:uid="{A3F0710A-0812-4189-8C7C-50A04D652A81}">
      <text>
        <r>
          <rPr>
            <sz val="9"/>
            <color indexed="81"/>
            <rFont val="Segoe UI"/>
            <family val="2"/>
          </rPr>
          <t xml:space="preserve">ID: 279
Label: rue5u_tp
Database: wiiw Monthly Database - Public
Status: active
Calculation: 
Calculation_M: 
Calculation_Q: m-&gt;q AVG(L_rue5u_tp&gt;mdb)
Calculation_A: MulScal(Div(L_rue5u_ta&gt;mdb,Add(L_rue5u_ta&gt;mdb,L_rue51_ta&gt;mdb)),100)
Periodicity: Q
Data available M: 1999m3 - 2023m11
Data available Q: 1999q1 - 2023q3
Data available A: 1999 - 2022
Text 99: 
Automatic update period: 1999|2015
Time shift: 
Note: -
Reporter: RU - Russia
Chapter 1: 05_LAB - Labour market
Indicator: SC0508 - Unemployment rate, LFS
Unit: 02_Pers_21 - in %, period average
Footnote 1: FRU11 - From 2018 population age group 15+, 15-72 before.
Footnote 2: FRU47 - From 2015 including Crimean Federal District.
Footnote 3: FRU43 - Until mid 2009 survey results as of February, May, August and November, from August 2009 on a monthly basis.
Footnote 4: FRU44 - From 2004 according to census October 2010.
Source 1: QRU1 - Russian Federal State Statistics Service
Source 2:  - 
Source 3:  - 
</t>
        </r>
      </text>
    </comment>
    <comment ref="S8" authorId="1" shapeId="0" xr:uid="{58B27DC8-4E01-4A77-BB9C-75EC8A3CCA96}">
      <text>
        <r>
          <rPr>
            <sz val="9"/>
            <color indexed="81"/>
            <rFont val="Segoe UI"/>
            <family val="2"/>
          </rPr>
          <t xml:space="preserve">ID: 316
Label: ruw11_tccx
Database: wiiw Monthly Database - Public
Status: active
Calculation: SubScal(L_ruw11_tccx&gt;mdb,100)
Calculation_M: CPPY=100(L_ruw11_tn&gt;mdb)
Calculation_Q: CPPY=100(L_ruw11_tn&gt;mdb)
Calculation_A: CPPY=100(L_ruw11_tn&gt;mdb)
Periodicity: Q
Data available M: 1992m1 - 2023m10
Data available Q: 1992q1 - 2023q3
Data available A: 1992 - 2022
Text 99: 
Automatic update period: 1999|2015
Time shift: 
Note: Grüne Werte for 2015 excluding Crimea (alte Methode).
Reporter: RU - Russia
Chapter 1: 06_WS - Wages
Indicator: SC0601 - Average monthly gross wages total
Unit: 04_Inom_32 - index nominal, corresponding period of previous year = 100
Footnote 1: FRU49 - From 2016 including Crimean Federal District.
Footnote 2:  - 
Footnote 3:  - 
Footnote 4:  - 
Source 1: QRU1 - Russian Federal State Statistics Service
Source 2: QRU7 - Russian Economic Trends
Source 3: Z_wiiw - wiiw
</t>
        </r>
      </text>
    </comment>
    <comment ref="T8" authorId="1" shapeId="0" xr:uid="{1409D88D-9E97-4C7C-85F2-06CCB8E69C59}">
      <text>
        <r>
          <rPr>
            <sz val="9"/>
            <color indexed="81"/>
            <rFont val="Segoe UI"/>
            <family val="2"/>
          </rPr>
          <t xml:space="preserve">ID: 762
Label: rufrr1tp
Database: wiiw Monthly Database - Public
Status: active
Calculation: 
Calculation_M: 
Calculation_Q: M-&gt;Q EOP(L_rufrr1tp&gt;mdb)
Calculation_A: Q-&gt;A EOP(L_rufrr1tp&gt;mdb)
Periodicity: Q
Data available M: 1991m12 - 2024m1
Data available Q: 1991q4 - 2023q4
Data available A: 1991 - 2023
Text 99: 
Automatic update period: 1999|2015
Time shift: 
Note: 
Reporter: RU - Russia
Chapter 1: 10_DF - Domestic finance
Indicator: SC1050 - Central bank policy rate
Unit: 06_IntR_1 - % p.a., end of period
Footnote 1: FRU15 - One-week repo rate from September 2013, refinancing rate before.
Footnote 2:  - 
Footnote 3:  - 
Footnote 4:  - 
Source 1: QRU2 - Central Bank of Russia
Source 2:  - 
Source 3:  - 
</t>
        </r>
      </text>
    </comment>
    <comment ref="U8" authorId="1" shapeId="0" xr:uid="{F83953F5-9C17-40CC-88E9-9705ABF663A1}">
      <text>
        <r>
          <rPr>
            <sz val="9"/>
            <color indexed="81"/>
            <rFont val="Segoe UI"/>
            <family val="2"/>
          </rPr>
          <t xml:space="preserve">ID: 573
Label: rup1p1tsax
Database: wiiw Monthly Database - Public
Status: active
Calculation: 
Calculation_M: Index PP based(L_rup1p1tsb&gt;mdb,2015)
Calculation_Q: m-&gt;q AVG(L_rup1p1tsax&gt;mdb)
Calculation_A: q-&gt;a AVG(L_rup1p1tsax&gt;mdb)
Periodicity: Q
Data available M: 1990m12 - 2023m12
Data available Q: 1991q1 - 2023q4
Data available A: 1991 - 2023
Text 99: 
Automatic update period: 1999|2015
Time shift: 
Note: 
Reporter: RU - Russia
Chapter 1: 07_PRC - Prices
Indicator: SC0701 - Consumer prices
Unit: 03_I_1_085_15avg - index, monthly average, 2015 = 100
Footnote 1:  - 
Footnote 2:  - 
Footnote 3:  - 
Footnote 4:  - 
Source 1: QRU1 - Russian Federal State Statistics Service
Source 2: Z_wiiw - wiiw
Source 3:  - 
</t>
        </r>
      </text>
    </comment>
    <comment ref="V8" authorId="1" shapeId="0" xr:uid="{F1A0EDFF-A510-4490-9FF9-7B970F637E08}">
      <text>
        <r>
          <rPr>
            <sz val="9"/>
            <color indexed="81"/>
            <rFont val="Segoe UI"/>
            <family val="2"/>
          </rPr>
          <t xml:space="preserve">ID: 965
Label: rup2xea
Database: wiiw Monthly Database - Public
Status: active
Calculation: 
Calculation_M: 
Calculation_Q: m-&gt;q AVG(L_rup2xea&gt;mdb)
Calculation_A: q-&gt;a AVG(L_rup2xea&gt;mdb)
Periodicity: Q
Data available M: 1994m1 - 2023m12
Data available Q: 1994q1 - 2023q4
Data available A: 1994 - 2023
Text 99: 
Automatic update period: 1999|2015
Time shift: 
Note: 
Reporter: RU - Russia
Chapter 1: 11_FF - Foreign finance
Indicator: SC1107 - Exchange rate nominal
Unit: 07_Exch_12 - NCU/EUR, period average
Footnote 1: FZZ21 - Up to December 1998 ECU.
Footnote 2:  - 
Footnote 3:  - 
Footnote 4:  - 
Source 1: QRU2 - Central Bank of Russia
Source 2:  - 
Source 3:  - 
</t>
        </r>
      </text>
    </comment>
    <comment ref="W8" authorId="1" shapeId="0" xr:uid="{1B057576-B273-4DA6-ADC9-D27F8F24A709}">
      <text>
        <r>
          <rPr>
            <sz val="9"/>
            <color indexed="81"/>
            <rFont val="Segoe UI"/>
            <family val="2"/>
          </rPr>
          <t xml:space="preserve">ID: 102937
Label: rua1211tscx
Database: wiiw Monthly Database - Public
Status: active
Calculation: SubScal(L_rua1211tscx&gt;mdb,100)
Calculation_M: CPPY=100(L_rua1211tsa&gt;mdb)
Calculation_Q: CPPY=100(L_rua1211tsa&gt;mdb)
Calculation_A: CPPY=100(L_rua1211tsa&gt;mdb)
Periodicity: Q
Data available M: 2015m1 - 2023m11
Data available Q: 2015q1 - 2023q3
Data available A: 2015 - 2022
Text 99: 
Automatic update period: 1999|2015
Time shift: 
Note: 
Reporter: RU - Russia
Chapter 1: 04_PROD - Production
Indicator: SC0401 - Industrial output (BCD - NACE Rev. 2)
Unit: 05_Ireal_32 - index real, corresponding period of previous year = 100
Footnote 1: FZZ46 - Including E (water supply, sewerage, waste managemant, remediation).
Footnote 2: FRU41 - Excluding small enterprises.
Footnote 3:  - 
Footnote 4:  - 
Source 1: QRU1 - Russian Federal State Statistics Service
Source 2: Z_wiiw - wiiw
Source 3:  - 
</t>
        </r>
      </text>
    </comment>
    <comment ref="X8" authorId="1" shapeId="0" xr:uid="{FFFAC761-019A-455B-9F35-1F12690C7724}">
      <text>
        <r>
          <rPr>
            <sz val="9"/>
            <color indexed="81"/>
            <rFont val="Segoe UI"/>
            <family val="2"/>
          </rPr>
          <t xml:space="preserve">ID: 87180
Label: rulago2ex_q
Database: wiiw Monthly Database - Hidden
Status: active
Calculation: SubScal(CPPY=100(AddNull(L_rulago2ex_q&gt;mdb,L_rulase2ex_q&gt;mdb)),100)
Calculation_M: q-&gt;m EOP(L_rulago2ex_q&gt;mdb)
Calculation_Q: Div(L_rulago2d_q&gt;mdb,Div(m-&gt;q AVG(L_rup2xea&gt;mdb),m-&gt;q AVG(L_rup2usa&gt;mdb)))
Calculation_A: 
Periodicity: Q
Data available M: 2008m3 - 2023m12
Data available Q: 2008q1 - 2023q4
Data available A: 
Text 99: 
Automatic update period: 1999|2015
Time shift: 
Note: 
Reporter: RU - Russia
Chapter 1: 11_FF - Foreign finance
Indicator: SC1111 - 1.A.a. Goods exports, fob, credit
Unit: 01_Curr_23 - EUR m
Footnote 1: FZZ80 - Based on BPM6.
Footnote 2: FZZ28 - Calculated from USD to NCU to EUR using the average exchange rate.
Footnote 3:  - 
Footnote 4:  - 
Source 1: QRU2 - Central Bank of Russia
Source 2: Z_wiiw - wiiw
Source 3:  - 
</t>
        </r>
      </text>
    </comment>
    <comment ref="Y8" authorId="1" shapeId="0" xr:uid="{F37B5B66-F52A-4282-9BA7-F6E70524055D}">
      <text>
        <r>
          <rPr>
            <sz val="9"/>
            <color indexed="81"/>
            <rFont val="Segoe UI"/>
            <family val="2"/>
          </rPr>
          <t xml:space="preserve">ID: 87191
Label: rulago3ex_q
Database: wiiw Monthly Database - Hidden
Status: active
Calculation: SubScal(CPPY=100(AddNull(L_rulago3ex_q&gt;mdb,L_rulase3ex_q&gt;mdb)),100)
Calculation_M: q-&gt;m EOP(L_rulago3ex_q&gt;mdb)
Calculation_Q: Div(L_rulago3d_q&gt;mdb,Div(m-&gt;q AVG(L_rup2xea&gt;mdb),m-&gt;q AVG(L_rup2usa&gt;mdb)))
Calculation_A: 
Periodicity: Q
Data available M: 2008m3 - 2023m12
Data available Q: 2008q1 - 2023q4
Data available A: 
Text 99: 
Automatic update period: 1999|2015
Time shift: 
Note: 
Reporter: RU - Russia
Chapter 1: 11_FF - Foreign finance
Indicator: SC1112 - 1.A.a. Goods imports, fob, debit
Unit: 01_Curr_23 - EUR m
Footnote 1: FZZ80 - Based on BPM6.
Footnote 2: FZZ28 - Calculated from USD to NCU to EUR using the average exchange rate.
Footnote 3:  - 
Footnote 4:  - 
Source 1: QRU2 - Central Bank of Russia
Source 2: Z_wiiw - wiiw
Source 3:  - 
</t>
        </r>
      </text>
    </comment>
    <comment ref="Z8" authorId="1" shapeId="0" xr:uid="{8AE1904D-7806-4D6B-89F6-9FE27A13670A}">
      <text>
        <r>
          <rPr>
            <sz val="9"/>
            <color indexed="81"/>
            <rFont val="Segoe UI"/>
            <family val="2"/>
          </rPr>
          <t xml:space="preserve">ID: 88749
Label: rulacaepx_q
Database: wiiw Monthly Database - Public
Status: active
Calculation: 
Calculation_M: Q-&gt;M EOP(L_rulacaepx_q&gt;mdb)
Calculation_Q: Share(L_rulacaenx_q&gt;mdb,Div(L_rug11tn_q&gt;mdb,L_rup2xea&gt;mdb))
Calculation_A: Share(L_rulacaenx_q&gt;mdb,Div(L_rug11tn_q&gt;mdb,L_rup2xea&gt;mdb))
Periodicity: Q
Data available M: 1995m3 - 2023m9
Data available Q: 1995q1 - 2023q3
Data available A: 1995 - 2022
Text 99: 
Automatic update period: 1999|2015
Time shift: 
Note: 
Reporter: RU - Russia
Chapter 1: 11_FF - Foreign finance
Indicator: SC1101 - Current account
Unit: 09_Share_%gdp - in % of GDP
Footnote 1: FZZ55 - From 2008 based on BPM6.
Footnote 2:  - 
Footnote 3:  - 
Footnote 4:  - 
Source 1: QRU2 - Central Bank of Russia
Source 2: Z_wiiw - wiiw
Source 3:  - 
</t>
        </r>
      </text>
    </comment>
    <comment ref="AA8" authorId="1" shapeId="0" xr:uid="{BC35E1E6-9767-4768-8993-EBE84F43F9B0}">
      <text>
        <r>
          <rPr>
            <sz val="9"/>
            <color indexed="81"/>
            <rFont val="Segoe UI"/>
            <family val="2"/>
          </rPr>
          <t xml:space="preserve">ID: 90350
Label: rug222px_q
Database: wiiw Monthly Database - Public
Status: active
Calculation: AddNull(L_rug222px_q&gt;mdb,L_rug22zpx_q&gt;mdb)
Calculation_M: Q-&gt;M EOP(L_rug222px_q&gt;mdb)
Calculation_Q: Share(L_rug222n_q&gt;mdb,L_rug11tzn_q&gt;mdb)
Calculation_A: Share(L_rug222n_q&gt;mdb,L_rug11tzn_q&gt;mdb)
Periodicity: Q
Data available M: 1995m3 - 2023m9
Data available Q: 1995q1 - 2023q3
Data available A: 1995 - 2022
Text 99: 
Automatic update period: 1999|2015
Time shift: 
Note: 
Reporter: RU - Russia
Chapter 1: 02_NA - National accounts
Indicator: SC0212 - Household final consumption expenditure
Unit: 09_Share_%gdp - in % of GDP
Footnote 1:  - 
Footnote 2:  - 
Footnote 3:  - 
Footnote 4:  - 
Source 1: QRU1 - Russian Federal State Statistics Service
Source 2: Z_wiiw - wiiw
Source 3:  - 
</t>
        </r>
      </text>
    </comment>
    <comment ref="AB8" authorId="1" shapeId="0" xr:uid="{B30F8C5D-BA67-46CA-A74B-9B560667308E}">
      <text>
        <r>
          <rPr>
            <sz val="9"/>
            <color indexed="81"/>
            <rFont val="Segoe UI"/>
            <family val="2"/>
          </rPr>
          <t xml:space="preserve">ID: 90394
Label: rug223px_q
Database: wiiw Monthly Database - Public
Status: active
Calculation: 
Calculation_M: Q-&gt;M EOP(L_rug223px_q&gt;mdb)
Calculation_Q: Share(L_rug223n_q&gt;mdb,L_rug11tzn_q&gt;mdb)
Calculation_A: Share(L_rug223n_q&gt;mdb,L_rug11tzn_q&gt;mdb)
Periodicity: Q
Data available M: 1995m3 - 2023m9
Data available Q: 1995q1 - 2023q3
Data available A: 1995 - 2022
Text 99: 
Automatic update period: 1999|2015
Time shift: 
Note: 
Reporter: RU - Russia
Chapter 1: 02_NA - National accounts
Indicator: SC0214 - Government final consumption expenditure
Unit: 09_Share_%gdp - in % of GDP
Footnote 1:  - 
Footnote 2:  - 
Footnote 3:  - 
Footnote 4:  - 
Source 1: QRU1 - Russian Federal State Statistics Service
Source 2: Z_wiiw - wiiw
Source 3:  - 
</t>
        </r>
      </text>
    </comment>
    <comment ref="AC8" authorId="1" shapeId="0" xr:uid="{671828A7-BA18-45C6-8B80-660C53AB0BC6}">
      <text>
        <r>
          <rPr>
            <sz val="9"/>
            <color indexed="81"/>
            <rFont val="Segoe UI"/>
            <family val="2"/>
          </rPr>
          <t xml:space="preserve">ID: 90416
Label: rug224px_q
Database: wiiw Monthly Database - Public
Status: active
Calculation: 
Calculation_M: Q-&gt;M EOP(L_rug224px_q&gt;mdb)
Calculation_Q: Share(L_rug224n_q&gt;mdb,L_rug11tzn_q&gt;mdb)
Calculation_A: Share(L_rug224n_q&gt;mdb,L_rug11tzn_q&gt;mdb)
Periodicity: Q
Data available M: 1995m3 - 2023m9
Data available Q: 1995q1 - 2023q3
Data available A: 1995 - 2022
Text 99: 
Automatic update period: 1999|2015
Time shift: 
Note: 
Reporter: RU - Russia
Chapter 1: 02_NA - National accounts
Indicator: SC0217 - Gross capital formation
Unit: 09_Share_%gdp - in % of GDP
Footnote 1:  - 
Footnote 2:  - 
Footnote 3:  - 
Footnote 4:  - 
Source 1: QRU1 - Russian Federal State Statistics Service
Source 2: Z_wiiw - wiiw
Source 3:  - 
</t>
        </r>
      </text>
    </comment>
    <comment ref="AD8" authorId="1" shapeId="0" xr:uid="{78D39C9F-FB2C-4233-AAFD-5B1AE623003C}">
      <text>
        <r>
          <rPr>
            <sz val="9"/>
            <color indexed="81"/>
            <rFont val="Segoe UI"/>
            <family val="2"/>
          </rPr>
          <t xml:space="preserve">ID: 90504
Label: rug228px_q
Database: wiiw Monthly Database - Public
Status: active
Calculation: 
Calculation_M: Q-&gt;M EOP(L_rug228px_q&gt;mdb)
Calculation_Q: Share(L_rug228n_q&gt;mdb,L_rug11tzn_q&gt;mdb)
Calculation_A: Share(L_rug228n_q&gt;mdb,L_rug11tzn_q&gt;mdb)
Periodicity: Q
Data available M: 1995m3 - 2023m9
Data available Q: 1995q1 - 2023q3
Data available A: 1995 - 2022
Text 99: 
Automatic update period: 1999|2015
Time shift: 
Note: 
Reporter: RU - Russia
Chapter 1: 02_NA - National accounts
Indicator: SC0221 - Exports of goods and services
Unit: 09_Share_%gdp - in % of GDP
Footnote 1:  - 
Footnote 2:  - 
Footnote 3:  - 
Footnote 4:  - 
Source 1: QRU1 - Russian Federal State Statistics Service
Source 2: Z_wiiw - wiiw
Source 3:  - 
</t>
        </r>
      </text>
    </comment>
    <comment ref="AE8" authorId="1" shapeId="0" xr:uid="{2E6A99CA-5A4E-4F0F-8AD0-0F16D5FB9C1C}">
      <text>
        <r>
          <rPr>
            <sz val="9"/>
            <color indexed="81"/>
            <rFont val="Segoe UI"/>
            <family val="2"/>
          </rPr>
          <t xml:space="preserve">ID: 90526
Label: rug229px_q
Database: wiiw Monthly Database - Public
Status: active
Calculation: 
Calculation_M: Q-&gt;M EOP(L_rug229px_q&gt;mdb)
Calculation_Q: Share(L_rug229n_q&gt;mdb,L_rug11tzn_q&gt;mdb)
Calculation_A: Share(L_rug229n_q&gt;mdb,L_rug11tzn_q&gt;mdb)
Periodicity: Q
Data available M: 1995m3 - 2023m9
Data available Q: 1995q1 - 2023q3
Data available A: 1995 - 2022
Text 99: 
Automatic update period: 1999|2015
Time shift: 
Note: 
Reporter: RU - Russia
Chapter 1: 02_NA - National accounts
Indicator: SC0222 - Imports of goods and services
Unit: 09_Share_%gdp - in % of GDP
Footnote 1:  - 
Footnote 2:  - 
Footnote 3:  - 
Footnote 4:  - 
Source 1: QRU1 - Russian Federal State Statistics Service
Source 2: Z_wiiw - wiiw
Source 3:  - 
</t>
        </r>
      </text>
    </comment>
    <comment ref="AF8" authorId="1" shapeId="0" xr:uid="{FB8AFAE8-501C-4379-B74B-BB30B0B52020}">
      <text>
        <r>
          <rPr>
            <sz val="9"/>
            <color indexed="81"/>
            <rFont val="Segoe UI"/>
            <family val="2"/>
          </rPr>
          <t xml:space="preserve">ID: 89624
Label: rufls14scx
Database: wiiw Monthly Database - Public
Status: active
Calculation: SubScal(L_rufls14scx&gt;mdb,100)
Calculation_M: CPPY=100(L_rufls14e&gt;mdb)
Calculation_Q: M-&gt;Q EOP(L_rufls14scx&gt;mdb)
Calculation_A: Q-&gt;A EOP(L_rufls14scx&gt;mdb)
Periodicity: Q
Data available M: 2004m11 - 2023m12
Data available Q: 2004q4 - 2023q4
Data available A: 2004 - 2023
Text 99: 
Automatic update period: 1999|2015
Time shift: 
Note: 
Reporter: RU - Russia
Chapter 1: 10_DF - Domestic finance
Indicator: SC1066 - Loans households (S14)
Unit: 04_Inom_32 - index nominal, corresponding period of previous year = 100
Footnote 1:  - 
Footnote 2:  - 
Footnote 3:  - 
Footnote 4:  - 
Source 1: QRU2 - Central Bank of Russia
Source 2: Z_wiiw - wiiw
Source 3:  - 
</t>
        </r>
      </text>
    </comment>
    <comment ref="AG8" authorId="1" shapeId="0" xr:uid="{DC5E0EA0-9165-428A-B27F-26531B2B5838}">
      <text>
        <r>
          <rPr>
            <sz val="9"/>
            <color indexed="81"/>
            <rFont val="Segoe UI"/>
            <family val="2"/>
          </rPr>
          <t xml:space="preserve">ID: 141285
Label: rubgdtpx_help_q
Database: wiiw Monthly Database - Hidden
Status: active
Calculation: 
Calculation_M: q-&gt;m EOP(L_rubgdtpx_help_q&gt;mdb)
Calculation_Q: Share(L_rubgdtn_help_q&gt;mdb,L_rug11tnx_help_q&gt;mdb)
Calculation_A: q-&gt;a EOP(L_rubgdtpx_help_q&gt;mdb)
Periodicity: Q
Data available M: 2018m3 - 2023m6
Data available Q: 2018q1 - 2023q2
Data available A: 2018 - 2022
Text 99: 
Automatic update period: 1999|2015
Time shift: 
Note: 
Reporter: RU - Russia
Chapter 1: 10_DF - Domestic finance
Indicator: SC1009 - General government gross debt, total
Unit: 09_Share_%gdp - in % of GDP
Footnote 1:  - 
Footnote 2:  - 
Footnote 3:  - 
Footnote 4:  - 
Source 1: QRU3 - Ministry of Finance of Russia
Source 2: Z_wiiw - wiiw
Source 3:  - 
</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BJ</author>
    <author>Alexandra Bykova</author>
  </authors>
  <commentList>
    <comment ref="B1" authorId="0" shapeId="0" xr:uid="{B5FE16A3-9969-4DDC-9CD2-1BBB5E1010E6}">
      <text>
        <r>
          <rPr>
            <b/>
            <sz val="9"/>
            <color indexed="81"/>
            <rFont val="Tahoma"/>
            <family val="2"/>
          </rPr>
          <t>BJ:</t>
        </r>
        <r>
          <rPr>
            <sz val="9"/>
            <color indexed="81"/>
            <rFont val="Tahoma"/>
            <family val="2"/>
          </rPr>
          <t xml:space="preserve">
EU 27, seasonally and calendar adjusted
Eurostat</t>
        </r>
      </text>
    </comment>
    <comment ref="C1" authorId="0" shapeId="0" xr:uid="{A3FF64B1-DD1A-40FE-B8D9-58A4FF9C8234}">
      <text>
        <r>
          <rPr>
            <b/>
            <sz val="9"/>
            <color indexed="81"/>
            <rFont val="Tahoma"/>
            <family val="2"/>
          </rPr>
          <t>BJ:</t>
        </r>
        <r>
          <rPr>
            <sz val="9"/>
            <color indexed="81"/>
            <rFont val="Tahoma"/>
            <family val="2"/>
          </rPr>
          <t xml:space="preserve">
Eurostat</t>
        </r>
      </text>
    </comment>
    <comment ref="D1" authorId="0" shapeId="0" xr:uid="{71580880-670E-4A76-90CA-7D761D5911DD}">
      <text>
        <r>
          <rPr>
            <b/>
            <sz val="9"/>
            <color indexed="81"/>
            <rFont val="Tahoma"/>
            <family val="2"/>
          </rPr>
          <t>BJ:</t>
        </r>
        <r>
          <rPr>
            <sz val="9"/>
            <color indexed="81"/>
            <rFont val="Tahoma"/>
            <family val="2"/>
          </rPr>
          <t xml:space="preserve">
EU changing composition
Eurostat</t>
        </r>
      </text>
    </comment>
    <comment ref="E1" authorId="0" shapeId="0" xr:uid="{7921DED5-8B34-465B-B5AD-ACDB820157B0}">
      <text>
        <r>
          <rPr>
            <b/>
            <sz val="9"/>
            <color indexed="81"/>
            <rFont val="Tahoma"/>
            <family val="2"/>
          </rPr>
          <t>BJ:</t>
        </r>
        <r>
          <rPr>
            <sz val="9"/>
            <color indexed="81"/>
            <rFont val="Tahoma"/>
            <family val="2"/>
          </rPr>
          <t xml:space="preserve">
ECB</t>
        </r>
      </text>
    </comment>
    <comment ref="F1" authorId="0" shapeId="0" xr:uid="{C2F949B9-69F2-4AA6-A6E2-0F8E9BFEE015}">
      <text>
        <r>
          <rPr>
            <b/>
            <sz val="9"/>
            <color indexed="81"/>
            <rFont val="Tahoma"/>
            <family val="2"/>
          </rPr>
          <t>BJ:</t>
        </r>
        <r>
          <rPr>
            <sz val="9"/>
            <color indexed="81"/>
            <rFont val="Tahoma"/>
            <family val="2"/>
          </rPr>
          <t xml:space="preserve">
Crude oil, average, from WB pink sheets
in USD</t>
        </r>
      </text>
    </comment>
    <comment ref="G1" authorId="0" shapeId="0" xr:uid="{423D35AA-8E30-4844-A8A1-A032E81E1473}">
      <text>
        <r>
          <rPr>
            <b/>
            <sz val="9"/>
            <color indexed="81"/>
            <rFont val="Tahoma"/>
            <family val="2"/>
          </rPr>
          <t>BJ:</t>
        </r>
        <r>
          <rPr>
            <sz val="9"/>
            <color indexed="81"/>
            <rFont val="Tahoma"/>
            <family val="2"/>
          </rPr>
          <t xml:space="preserve">
nominal, in NCU
yoy growth</t>
        </r>
      </text>
    </comment>
    <comment ref="H1" authorId="0" shapeId="0" xr:uid="{195006BE-A4EB-4DAF-A855-67D3E1CE959F}">
      <text>
        <r>
          <rPr>
            <b/>
            <sz val="9"/>
            <color indexed="81"/>
            <rFont val="Tahoma"/>
            <family val="2"/>
          </rPr>
          <t>BJ:</t>
        </r>
        <r>
          <rPr>
            <sz val="9"/>
            <color indexed="81"/>
            <rFont val="Tahoma"/>
            <family val="2"/>
          </rPr>
          <t xml:space="preserve">
General gov. budget - revenues NCU m (incl. 'euro fixed' series)
yoy growth
wiiw</t>
        </r>
      </text>
    </comment>
    <comment ref="I1" authorId="0" shapeId="0" xr:uid="{34EEFCC9-5DBF-4AAC-8146-E145D291F203}">
      <text>
        <r>
          <rPr>
            <b/>
            <sz val="9"/>
            <color indexed="81"/>
            <rFont val="Tahoma"/>
            <family val="2"/>
          </rPr>
          <t>BJ:</t>
        </r>
        <r>
          <rPr>
            <sz val="9"/>
            <color indexed="81"/>
            <rFont val="Tahoma"/>
            <family val="2"/>
          </rPr>
          <t xml:space="preserve">
General gov. budget - balance
 in % of GDP
wiiw</t>
        </r>
      </text>
    </comment>
    <comment ref="J1" authorId="0" shapeId="0" xr:uid="{D8E812AF-5095-4B37-83B4-0A75B12DBF62}">
      <text>
        <r>
          <rPr>
            <b/>
            <sz val="9"/>
            <color indexed="81"/>
            <rFont val="Tahoma"/>
            <family val="2"/>
          </rPr>
          <t>BJ:</t>
        </r>
        <r>
          <rPr>
            <sz val="9"/>
            <color indexed="81"/>
            <rFont val="Tahoma"/>
            <family val="2"/>
          </rPr>
          <t xml:space="preserve">
For all GDP: 
real yoy growth rates
wiiw</t>
        </r>
      </text>
    </comment>
    <comment ref="K1" authorId="0" shapeId="0" xr:uid="{D000717B-CE77-42CB-88EC-1E557C4CD85E}">
      <text>
        <r>
          <rPr>
            <b/>
            <sz val="9"/>
            <color indexed="81"/>
            <rFont val="Tahoma"/>
            <family val="2"/>
          </rPr>
          <t>BJ:</t>
        </r>
        <r>
          <rPr>
            <sz val="9"/>
            <color indexed="81"/>
            <rFont val="Tahoma"/>
            <family val="2"/>
          </rPr>
          <t xml:space="preserve">
Households</t>
        </r>
      </text>
    </comment>
    <comment ref="M1" authorId="0" shapeId="0" xr:uid="{797DEAE9-88CC-4153-850A-0E58E39E2346}">
      <text>
        <r>
          <rPr>
            <b/>
            <sz val="9"/>
            <color indexed="81"/>
            <rFont val="Tahoma"/>
            <family val="2"/>
          </rPr>
          <t>BJ:</t>
        </r>
        <r>
          <rPr>
            <sz val="9"/>
            <color indexed="81"/>
            <rFont val="Tahoma"/>
            <family val="2"/>
          </rPr>
          <t xml:space="preserve">
Gross capital formation</t>
        </r>
      </text>
    </comment>
    <comment ref="S1" authorId="0" shapeId="0" xr:uid="{B57D0EEC-0098-4420-AB8B-A3451E40E2E8}">
      <text>
        <r>
          <rPr>
            <b/>
            <sz val="9"/>
            <color indexed="81"/>
            <rFont val="Tahoma"/>
            <family val="2"/>
          </rPr>
          <t>BJ:</t>
        </r>
        <r>
          <rPr>
            <sz val="9"/>
            <color indexed="81"/>
            <rFont val="Tahoma"/>
            <family val="2"/>
          </rPr>
          <t xml:space="preserve">
nominal</t>
        </r>
      </text>
    </comment>
    <comment ref="Z1" authorId="0" shapeId="0" xr:uid="{E8ACCB33-5448-40EE-A698-A529BE876E1F}">
      <text>
        <r>
          <rPr>
            <b/>
            <sz val="9"/>
            <color indexed="81"/>
            <rFont val="Tahoma"/>
            <family val="2"/>
          </rPr>
          <t>BJ:</t>
        </r>
        <r>
          <rPr>
            <sz val="9"/>
            <color indexed="81"/>
            <rFont val="Tahoma"/>
            <family val="2"/>
          </rPr>
          <t xml:space="preserve">
Current account in % of GDP
wiiw</t>
        </r>
      </text>
    </comment>
    <comment ref="AF1" authorId="0" shapeId="0" xr:uid="{F995551C-DF45-48C5-92FF-2CE0977B1160}">
      <text>
        <r>
          <rPr>
            <b/>
            <sz val="9"/>
            <color indexed="81"/>
            <rFont val="Tahoma"/>
            <family val="2"/>
          </rPr>
          <t>BJ:</t>
        </r>
        <r>
          <rPr>
            <sz val="9"/>
            <color indexed="81"/>
            <rFont val="Tahoma"/>
            <family val="2"/>
          </rPr>
          <t xml:space="preserve">
loans to households, nominal, yoy growth rates</t>
        </r>
      </text>
    </comment>
    <comment ref="B8" authorId="1" shapeId="0" xr:uid="{C5311EC0-7048-4B3C-9523-4A2AF289630D}">
      <text>
        <r>
          <rPr>
            <sz val="9"/>
            <color indexed="81"/>
            <rFont val="Segoe UI"/>
            <family val="2"/>
          </rPr>
          <t xml:space="preserve">ID: 144396
Label: eug11tscrx_q
Database: wiiw Monthly Database - Hidden
Status: active
Calculation: 
Calculation_M: SubScal(L_eug11tscx_q&gt;mdb,100)
Calculation_Q: SubScal(L_eug11tscx_q&gt;mdb,100)
Calculation_A: SubScal(L_eug11tscx_q&gt;mdb,100)
Periodicity: Q
Data available M: 1996m3 - 2023m9
Data available Q: 1996q1 - 2023q3
Data available A: 1996 - 2022
Text 99: 
Automatic update period: 1999|2015
Time shift: 
Note: 
Reporter: EU27_2020 - EU - 27 countries (from 2020)
Chapter 1: 02_NA - National accounts
Indicator: SC0201 - Gross domestic product total
Unit: 05_Ireal_36 - real growth rate to corresponding period of previous year in %
Footnote 1: FZZ05 - According to ESA'10.
Footnote 2:  - 
Footnote 3:  - 
Footnote 4:  - 
Source 1: Z_ESTAT - Eurostat
Source 2: Z_wiiw - wiiw
Source 3:  - 
</t>
        </r>
      </text>
    </comment>
    <comment ref="C8" authorId="1" shapeId="0" xr:uid="{9D67AEA0-4823-4367-BD09-2CE913FB23A4}">
      <text>
        <r>
          <rPr>
            <sz val="9"/>
            <color indexed="81"/>
            <rFont val="Segoe UI"/>
            <family val="2"/>
          </rPr>
          <t xml:space="preserve">ID: 77811
Label: eup1p1tsa
Database: wiiw Monthly Database - Hidden
Status: active
Calculation: 
Calculation_M: 
Calculation_Q: m-&gt;q AVG(L_eup1p1tsa&gt;mdb)
Calculation_A: q-&gt;a AVG(L_eup1p1tsa&gt;mdb)
Periodicity: Q
Data available M: 1999m1 - 2023m12
Data available Q: 1999q1 - 2023q4
Data available A: 1999 - 2023
Text 99: 
Automatic update period: 1999|2015
Time shift: 
Note: 
Reporter: EU - European Union evolutionary
Chapter 1: 07_PRC - Prices
Indicator: SC0701 - Consumer prices
Unit: 03_I_1_085_15avg - index, monthly average, 2015 = 100
Footnote 1: FZZ40 - Based on HICP (Harmonized Index of Consumer Prices).
Footnote 2:  - 
Footnote 3:  - 
Footnote 4:  - 
Source 1: Z_ESTAT - Eurostat
Source 2:  - 
Source 3:  - 
</t>
        </r>
      </text>
    </comment>
    <comment ref="D8" authorId="1" shapeId="0" xr:uid="{7D6961BB-7B6E-413E-A0A3-188461156D9B}">
      <text>
        <r>
          <rPr>
            <sz val="9"/>
            <color indexed="81"/>
            <rFont val="Segoe UI"/>
            <family val="2"/>
          </rPr>
          <t xml:space="preserve">ID: 77812
Label: eup1p1tscx
Database: wiiw Monthly Database - Hidden
Status: active
Calculation: SubScal(L_eup1p1tscx&gt;mdb,100)
Calculation_M: CPPY=100(L_eup1p1tsa&gt;mdb)
Calculation_Q: CPPY=100(L_eup1p1tsa&gt;mdb)
Calculation_A: CPPY=100(L_eup1p1tsa&gt;mdb)
Periodicity: Q
Data available M: 1992m1 - 2023m12
Data available Q: 1992q1 - 2023q4
Data available A: 1992 - 2023
Text 99: 
Automatic update period: 1999|2015
Time shift: 
Note: 
Reporter: EU - European Union evolutionary
Chapter 1: 07_PRC - Prices
Indicator: SC0701 - Consumer prices
Unit: 03_I_32 - index, corresponding period of previous year = 100
Footnote 1: FZZ40 - Based on HICP (Harmonized Index of Consumer Prices).
Footnote 2:  - 
Footnote 3:  - 
Footnote 4:  - 
Source 1: Z_ESTAT - Eurostat
Source 2: Z_wiiw - wiiw
Source 3:  - 
</t>
        </r>
      </text>
    </comment>
    <comment ref="E8" authorId="1" shapeId="0" xr:uid="{D951E060-075C-49D7-A6BE-008AC432695D}">
      <text>
        <r>
          <rPr>
            <sz val="9"/>
            <color indexed="81"/>
            <rFont val="Segoe UI"/>
            <family val="2"/>
          </rPr>
          <t xml:space="preserve">ID: 144399
Label: eafrr1tp_help
Database: wiiw Monthly Database - Hidden
Status: active
Calculation: 
Calculation_M: L_eafrr1tp&gt;mdb
Calculation_Q: m-&gt;q AVG(L_eafrr1tp&gt;mdb)
Calculation_A: q-&gt;a AVG(L_eafrr1tp&gt;mdb)
Periodicity: Q
Data available M: 1999m1 - 2023m12
Data available Q: 1999q1 - 2023q4
Data available A: 1999 - 2023
Text 99: 
Automatic update period: 1999|2015
Time shift: 
Note: 
Reporter: EA - Euro area evolutionary
Chapter 1: 10_DF - Domestic finance
Indicator: SC1050 - Central bank policy rate
Unit: 06_IntR_6 - % p.a., period average
Footnote 1: FZZ50 - Official refinancing operation rates for euro area (ECB), rate in fixed rate tenders (between June 2000 and September 2008 the minimum bid rate in variable rate tenders was applied).
Footnote 2:  - 
Footnote 3:  - 
Footnote 4:  - 
Source 1: Z_ECB - European Central Bank
Source 2:  - 
Source 3:  - 
</t>
        </r>
      </text>
    </comment>
    <comment ref="F8" authorId="1" shapeId="0" xr:uid="{C876F4C0-02E3-4EFC-8D99-8CBB1570265B}">
      <text>
        <r>
          <rPr>
            <sz val="9"/>
            <color indexed="81"/>
            <rFont val="Segoe UI"/>
            <family val="2"/>
          </rPr>
          <t xml:space="preserve">ID: 101874
Label: usp2oila
Database: wiiw Monthly Database - Hidden
Status: active
Calculation: 
Calculation_M: 
Calculation_Q: M-&gt;Q AVG(L_usp2oila&gt;mdb)
Calculation_A: Q-&gt;A AVG(L_usp2oila&gt;mdb)
Periodicity: Q
Data available M: 1990m1 - 2023m12
Data available Q: 1990q1 - 2023q4
Data available A: 1990 - 2023
Text 99: 
Automatic update period: 1999|2015
Time shift: 
Note: Oil prices  &amp; Europe Brent Spot Price FOB (Dollars per Barrel) &amp; EIA (US) Source of the data. Gespeichert auf die EU&amp;US Karten.
Reporter: US - United States
Chapter 1: 11_FF - Foreign finance
Indicator:  - 
Unit:  - 
Footnote 1:  - 
Footnote 2:  - 
Footnote 3:  - 
Footnote 4:  - 
Source 1:  - 
Source 2:  - 
Source 3:  - 
</t>
        </r>
      </text>
    </comment>
    <comment ref="G8" authorId="1" shapeId="0" xr:uid="{E759C88E-D6AB-4139-B7A0-298F10AE81AE}">
      <text>
        <r>
          <rPr>
            <sz val="9"/>
            <color indexed="81"/>
            <rFont val="Segoe UI"/>
            <family val="2"/>
          </rPr>
          <t xml:space="preserve">ID: 140984
Label: mdbg21nx
Database: wiiw Monthly Database - Public
Status: active
Calculation: SubScal(CPPY=100(L_mdbg21nx&gt;mdb),100)
Calculation_M: deCum(L_mdbg21nu&gt;mdb)
Calculation_Q: m-&gt;q CumPer(L_mdbg21nx&gt;mdb)
Calculation_A: m-&gt;a CumPer(L_mdbg21nx&gt;mdb)
Periodicity: Q
Data available M: 2008m1 - 2023m12
Data available Q: 2008q1 - 2023q4
Data available A: 2008 - 2023
Text 99: 
Automatic update period: 1999|2015
Time shift: 
Note: 
Reporter: MD - Moldova
Chapter 1: 10_DF - Domestic finance
Indicator: SC1021 - General gov. budget - expenditures
Unit: 01_Curr_12 - NCU m (incl. 'euro fixed' series)
Footnote 1: FMD01 - Excluding data on districts from the left side of the river Nistru and municipality Bender.
Footnote 2:  - 
Footnote 3:  - 
Footnote 4:  - 
Source 1: QMD3 - Ministry of Finance of Moldova
Source 2: Z_wiiw - wiiw
Source 3:  - 
</t>
        </r>
      </text>
    </comment>
    <comment ref="H8" authorId="1" shapeId="0" xr:uid="{8D8F159A-6ECC-4459-9BF3-2F6F11A7A8A4}">
      <text>
        <r>
          <rPr>
            <sz val="9"/>
            <color indexed="81"/>
            <rFont val="Segoe UI"/>
            <family val="2"/>
          </rPr>
          <t xml:space="preserve">ID: 140983
Label: mdbg11nx
Database: wiiw Monthly Database - Public
Status: active
Calculation: SubScal(CPPY=100(L_mdbg11nx&gt;mdb),100)
Calculation_M: deCum(L_mdbg11nu&gt;mdb)
Calculation_Q: m-&gt;q CumPer(L_mdbg11nx&gt;mdb)
Calculation_A: m-&gt;a CumPer(L_mdbg11nx&gt;mdb)
Periodicity: Q
Data available M: 2008m1 - 2023m12
Data available Q: 2008q1 - 2023q4
Data available A: 2008 - 2023
Text 99: 
Automatic update period: 1999|2015
Time shift: 
Note: 
Reporter: MD - Moldova
Chapter 1: 10_DF - Domestic finance
Indicator: SC1020 - General gov. budget - revenues
Unit: 01_Curr_12 - NCU m (incl. 'euro fixed' series)
Footnote 1: FMD01 - Excluding data on districts from the left side of the river Nistru and municipality Bender.
Footnote 2:  - 
Footnote 3:  - 
Footnote 4:  - 
Source 1: QMD3 - Ministry of Finance of Moldova
Source 2:  - 
Source 3:  - 
</t>
        </r>
      </text>
    </comment>
    <comment ref="I8" authorId="1" shapeId="0" xr:uid="{DE334E20-4AC5-437A-8C48-10FAD56944C9}">
      <text>
        <r>
          <rPr>
            <sz val="9"/>
            <color indexed="81"/>
            <rFont val="Segoe UI"/>
            <family val="2"/>
          </rPr>
          <t xml:space="preserve">ID: 140991
Label: mdbg31px_q
Database: wiiw Monthly Database - Public
Status: active
Calculation: 
Calculation_M: Q-&gt;M EOP(L_mdbg31px_q&gt;mdb)
Calculation_Q: Share(L_mdbg31nx&gt;mdb,L_mdg11tn_q&gt;mdb)
Calculation_A: Share(L_mdbg31nx&gt;mdb,L_mdg11tn_q&gt;mdb)
Periodicity: Q
Data available M: 2010m3 - 2023m9
Data available Q: 2010q1 - 2023q3
Data available A: 2010 - 2022
Text 99: 
Automatic update period: 1999|2015
Time shift: 
Note: 
Reporter: MD - Moldova
Chapter 1: 10_DF - Domestic finance
Indicator: SC1022 - General gov. budget - balance
Unit: 09_Share_%gdp - in % of GDP
Footnote 1: FMD01 - Excluding data on districts from the left side of the river Nistru and municipality Bender.
Footnote 2:  - 
Footnote 3:  - 
Footnote 4:  - 
Source 1: QMD3 - Ministry of Finance of Moldova
Source 2: Z_wiiw - wiiw
Source 3:  - 
</t>
        </r>
      </text>
    </comment>
    <comment ref="J8" authorId="1" shapeId="0" xr:uid="{0CA13E1C-6D5C-42B7-BBEB-EED19C1AC6DB}">
      <text>
        <r>
          <rPr>
            <sz val="9"/>
            <color indexed="81"/>
            <rFont val="Segoe UI"/>
            <family val="2"/>
          </rPr>
          <t xml:space="preserve">ID: 140624
Label: mdg11tr15_q
Database: wiiw Monthly Database - Public
Status: active
Calculation: SubScal(CPPY=100(L_mdg11tr15_q&gt;mdb),100)
Calculation_M: q-&gt;m EOP(L_mdg11tr15_q&gt;mdb)
Calculation_Q: 
Calculation_A: q-&gt;a CumPer(L_mdg11tr15_q&gt;mdb)
Periodicity: Q
Data available M: 2010m3 - 2023m9
Data available Q: 2010q1 - 2023q3
Data available A: 2010 - 2022
Text 99: 
Automatic update period: 1999|2015
Time shift: 
Note: wiiw calc. Reihe from real growth
Reporter: MD - Moldova
Chapter 1: 02_NA - National accounts
Indicator: SC0201 - Gross domestic product total
Unit: 01_Curr_15_085_15_r - NCU m, 2015 reference prices (prev. year prices, incl. 'euro fixed' series)
Footnote 1: FMD01 - Excluding data on districts from the left side of the river Nistru and municipality Bender.
Footnote 2: FMD05 - According to SNA'08.
Footnote 3: FZZ90 - wiiw estimates.
Footnote 4:  - 
Source 1: QMD1 - National Bureau of Statistics of Moldova
Source 2: Z_wiiw - wiiw
Source 3:  - 
</t>
        </r>
      </text>
    </comment>
    <comment ref="K8" authorId="1" shapeId="0" xr:uid="{1D5A6A9A-FEDD-4420-A958-3C739042610E}">
      <text>
        <r>
          <rPr>
            <sz val="9"/>
            <color indexed="81"/>
            <rFont val="Segoe UI"/>
            <family val="2"/>
          </rPr>
          <t xml:space="preserve">ID: 140645
Label: mdg222r15_q
Database: wiiw Monthly Database - Public
Status: active
Calculation: SubScal(CPPY=100(L_mdg222r15_q&gt;mdb),100)
Calculation_M: q-&gt;m EOP(L_mdg222r15_q&gt;mdb)
Calculation_Q: 
Calculation_A: q-&gt;a CumPer(L_mdg222r15_q&gt;mdb)
Periodicity: Q
Data available M: 2010m3 - 2023m9
Data available Q: 2010q1 - 2023q3
Data available A: 2010 - 2022
Text 99: 
Automatic update period: 1999|2015
Time shift: 
Note: wiiw calc. Reihe from real growth
Reporter: MD - Moldova
Chapter 1: 02_NA - National accounts
Indicator: SC0212 - Household final consumption expenditure
Unit: 01_Curr_15_085_15_r - NCU m, 2015 reference prices (prev. year prices, incl. 'euro fixed' series)
Footnote 1: FMD01 - Excluding data on districts from the left side of the river Nistru and municipality Bender.
Footnote 2: FZZ90 - wiiw estimates.
Footnote 3:  - 
Footnote 4:  - 
Source 1: QMD1 - National Bureau of Statistics of Moldova
Source 2: Z_wiiw - wiiw
Source 3:  - 
</t>
        </r>
      </text>
    </comment>
    <comment ref="L8" authorId="1" shapeId="0" xr:uid="{3423D790-9999-420F-9CF7-C2C37F07B48D}">
      <text>
        <r>
          <rPr>
            <sz val="9"/>
            <color indexed="81"/>
            <rFont val="Segoe UI"/>
            <family val="2"/>
          </rPr>
          <t xml:space="preserve">ID: 140661
Label: mdg223r15_q
Database: wiiw Monthly Database - Public
Status: active
Calculation: SubScal(CPPY=100(L_mdg223r15_q&gt;mdb),100)
Calculation_M: q-&gt;m EOP(L_mdg223r15_q&gt;mdb)
Calculation_Q: 
Calculation_A: q-&gt;a CumPer(L_mdg223r15_q&gt;mdb)
Periodicity: Q
Data available M: 2010m3 - 2023m9
Data available Q: 2010q1 - 2023q3
Data available A: 2010 - 2022
Text 99: 
Automatic update period: 1999|2015
Time shift: 
Note: wiiw calc. Reihe from real growth
Reporter: MD - Moldova
Chapter 1: 02_NA - National accounts
Indicator: SC0214 - Government final consumption expenditure
Unit: 01_Curr_15_085_15_r - NCU m, 2015 reference prices (prev. year prices, incl. 'euro fixed' series)
Footnote 1: FMD01 - Excluding data on districts from the left side of the river Nistru and municipality Bender.
Footnote 2: FZZ90 - wiiw estimates.
Footnote 3:  - 
Footnote 4:  - 
Source 1: QMD1 - National Bureau of Statistics of Moldova
Source 2: Z_wiiw - wiiw
Source 3:  - 
</t>
        </r>
      </text>
    </comment>
    <comment ref="M8" authorId="1" shapeId="0" xr:uid="{532B64A5-2E8A-40CD-8BF5-FB7F20A5AC97}">
      <text>
        <r>
          <rPr>
            <sz val="9"/>
            <color indexed="81"/>
            <rFont val="Segoe UI"/>
            <family val="2"/>
          </rPr>
          <t xml:space="preserve">ID: 140677
Label: mdg225r15_q
Database: wiiw Monthly Database - Public
Status: active
Calculation: SubScal(CPPY=100(L_mdg225r15_q&gt;mdb),100)
Calculation_M: q-&gt;m EOP(L_mdg225r15_q&gt;mdb)
Calculation_Q: 
Calculation_A: q-&gt;a CumPer(L_mdg225r15_q&gt;mdb)
Periodicity: Q
Data available M: 2010m3 - 2023m9
Data available Q: 2010q1 - 2023q3
Data available A: 2010 - 2022
Text 99: 
Automatic update period: 1999|2015
Time shift: 
Note: wiiw calc. Reihe from real growth
Reporter: MD - Moldova
Chapter 1: 02_NA - National accounts
Indicator: SC0218 - Gross fixed capital formation
Unit: 01_Curr_15_085_15_r - NCU m, 2015 reference prices (prev. year prices, incl. 'euro fixed' series)
Footnote 1: FMD01 - Excluding data on districts from the left side of the river Nistru and municipality Bender.
Footnote 2: FZZ90 - wiiw estimates.
Footnote 3:  - 
Footnote 4:  - 
Source 1: QMD1 - National Bureau of Statistics of Moldova
Source 2: Z_wiiw - wiiw
Source 3:  - 
</t>
        </r>
      </text>
    </comment>
    <comment ref="N8" authorId="1" shapeId="0" xr:uid="{271AFBEB-5371-411D-AA95-879F427E35E4}">
      <text>
        <r>
          <rPr>
            <sz val="9"/>
            <color indexed="81"/>
            <rFont val="Segoe UI"/>
            <family val="2"/>
          </rPr>
          <t xml:space="preserve">ID: 140695
Label: mdg228r15_q
Database: wiiw Monthly Database - Public
Status: active
Calculation: SubScal(CPPY=100(L_mdg228r15_q&gt;mdb),100)
Calculation_M: q-&gt;m EOP(L_mdg228r15_q&gt;mdb)
Calculation_Q: 
Calculation_A: q-&gt;a CumPer(L_mdg228r15_q&gt;mdb)
Periodicity: Q
Data available M: 2010m3 - 2023m9
Data available Q: 2010q1 - 2023q3
Data available A: 2010 - 2022
Text 99: 
Automatic update period: 1999|2015
Time shift: 
Note: wiiw calc. Reihe from real growth
Reporter: MD - Moldova
Chapter 1: 02_NA - National accounts
Indicator: SC0221 - Exports of goods and services
Unit: 01_Curr_15_085_15_r - NCU m, 2015 reference prices (prev. year prices, incl. 'euro fixed' series)
Footnote 1: FMD01 - Excluding data on districts from the left side of the river Nistru and municipality Bender.
Footnote 2: FZZ90 - wiiw estimates.
Footnote 3:  - 
Footnote 4:  - 
Source 1: QMD1 - National Bureau of Statistics of Moldova
Source 2: Z_wiiw - wiiw
Source 3:  - 
</t>
        </r>
      </text>
    </comment>
    <comment ref="O8" authorId="1" shapeId="0" xr:uid="{995A5136-EC0C-4440-BA73-D2163D60BFB8}">
      <text>
        <r>
          <rPr>
            <sz val="9"/>
            <color indexed="81"/>
            <rFont val="Segoe UI"/>
            <family val="2"/>
          </rPr>
          <t xml:space="preserve">ID: 140703
Label: mdg229r15_q
Database: wiiw Monthly Database - Public
Status: active
Calculation: SubScal(CPPY=100(L_mdg229r15_q&gt;mdb),100)
Calculation_M: q-&gt;m EOP(L_mdg229r15_q&gt;mdb)
Calculation_Q: 
Calculation_A: q-&gt;a CumPer(L_mdg229r15_q&gt;mdb)
Periodicity: Q
Data available M: 2010m3 - 2023m9
Data available Q: 2010q1 - 2023q3
Data available A: 2010 - 2022
Text 99: 
Automatic update period: 1999|2015
Time shift: 
Note: wiiw calc. Reihe from real growth
Reporter: MD - Moldova
Chapter 1: 02_NA - National accounts
Indicator: SC0222 - Imports of goods and services
Unit: 01_Curr_15_085_15_r - NCU m, 2015 reference prices (prev. year prices, incl. 'euro fixed' series)
Footnote 1: FMD01 - Excluding data on districts from the left side of the river Nistru and municipality Bender.
Footnote 2: FZZ90 - wiiw estimates.
Footnote 3:  - 
Footnote 4:  - 
Source 1: QMD1 - National Bureau of Statistics of Moldova
Source 2: Z_wiiw - wiiw
Source 3:  - 
</t>
        </r>
      </text>
    </comment>
    <comment ref="P8" authorId="1" shapeId="0" xr:uid="{5509193B-A8C1-4BFD-856E-33781A2F72EF}">
      <text>
        <r>
          <rPr>
            <sz val="9"/>
            <color indexed="81"/>
            <rFont val="Segoe UI"/>
            <family val="2"/>
          </rPr>
          <t xml:space="preserve">ID: 140946
Label: mde51_ta_q
Database: wiiw Monthly Database - Public
Status: active
Calculation: 
Calculation_M: q-&gt;m EOP(L_mde51_ta_q&gt;mdb)
Calculation_Q: 
Calculation_A: q-&gt;a AVG(L_mde51_ta_q&gt;mdb)
Periodicity: Q
Data available M: 2000m3 - 2023m9
Data available Q: 2000q1 - 2023q3
Data available A: 2000 - 2022
Text 99: 
Automatic update period: 1999|2015
Time shift: 
Note: 
Reporter: MD - Moldova
Chapter 1: 05_LAB - Labour market
Indicator: SC0501 - Employment, LFS
Unit: 02_Pers_11 - th persons, period average
Footnote 1: FMD01 - Excluding data on districts from the left side of the river Nistru and municipality Bender.
Footnote 2: FMD11 - From 2014 according to census May 2014 and new methodolgy in line with the Integrated European Social Statistics Regulation (IESS).
Footnote 3: FMD10 - From 2006 according to census October 2004 and improved survey according to international standards.
Footnote 4:  - 
Source 1: QMD1 - National Bureau of Statistics of Moldova
Source 2:  - 
Source 3:  - 
</t>
        </r>
      </text>
    </comment>
    <comment ref="Q8" authorId="1" shapeId="0" xr:uid="{513C742D-40FA-4FAC-AB34-3B73D4DAD94E}">
      <text>
        <r>
          <rPr>
            <sz val="9"/>
            <color indexed="81"/>
            <rFont val="Segoe UI"/>
            <family val="2"/>
          </rPr>
          <t xml:space="preserve">ID: 140950
Label: mde5u_ta_q
Database: wiiw Monthly Database - Public
Status: active
Calculation: 
Calculation_M: q-&gt;m EOP(L_mde5u_ta_q&gt;mdb)
Calculation_Q: 
Calculation_A: q-&gt;a AVG(L_mde5u_ta_q&gt;mdb)
Periodicity: Q
Data available M: 2000m3 - 2023m9
Data available Q: 2000q1 - 2023q3
Data available A: 2000 - 2022
Text 99: 
Automatic update period: 1999|2015
Time shift: 
Note: 
Reporter: MD - Moldova
Chapter 1: 05_LAB - Labour market
Indicator: SC0507 - Unemployment, LFS
Unit: 02_Pers_11 - th persons, period average
Footnote 1: FMD01 - Excluding data on districts from the left side of the river Nistru and municipality Bender.
Footnote 2: FMD11 - From 2014 according to census May 2014 and new methodolgy in line with the Integrated European Social Statistics Regulation (IESS).
Footnote 3: FMD10 - From 2006 according to census October 2004 and improved survey according to international standards.
Footnote 4:  - 
Source 1: QMD1 - National Bureau of Statistics of Moldova
Source 2:  - 
Source 3:  - 
</t>
        </r>
      </text>
    </comment>
    <comment ref="R8" authorId="1" shapeId="0" xr:uid="{799621C5-ABB9-4A55-AFDA-7B663503C379}">
      <text>
        <r>
          <rPr>
            <sz val="9"/>
            <color indexed="81"/>
            <rFont val="Segoe UI"/>
            <family val="2"/>
          </rPr>
          <t xml:space="preserve">ID: 140951
Label: mde5u_tp_q
Database: wiiw Monthly Database - Public
Status: active
Calculation: 
Calculation_M: q-&gt;m EOP(L_mde5u_tp_q&gt;mdb)
Calculation_Q: 
Calculation_A: q-&gt;a AVG(L_mde5u_tp_q&gt;mdb)
Periodicity: Q
Data available M: 2000m3 - 2023m9
Data available Q: 2000q1 - 2023q3
Data available A: 2000 - 2022
Text 99: 
Automatic update period: 1999|2015
Time shift: 
Note: New def.of employment --&gt; new scope of active population --&gt; unemployment rate affected.
Reporter: MD - Moldova
Chapter 1: 05_LAB - Labour market
Indicator: SC0508 - Unemployment rate, LFS
Unit: 02_Pers_21 - in %, period average
Footnote 1: FMD01 - Excluding data on districts from the left side of the river Nistru and municipality Bender.
Footnote 2: FMD11 - From 2014 according to census May 2014 and new methodolgy in line with the Integrated European Social Statistics Regulation (IESS).
Footnote 3: FMD10 - From 2006 according to census October 2004 and improved survey according to international standards.
Footnote 4:  - 
Source 1: QMD1 - National Bureau of Statistics of Moldova
Source 2: Z_wiiw - wiiw
Source 3:  - 
</t>
        </r>
      </text>
    </comment>
    <comment ref="S8" authorId="1" shapeId="0" xr:uid="{A59CAE70-52A5-47BA-A4CE-B91AB40AAF26}">
      <text>
        <r>
          <rPr>
            <sz val="9"/>
            <color indexed="81"/>
            <rFont val="Segoe UI"/>
            <family val="2"/>
          </rPr>
          <t xml:space="preserve">ID: 140956
Label: mdw11_tccx_q
Database: wiiw Monthly Database - Public
Status: active
Calculation: SubScal(L_mdw11_tccx_q&gt;mdb,100)
Calculation_M: q-&gt;m EOP(L_mdw11_tccx_q&gt;mdb)
Calculation_Q: CPPY=100(L_mdw11_tn_q&gt;mdb)
Calculation_A: CPPY=100(L_mdw11_tn_q&gt;mdb)
Periodicity: Q
Data available M: 2001m3 - 2023m9
Data available Q: 2001q1 - 2023q3
Data available A: 2001 - 2022
Text 99: 
Automatic update period: 1999|2015
Time shift: 
Note: 
Reporter: MD - Moldova
Chapter 1: 06_WS - Wages
Indicator: SC0601 - Average monthly gross wages total
Unit: 04_Inom_32 - index nominal, corresponding period of previous year = 100
Footnote 1: FMD01 - Excluding data on districts from the left side of the river Nistru and municipality Bender.
Footnote 2: FMD15 - Budgetary sector fully covered. Until 2010 enterprises with 20 and more employees, from 2011 with 4 and more employees.
Footnote 3:  - 
Footnote 4:  - 
Source 1: QMD1 - National Bureau of Statistics of Moldova
Source 2: Z_wiiw - wiiw
Source 3:  - 
</t>
        </r>
      </text>
    </comment>
    <comment ref="T8" authorId="1" shapeId="0" xr:uid="{70B38E3D-55FD-44D0-8C34-AB49ED0ABB3A}">
      <text>
        <r>
          <rPr>
            <sz val="9"/>
            <color indexed="81"/>
            <rFont val="Segoe UI"/>
            <family val="2"/>
          </rPr>
          <t xml:space="preserve">ID: 140962
Label: mdfrr1tp
Database: wiiw Monthly Database - Public
Status: active
Calculation: 
Calculation_M: 
Calculation_Q: m-&gt;q EOP(L_mdfrr1tp&gt;mdb)
Calculation_A: q-&gt;a EOP(L_mdfrr1tp&gt;mdb)
Periodicity: Q
Data available M: 2000m1 - 2023m12
Data available Q: 2000q1 - 2023q4
Data available A: 2000 - 2023
Text 99: 
Automatic update period: 1999|2015
Time shift: 
Note: Basic rate (rate applied on the main short-term monetary policy operation)
Reporter: MD - Moldova
Chapter 1: 10_DF - Domestic finance
Indicator: SC1050 - Central bank policy rate
Unit: 06_IntR_1 - % p.a., end of period
Footnote 1: FMD01 - Excluding data on districts from the left side of the river Nistru and municipality Bender.
Footnote 2: FMD19 - Base rate applied on the main short-term monetary policy operations.
Footnote 3:  - 
Footnote 4:  - 
Source 1: QMD2 - National Bank of Moldova
Source 2:  - 
Source 3:  - 
</t>
        </r>
      </text>
    </comment>
    <comment ref="U8" authorId="1" shapeId="0" xr:uid="{9318E827-46DA-40A6-977B-27568BE9D1D3}">
      <text>
        <r>
          <rPr>
            <sz val="9"/>
            <color indexed="81"/>
            <rFont val="Segoe UI"/>
            <family val="2"/>
          </rPr>
          <t xml:space="preserve">ID: 140931
Label: mdp1p1tsax
Database: wiiw Monthly Database - Public
Status: active
Calculation: 
Calculation_M: Index PP based(L_mdp1p1tsb&gt;mdb,2015)
Calculation_Q: m-&gt;q AVG(L_mdp1p1tsax&gt;mdb)
Calculation_A: q-&gt;a AVG(L_mdp1p1tsax&gt;mdb)
Periodicity: Q
Data available M: 1990m12 - 2023m12
Data available Q: 1991q1 - 2023q4
Data available A: 1991 - 2023
Text 99: 
Automatic update period: 1999|2015
Time shift: 
Note: 
Reporter: MD - Moldova
Chapter 1: 07_PRC - Prices
Indicator: SC0701 - Consumer prices
Unit: 03_I_1_085_15avg - index, monthly average, 2015 = 100
Footnote 1: FMD01 - Excluding data on districts from the left side of the river Nistru and municipality Bender.
Footnote 2:  - 
Footnote 3:  - 
Footnote 4:  - 
Source 1: QMD1 - National Bureau of Statistics of Moldova
Source 2: Z_wiiw - wiiw
Source 3:  - 
</t>
        </r>
      </text>
    </comment>
    <comment ref="V8" authorId="1" shapeId="0" xr:uid="{94686A62-8F9C-4720-B118-B01C9DF9AC8B}">
      <text>
        <r>
          <rPr>
            <sz val="9"/>
            <color indexed="81"/>
            <rFont val="Segoe UI"/>
            <family val="2"/>
          </rPr>
          <t xml:space="preserve">ID: 140900
Label: mdp2xea
Database: wiiw Monthly Database - Public
Status: active
Calculation: 
Calculation_M: 
Calculation_Q: m-&gt;q AVG(L_mdp2xea&gt;mdb)
Calculation_A: q-&gt;a AVG(L_mdp2xea&gt;mdb)
Periodicity: Q
Data available M: 1999m1 - 2023m12
Data available Q: 1999q1 - 2023q4
Data available A: 1999 - 2023
Text 99: 
Automatic update period: 1999|2015
Time shift: 
Note: 
Reporter: MD - Moldova
Chapter 1: 11_FF - Foreign finance
Indicator: SC1107 - Exchange rate nominal
Unit: 07_Exch_12 - NCU/EUR, period average
Footnote 1: FMD01 - Excluding data on districts from the left side of the river Nistru and municipality Bender.
Footnote 2:  - 
Footnote 3:  - 
Footnote 4:  - 
Source 1: QMD2 - National Bank of Moldova
Source 2:  - 
Source 3:  - 
</t>
        </r>
      </text>
    </comment>
    <comment ref="W8" authorId="1" shapeId="0" xr:uid="{B2CB15A6-6D92-41F4-9761-4B5BD5AB5283}">
      <text>
        <r>
          <rPr>
            <sz val="9"/>
            <color indexed="81"/>
            <rFont val="Segoe UI"/>
            <family val="2"/>
          </rPr>
          <t xml:space="preserve">ID: 140943
Label: mda1211tscx
Database: wiiw Monthly Database - Public
Status: active
Calculation: SubScal(L_mda1211tscx&gt;mdb,100)
Calculation_M: CPPY=100(L_mda1211tsa10_help&gt;mdb)
Calculation_Q: CPPY=100(L_mda1211tsa10_help&gt;mdb)
Calculation_A: CPPY=100(L_mda1211tsa10_help&gt;mdb)
Periodicity: Q
Data available M: 2011m1 - 2023m11
Data available Q: 2011q1 - 2023q3
Data available A: 2011 - 2022
Text 99: 
Automatic update period: 1999|2015
Time shift: 
Note: 
Reporter: MD - Moldova
Chapter 1: 04_PROD - Production
Indicator: SC0401 - Industrial output (BCD - NACE Rev. 2)
Unit: 05_Ireal_32 - index real, corresponding period of previous year = 100
Footnote 1: FMD01 - Excluding data on districts from the left side of the river Nistru and municipality Bender.
Footnote 2:  - 
Footnote 3:  - 
Footnote 4:  - 
Source 1: QMD1 - National Bureau of Statistics of Moldova
Source 2: Z_wiiw - wiiw
Source 3:  - 
</t>
        </r>
      </text>
    </comment>
    <comment ref="X8" authorId="1" shapeId="0" xr:uid="{7CFA1745-065B-40C5-BBF1-B1B661E81F45}">
      <text>
        <r>
          <rPr>
            <sz val="9"/>
            <color indexed="81"/>
            <rFont val="Segoe UI"/>
            <family val="2"/>
          </rPr>
          <t xml:space="preserve">ID: 140907
Label: mdlago2ex_q
Database: wiiw Monthly Database - Hidden
Status: active
Calculation: SubScal(CPPY=100(AddNull(L_mdlago2ex_q&gt;mdb,L_mdlase2ex_q&gt;mdb)),100)
Calculation_M: q-&gt;m EOP(L_mdlago2ex_q&gt;mdb)
Calculation_Q: Div(L_mdlago2d_q&gt;mdb,Div(m-&gt;q AVG(L_mdp2xea&gt;mdb),m-&gt;q AVG(L_mdp2usa&gt;mdb)))
Calculation_A: Q-&gt;A CUMPER(L_mdlago2ex_q&gt;mdb)
Periodicity: Q
Data available M: 2009m3 - 2023m9
Data available Q: 2009q1 - 2023q3
Data available A: 2009 - 2022
Text 99: 
Automatic update period: 1999|2015
Time shift: 
Note: 
Reporter: MD - Moldova
Chapter 1: 11_FF - Foreign finance
Indicator: SC1111 - 1.A.a. Goods exports, fob, credit
Unit: 01_Curr_23 - EUR m
Footnote 1: FMD01 - Excluding data on districts from the left side of the river Nistru and municipality Bender.
Footnote 2: FZZ80 - Based on BPM6.
Footnote 3: FZZ28 - Calculated from USD to NCU to EUR using the average exchange rate.
Footnote 4:  - 
Source 1: QMD2 - National Bank of Moldova
Source 2: Z_wiiw - wiiw
Source 3:  - 
</t>
        </r>
      </text>
    </comment>
    <comment ref="Y8" authorId="1" shapeId="0" xr:uid="{A52382A5-2CE2-4E24-B852-7FE5989BE70D}">
      <text>
        <r>
          <rPr>
            <sz val="9"/>
            <color indexed="81"/>
            <rFont val="Segoe UI"/>
            <family val="2"/>
          </rPr>
          <t xml:space="preserve">ID: 140911
Label: mdlago3ex_q
Database: wiiw Monthly Database - Hidden
Status: active
Calculation: SubScal(CPPY=100(AddNull(L_mdlago3ex_q&gt;mdb,L_mdlase3ex_q&gt;mdb)),100)
Calculation_M: q-&gt;m EOP(L_mdlago3ex_q&gt;mdb)
Calculation_Q: Div(L_mdlago3d_q&gt;mdb,Div(m-&gt;q AVG(L_mdp2xea&gt;mdb),m-&gt;q AVG(L_mdp2usa&gt;mdb)))
Calculation_A: Q-&gt;A CUMPER(L_mdlago3ex_q&gt;mdb)
Periodicity: Q
Data available M: 2009m3 - 2023m9
Data available Q: 2009q1 - 2023q3
Data available A: 2009 - 2022
Text 99: 
Automatic update period: 1999|2015
Time shift: 
Note: 
Reporter: MD - Moldova
Chapter 1: 11_FF - Foreign finance
Indicator: SC1112 - 1.A.a. Goods imports, fob, debit
Unit: 01_Curr_23 - EUR m
Footnote 1: FMD01 - Excluding data on districts from the left side of the river Nistru and municipality Bender.
Footnote 2: FZZ80 - Based on BPM6.
Footnote 3: FZZ28 - Calculated from USD to NCU to EUR using the average exchange rate.
Footnote 4:  - 
Source 1: QMD2 - National Bank of Moldova
Source 2: Z_wiiw - wiiw
Source 3:  - 
</t>
        </r>
      </text>
    </comment>
    <comment ref="Z8" authorId="1" shapeId="0" xr:uid="{90764893-2375-4487-9BA4-2A3052267FF3}">
      <text>
        <r>
          <rPr>
            <sz val="9"/>
            <color indexed="81"/>
            <rFont val="Segoe UI"/>
            <family val="2"/>
          </rPr>
          <t xml:space="preserve">ID: 140888
Label: mdlacaepx_q
Database: wiiw Monthly Database - Public
Status: active
Calculation: 
Calculation_M: Q-&gt;M EOP(L_mdlacaepx_q&gt;mdb)
Calculation_Q: Share(L_mdlacaenx_q&gt;mdb,Div(L_mdg11tn_q&gt;mdb,L_mdp2xea&gt;mdb))
Calculation_A: Share(L_mdlacaenx_q&gt;mdb,Div(L_mdg11tn_q&gt;mdb,L_mdp2xea&gt;mdb))
Periodicity: Q
Data available M: 2010m3 - 2023m9
Data available Q: 2010q1 - 2023q3
Data available A: 2010 - 2022
Text 99: 
Automatic update period: 1999|2015
Time shift: 
Note: 
Reporter: MD - Moldova
Chapter 1: 11_FF - Foreign finance
Indicator: SC1101 - Current account
Unit: 09_Share_%gdp - in % of GDP
Footnote 1: FMD01 - Excluding data on districts from the left side of the river Nistru and municipality Bender.
Footnote 2: FZZ80 - Based on BPM6.
Footnote 3:  - 
Footnote 4:  - 
Source 1: QMD2 - National Bank of Moldova
Source 2: Z_wiiw - wiiw
Source 3:  - 
</t>
        </r>
      </text>
    </comment>
    <comment ref="AA8" authorId="1" shapeId="0" xr:uid="{E2EB04BF-0FB5-4891-99ED-D2FF785DA33E}">
      <text>
        <r>
          <rPr>
            <sz val="9"/>
            <color indexed="81"/>
            <rFont val="Segoe UI"/>
            <family val="2"/>
          </rPr>
          <t xml:space="preserve">ID: 140649
Label: mdg222px_q
Database: wiiw Monthly Database - Public
Status: active
Calculation: AddNull(L_mdg222px_q&gt;mdb,L_mdg22zpx_q&gt;mdb)
Calculation_M: Q-&gt;M EOP(L_mdg222px_q&gt;mdb)
Calculation_Q: Share(L_mdg222n_q&gt;mdb,L_mdg11tzn_q&gt;mdb)
Calculation_A: Share(L_mdg222n_q&gt;mdb,L_mdg11tzn_q&gt;mdb)
Periodicity: Q
Data available M: 2010m3 - 2023m9
Data available Q: 2010q1 - 2023q3
Data available A: 2010 - 2022
Text 99: 
Automatic update period: 1999|2015
Time shift: 
Note: 
Reporter: MD - Moldova
Chapter 1: 02_NA - National accounts
Indicator: SC0212 - Household final consumption expenditure
Unit: 09_Share_%gdp - in % of GDP
Footnote 1: FMD01 - Excluding data on districts from the left side of the river Nistru and municipality Bender.
Footnote 2:  - 
Footnote 3:  - 
Footnote 4:  - 
Source 1: QMD1 - National Bureau of Statistics of Moldova
Source 2: Z_wiiw - wiiw
Source 3:  - 
</t>
        </r>
      </text>
    </comment>
    <comment ref="AB8" authorId="1" shapeId="0" xr:uid="{AB4B9B63-AEE9-4185-9B8E-D5E7DDCFAB58}">
      <text>
        <r>
          <rPr>
            <sz val="9"/>
            <color indexed="81"/>
            <rFont val="Segoe UI"/>
            <family val="2"/>
          </rPr>
          <t xml:space="preserve">ID: 140665
Label: mdg223px_q
Database: wiiw Monthly Database - Public
Status: active
Calculation: 
Calculation_M: Q-&gt;M EOP(L_mdg223px_q&gt;mdb)
Calculation_Q: Share(L_mdg223n_q&gt;mdb,L_mdg11tzn_q&gt;mdb)
Calculation_A: Share(L_mdg223n_q&gt;mdb,L_mdg11tzn_q&gt;mdb)
Periodicity: Q
Data available M: 2010m3 - 2023m9
Data available Q: 2010q1 - 2023q3
Data available A: 2010 - 2022
Text 99: 
Automatic update period: 1999|2015
Time shift: 
Note: 
Reporter: MD - Moldova
Chapter 1: 02_NA - National accounts
Indicator: SC0214 - Government final consumption expenditure
Unit: 09_Share_%gdp - in % of GDP
Footnote 1: FMD01 - Excluding data on districts from the left side of the river Nistru and municipality Bender.
Footnote 2:  - 
Footnote 3:  - 
Footnote 4:  - 
Source 1: QMD1 - National Bureau of Statistics of Moldova
Source 2: Z_wiiw - wiiw
Source 3:  - 
</t>
        </r>
      </text>
    </comment>
    <comment ref="AC8" authorId="1" shapeId="0" xr:uid="{7D62F41A-9F70-46D3-80C6-4F01F66D6705}">
      <text>
        <r>
          <rPr>
            <sz val="9"/>
            <color indexed="81"/>
            <rFont val="Segoe UI"/>
            <family val="2"/>
          </rPr>
          <t xml:space="preserve">ID: 140681
Label: mdg225px_q
Database: wiiw Monthly Database - Public
Status: active
Calculation: 
Calculation_M: Q-&gt;M EOP(L_mdg225px_q&gt;mdb)
Calculation_Q: Share(L_mdg225n_q&gt;mdb,L_mdg11tzn_q&gt;mdb)
Calculation_A: Share(L_mdg225n_q&gt;mdb,L_mdg11tzn_q&gt;mdb)
Periodicity: Q
Data available M: 2010m3 - 2023m9
Data available Q: 2010q1 - 2023q3
Data available A: 2010 - 2022
Text 99: 
Automatic update period: 1999|2015
Time shift: 
Note: 
Reporter: MD - Moldova
Chapter 1: 02_NA - National accounts
Indicator: SC0218 - Gross fixed capital formation
Unit: 09_Share_%gdp - in % of GDP
Footnote 1: FMD01 - Excluding data on districts from the left side of the river Nistru and municipality Bender.
Footnote 2:  - 
Footnote 3:  - 
Footnote 4:  - 
Source 1: QMD1 - National Bureau of Statistics of Moldova
Source 2: Z_wiiw - wiiw
Source 3:  - 
</t>
        </r>
      </text>
    </comment>
    <comment ref="AD8" authorId="1" shapeId="0" xr:uid="{9C4B8894-9035-45C3-8EB9-333F3861E269}">
      <text>
        <r>
          <rPr>
            <sz val="9"/>
            <color indexed="81"/>
            <rFont val="Segoe UI"/>
            <family val="2"/>
          </rPr>
          <t xml:space="preserve">ID: 140699
Label: mdg228px_q
Database: wiiw Monthly Database - Public
Status: active
Calculation: 
Calculation_M: Q-&gt;M EOP(L_mdg228px_q&gt;mdb)
Calculation_Q: Share(L_mdg228n_q&gt;mdb,L_mdg11tzn_q&gt;mdb)
Calculation_A: Share(L_mdg228n_q&gt;mdb,L_mdg11tzn_q&gt;mdb)
Periodicity: Q
Data available M: 2010m3 - 2023m9
Data available Q: 2010q1 - 2023q3
Data available A: 2010 - 2022
Text 99: 
Automatic update period: 1999|2015
Time shift: 
Note: 
Reporter: MD - Moldova
Chapter 1: 02_NA - National accounts
Indicator: SC0221 - Exports of goods and services
Unit: 09_Share_%gdp - in % of GDP
Footnote 1: FMD01 - Excluding data on districts from the left side of the river Nistru and municipality Bender.
Footnote 2:  - 
Footnote 3:  - 
Footnote 4:  - 
Source 1: QMD1 - National Bureau of Statistics of Moldova
Source 2: Z_wiiw - wiiw
Source 3:  - 
</t>
        </r>
      </text>
    </comment>
    <comment ref="AE8" authorId="1" shapeId="0" xr:uid="{6BDC508A-E9BF-4112-81C3-C3A8186FE5ED}">
      <text>
        <r>
          <rPr>
            <sz val="9"/>
            <color indexed="81"/>
            <rFont val="Segoe UI"/>
            <family val="2"/>
          </rPr>
          <t xml:space="preserve">ID: 140707
Label: mdg229px_q
Database: wiiw Monthly Database - Public
Status: active
Calculation: 
Calculation_M: Q-&gt;M EOP(L_mdg229px_q&gt;mdb)
Calculation_Q: Share(L_mdg229n_q&gt;mdb,L_mdg11tzn_q&gt;mdb)
Calculation_A: Share(L_mdg229n_q&gt;mdb,L_mdg11tzn_q&gt;mdb)
Periodicity: Q
Data available M: 2010m3 - 2023m9
Data available Q: 2010q1 - 2023q3
Data available A: 2010 - 2022
Text 99: 
Automatic update period: 1999|2015
Time shift: 
Note: 
Reporter: MD - Moldova
Chapter 1: 02_NA - National accounts
Indicator: SC0222 - Imports of goods and services
Unit: 09_Share_%gdp - in % of GDP
Footnote 1: FMD01 - Excluding data on districts from the left side of the river Nistru and municipality Bender.
Footnote 2:  - 
Footnote 3:  - 
Footnote 4:  - 
Source 1: QMD1 - National Bureau of Statistics of Moldova
Source 2: Z_wiiw - wiiw
Source 3:  - 
</t>
        </r>
      </text>
    </comment>
    <comment ref="AF8" authorId="1" shapeId="0" xr:uid="{6F98E6A3-D642-4648-ABF0-F1F05050F38E}">
      <text>
        <r>
          <rPr>
            <sz val="9"/>
            <color indexed="81"/>
            <rFont val="Segoe UI"/>
            <family val="2"/>
          </rPr>
          <t xml:space="preserve">ID: 123207
Label: mdfls14scx
Database: wiiw Monthly Database - Public
Status: active
Calculation: SubScal(L_mdfls14scx&gt;mdb,100)
Calculation_M: CPPY=100(L_mdfls14e&gt;mdb)
Calculation_Q: M-&gt;Q EOP(L_mdfls14scx&gt;mdb)
Calculation_A: Q-&gt;A EOP(L_mdfls14scx&gt;mdb)
Periodicity: Q
Data available M: 2014m6 - 2023m12
Data available Q: 2014q2 - 2023q4
Data available A: 2014 - 2023
Text 99: 
Automatic update period: 1999|2015
Time shift: 
Note: 
Reporter: MD - Moldova
Chapter 1: 10_DF - Domestic finance
Indicator: SC1066 - Loans households (S14)
Unit: 04_Inom_32 - index nominal, corresponding period of previous year = 100
Footnote 1: FMD01 - Excluding data on districts from the left side of the river Nistru and municipality Bender.
Footnote 2:  - 
Footnote 3:  - 
Footnote 4:  - 
Source 1: QMD2 - National Bank of Moldova
Source 2: Z_wiiw - wiiw
Source 3:  - 
</t>
        </r>
      </text>
    </comment>
    <comment ref="AG8" authorId="1" shapeId="0" xr:uid="{D22232A3-0816-4EBE-960D-6E09B93674BC}">
      <text>
        <r>
          <rPr>
            <sz val="9"/>
            <color indexed="81"/>
            <rFont val="Segoe UI"/>
            <family val="2"/>
          </rPr>
          <t xml:space="preserve">ID: 141000
Label: mdbgdtpx_help_q
Database: wiiw Monthly Database - Hidden
Status: active
Calculation: 
Calculation_M: Q-&gt;M EOP(L_mdbgdtpx_help_q&gt;mdb)
Calculation_Q: Share(L_mdbgdtn_help_q&gt;mdb,L_mdg11tnx_help_q&gt;mdb)
Calculation_A: Q-&gt;A EOP(L_mdbgdtpx_help_q&gt;mdb)
Periodicity: Q
Data available M: 2007m12 - 2023m9
Data available Q: 2007q4 - 2023q3
Data available A: 2007 - 2022
Text 99: 
Automatic update period: 1999|2015
Time shift: 
Note: 
Reporter: MD - Moldova
Chapter 1: 10_DF - Domestic finance
Indicator: SC1009 - General government gross debt, total
Unit: 09_Share_%gdp - in % of GDP
Footnote 1: FMD01 - Excluding data on districts from the left side of the river Nistru and municipality Bender.
Footnote 2:  - 
Footnote 3:  - 
Footnote 4:  - 
Source 1: QMD3 - Ministry of Finance of Moldova
Source 2: Z_wiiw - wiiw
Source 3:  - 
</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BJ</author>
    <author>Alexandra Bykova</author>
  </authors>
  <commentList>
    <comment ref="B1" authorId="0" shapeId="0" xr:uid="{D0CB40B6-BE80-4BC6-89A4-93DE3BF6923B}">
      <text>
        <r>
          <rPr>
            <b/>
            <sz val="9"/>
            <color indexed="81"/>
            <rFont val="Tahoma"/>
            <family val="2"/>
          </rPr>
          <t>BJ:</t>
        </r>
        <r>
          <rPr>
            <sz val="9"/>
            <color indexed="81"/>
            <rFont val="Tahoma"/>
            <family val="2"/>
          </rPr>
          <t xml:space="preserve">
EU 27, seasonally and calendar adjusted
Eurostat</t>
        </r>
      </text>
    </comment>
    <comment ref="C1" authorId="0" shapeId="0" xr:uid="{9060F565-1ACE-46C2-9960-A12E43B240BC}">
      <text>
        <r>
          <rPr>
            <b/>
            <sz val="9"/>
            <color indexed="81"/>
            <rFont val="Tahoma"/>
            <family val="2"/>
          </rPr>
          <t>BJ:</t>
        </r>
        <r>
          <rPr>
            <sz val="9"/>
            <color indexed="81"/>
            <rFont val="Tahoma"/>
            <family val="2"/>
          </rPr>
          <t xml:space="preserve">
Eurostat</t>
        </r>
      </text>
    </comment>
    <comment ref="D1" authorId="0" shapeId="0" xr:uid="{6698A1E2-7AB2-4FE7-8178-34483837BD7A}">
      <text>
        <r>
          <rPr>
            <b/>
            <sz val="9"/>
            <color indexed="81"/>
            <rFont val="Tahoma"/>
            <family val="2"/>
          </rPr>
          <t>BJ:</t>
        </r>
        <r>
          <rPr>
            <sz val="9"/>
            <color indexed="81"/>
            <rFont val="Tahoma"/>
            <family val="2"/>
          </rPr>
          <t xml:space="preserve">
EU changing composition
Eurostat</t>
        </r>
      </text>
    </comment>
    <comment ref="E1" authorId="0" shapeId="0" xr:uid="{3511946E-C687-4D6D-B223-8DEB494F2F6E}">
      <text>
        <r>
          <rPr>
            <b/>
            <sz val="9"/>
            <color indexed="81"/>
            <rFont val="Tahoma"/>
            <family val="2"/>
          </rPr>
          <t>BJ:</t>
        </r>
        <r>
          <rPr>
            <sz val="9"/>
            <color indexed="81"/>
            <rFont val="Tahoma"/>
            <family val="2"/>
          </rPr>
          <t xml:space="preserve">
ECB</t>
        </r>
      </text>
    </comment>
    <comment ref="F1" authorId="0" shapeId="0" xr:uid="{A65E9014-9125-40C2-AFAD-6501CD4C203A}">
      <text>
        <r>
          <rPr>
            <b/>
            <sz val="9"/>
            <color indexed="81"/>
            <rFont val="Tahoma"/>
            <family val="2"/>
          </rPr>
          <t>BJ:</t>
        </r>
        <r>
          <rPr>
            <sz val="9"/>
            <color indexed="81"/>
            <rFont val="Tahoma"/>
            <family val="2"/>
          </rPr>
          <t xml:space="preserve">
Crude oil, average, from WB pink sheets
in USD</t>
        </r>
      </text>
    </comment>
    <comment ref="G1" authorId="0" shapeId="0" xr:uid="{7409AE7C-4E83-47E3-A1F0-60A624EF3D39}">
      <text>
        <r>
          <rPr>
            <b/>
            <sz val="9"/>
            <color indexed="81"/>
            <rFont val="Tahoma"/>
            <family val="2"/>
          </rPr>
          <t>BJ:</t>
        </r>
        <r>
          <rPr>
            <sz val="9"/>
            <color indexed="81"/>
            <rFont val="Tahoma"/>
            <family val="2"/>
          </rPr>
          <t xml:space="preserve">
nominal, in NCU
yoy growth</t>
        </r>
      </text>
    </comment>
    <comment ref="H1" authorId="0" shapeId="0" xr:uid="{0B3B81C7-8686-4AE6-857C-C03593BB8637}">
      <text>
        <r>
          <rPr>
            <b/>
            <sz val="9"/>
            <color indexed="81"/>
            <rFont val="Tahoma"/>
            <family val="2"/>
          </rPr>
          <t>BJ:</t>
        </r>
        <r>
          <rPr>
            <sz val="9"/>
            <color indexed="81"/>
            <rFont val="Tahoma"/>
            <family val="2"/>
          </rPr>
          <t xml:space="preserve">
General gov. budget - revenues NCU m (incl. 'euro fixed' series)
yoy growth
wiiw</t>
        </r>
      </text>
    </comment>
    <comment ref="I1" authorId="0" shapeId="0" xr:uid="{0D4D9533-5AE8-40CC-8082-7C1F5468FF61}">
      <text>
        <r>
          <rPr>
            <b/>
            <sz val="9"/>
            <color indexed="81"/>
            <rFont val="Tahoma"/>
            <family val="2"/>
          </rPr>
          <t>BJ:</t>
        </r>
        <r>
          <rPr>
            <sz val="9"/>
            <color indexed="81"/>
            <rFont val="Tahoma"/>
            <family val="2"/>
          </rPr>
          <t xml:space="preserve">
General gov. budget - balance
 in % of GDP
wiiw</t>
        </r>
      </text>
    </comment>
    <comment ref="J1" authorId="0" shapeId="0" xr:uid="{9420157E-B09A-4BB5-A196-7EA5D61738AB}">
      <text>
        <r>
          <rPr>
            <b/>
            <sz val="9"/>
            <color indexed="81"/>
            <rFont val="Tahoma"/>
            <family val="2"/>
          </rPr>
          <t>BJ:</t>
        </r>
        <r>
          <rPr>
            <sz val="9"/>
            <color indexed="81"/>
            <rFont val="Tahoma"/>
            <family val="2"/>
          </rPr>
          <t xml:space="preserve">
For all GDP: 
real yoy growth rates
wiiw</t>
        </r>
      </text>
    </comment>
    <comment ref="K1" authorId="0" shapeId="0" xr:uid="{56B6B8E0-FBA9-4602-8BA8-F8CCECFA29D9}">
      <text>
        <r>
          <rPr>
            <b/>
            <sz val="9"/>
            <color indexed="81"/>
            <rFont val="Tahoma"/>
            <family val="2"/>
          </rPr>
          <t>BJ:</t>
        </r>
        <r>
          <rPr>
            <sz val="9"/>
            <color indexed="81"/>
            <rFont val="Tahoma"/>
            <family val="2"/>
          </rPr>
          <t xml:space="preserve">
Households</t>
        </r>
      </text>
    </comment>
    <comment ref="M1" authorId="0" shapeId="0" xr:uid="{095A0C52-9593-4F4A-AA17-6F6F5E2BC343}">
      <text>
        <r>
          <rPr>
            <b/>
            <sz val="9"/>
            <color indexed="81"/>
            <rFont val="Tahoma"/>
            <family val="2"/>
          </rPr>
          <t>BJ:</t>
        </r>
        <r>
          <rPr>
            <sz val="9"/>
            <color indexed="81"/>
            <rFont val="Tahoma"/>
            <family val="2"/>
          </rPr>
          <t xml:space="preserve">
Gross capital formation</t>
        </r>
      </text>
    </comment>
    <comment ref="S1" authorId="0" shapeId="0" xr:uid="{262B230C-7731-4EE8-AEDD-9A0DCD542692}">
      <text>
        <r>
          <rPr>
            <b/>
            <sz val="9"/>
            <color indexed="81"/>
            <rFont val="Tahoma"/>
            <family val="2"/>
          </rPr>
          <t>BJ:</t>
        </r>
        <r>
          <rPr>
            <sz val="9"/>
            <color indexed="81"/>
            <rFont val="Tahoma"/>
            <family val="2"/>
          </rPr>
          <t xml:space="preserve">
nominal</t>
        </r>
      </text>
    </comment>
    <comment ref="Z1" authorId="0" shapeId="0" xr:uid="{06BA2876-010E-451E-BC24-26A454EE50D5}">
      <text>
        <r>
          <rPr>
            <b/>
            <sz val="9"/>
            <color indexed="81"/>
            <rFont val="Tahoma"/>
            <family val="2"/>
          </rPr>
          <t>BJ:</t>
        </r>
        <r>
          <rPr>
            <sz val="9"/>
            <color indexed="81"/>
            <rFont val="Tahoma"/>
            <family val="2"/>
          </rPr>
          <t xml:space="preserve">
Current account in % of GDP
wiiw</t>
        </r>
      </text>
    </comment>
    <comment ref="AF1" authorId="0" shapeId="0" xr:uid="{7B80A77F-02CB-426D-9EBE-2BE5EDBA3F1A}">
      <text>
        <r>
          <rPr>
            <b/>
            <sz val="9"/>
            <color indexed="81"/>
            <rFont val="Tahoma"/>
            <family val="2"/>
          </rPr>
          <t>BJ:</t>
        </r>
        <r>
          <rPr>
            <sz val="9"/>
            <color indexed="81"/>
            <rFont val="Tahoma"/>
            <family val="2"/>
          </rPr>
          <t xml:space="preserve">
loans to households, nominal, yoy growth rates</t>
        </r>
      </text>
    </comment>
    <comment ref="B8" authorId="1" shapeId="0" xr:uid="{C948F980-5C7D-4985-B535-10FAF20A7854}">
      <text>
        <r>
          <rPr>
            <sz val="9"/>
            <color indexed="81"/>
            <rFont val="Segoe UI"/>
            <family val="2"/>
          </rPr>
          <t xml:space="preserve">ID: 144396
Label: eug11tscrx_q
Database: wiiw Monthly Database - Hidden
Status: active
Calculation: 
Calculation_M: SubScal(L_eug11tscx_q&gt;mdb,100)
Calculation_Q: SubScal(L_eug11tscx_q&gt;mdb,100)
Calculation_A: SubScal(L_eug11tscx_q&gt;mdb,100)
Periodicity: Q
Data available M: 1996m3 - 2023m9
Data available Q: 1996q1 - 2023q3
Data available A: 1996 - 2022
Text 99: 
Automatic update period: 1999|2015
Time shift: 
Note: 
Reporter: EU27_2020 - EU - 27 countries (from 2020)
Chapter 1: 02_NA - National accounts
Indicator: SC0201 - Gross domestic product total
Unit: 05_Ireal_36 - real growth rate to corresponding period of previous year in %
Footnote 1: FZZ05 - According to ESA'10.
Footnote 2:  - 
Footnote 3:  - 
Footnote 4:  - 
Source 1: Z_ESTAT - Eurostat
Source 2: Z_wiiw - wiiw
Source 3:  - 
</t>
        </r>
      </text>
    </comment>
    <comment ref="C8" authorId="1" shapeId="0" xr:uid="{49B5FCD7-F22A-42CA-A95B-5244FEA671B5}">
      <text>
        <r>
          <rPr>
            <sz val="9"/>
            <color indexed="81"/>
            <rFont val="Segoe UI"/>
            <family val="2"/>
          </rPr>
          <t xml:space="preserve">ID: 77811
Label: eup1p1tsa
Database: wiiw Monthly Database - Hidden
Status: active
Calculation: 
Calculation_M: 
Calculation_Q: m-&gt;q AVG(L_eup1p1tsa&gt;mdb)
Calculation_A: q-&gt;a AVG(L_eup1p1tsa&gt;mdb)
Periodicity: Q
Data available M: 1999m1 - 2023m12
Data available Q: 1999q1 - 2023q4
Data available A: 1999 - 2023
Text 99: 
Automatic update period: 1999|2015
Time shift: 
Note: 
Reporter: EU - European Union evolutionary
Chapter 1: 07_PRC - Prices
Indicator: SC0701 - Consumer prices
Unit: 03_I_1_085_15avg - index, monthly average, 2015 = 100
Footnote 1: FZZ40 - Based on HICP (Harmonized Index of Consumer Prices).
Footnote 2:  - 
Footnote 3:  - 
Footnote 4:  - 
Source 1: Z_ESTAT - Eurostat
Source 2:  - 
Source 3:  - 
</t>
        </r>
      </text>
    </comment>
    <comment ref="D8" authorId="1" shapeId="0" xr:uid="{A041A7A0-7871-4956-BE72-7BFC5DCC8646}">
      <text>
        <r>
          <rPr>
            <sz val="9"/>
            <color indexed="81"/>
            <rFont val="Segoe UI"/>
            <family val="2"/>
          </rPr>
          <t xml:space="preserve">ID: 77812
Label: eup1p1tscx
Database: wiiw Monthly Database - Hidden
Status: active
Calculation: SubScal(L_eup1p1tscx&gt;mdb,100)
Calculation_M: CPPY=100(L_eup1p1tsa&gt;mdb)
Calculation_Q: CPPY=100(L_eup1p1tsa&gt;mdb)
Calculation_A: CPPY=100(L_eup1p1tsa&gt;mdb)
Periodicity: Q
Data available M: 1992m1 - 2023m12
Data available Q: 1992q1 - 2023q4
Data available A: 1992 - 2023
Text 99: 
Automatic update period: 1999|2015
Time shift: 
Note: 
Reporter: EU - European Union evolutionary
Chapter 1: 07_PRC - Prices
Indicator: SC0701 - Consumer prices
Unit: 03_I_32 - index, corresponding period of previous year = 100
Footnote 1: FZZ40 - Based on HICP (Harmonized Index of Consumer Prices).
Footnote 2:  - 
Footnote 3:  - 
Footnote 4:  - 
Source 1: Z_ESTAT - Eurostat
Source 2: Z_wiiw - wiiw
Source 3:  - 
</t>
        </r>
      </text>
    </comment>
    <comment ref="E8" authorId="1" shapeId="0" xr:uid="{A13D5F50-5503-47B3-BADD-A6BE72F1B278}">
      <text>
        <r>
          <rPr>
            <sz val="9"/>
            <color indexed="81"/>
            <rFont val="Segoe UI"/>
            <family val="2"/>
          </rPr>
          <t xml:space="preserve">ID: 144399
Label: eafrr1tp_help
Database: wiiw Monthly Database - Hidden
Status: active
Calculation: 
Calculation_M: L_eafrr1tp&gt;mdb
Calculation_Q: m-&gt;q AVG(L_eafrr1tp&gt;mdb)
Calculation_A: q-&gt;a AVG(L_eafrr1tp&gt;mdb)
Periodicity: Q
Data available M: 1999m1 - 2023m12
Data available Q: 1999q1 - 2023q4
Data available A: 1999 - 2023
Text 99: 
Automatic update period: 1999|2015
Time shift: 
Note: 
Reporter: EA - Euro area evolutionary
Chapter 1: 10_DF - Domestic finance
Indicator: SC1050 - Central bank policy rate
Unit: 06_IntR_6 - % p.a., period average
Footnote 1: FZZ50 - Official refinancing operation rates for euro area (ECB), rate in fixed rate tenders (between June 2000 and September 2008 the minimum bid rate in variable rate tenders was applied).
Footnote 2:  - 
Footnote 3:  - 
Footnote 4:  - 
Source 1: Z_ECB - European Central Bank
Source 2:  - 
Source 3:  - 
</t>
        </r>
      </text>
    </comment>
    <comment ref="F8" authorId="1" shapeId="0" xr:uid="{577FDF48-3B5C-470C-9BB6-C703A6ED70B5}">
      <text>
        <r>
          <rPr>
            <sz val="9"/>
            <color indexed="81"/>
            <rFont val="Segoe UI"/>
            <family val="2"/>
          </rPr>
          <t xml:space="preserve">ID: 101874
Label: usp2oila
Database: wiiw Monthly Database - Hidden
Status: active
Calculation: 
Calculation_M: 
Calculation_Q: M-&gt;Q AVG(L_usp2oila&gt;mdb)
Calculation_A: Q-&gt;A AVG(L_usp2oila&gt;mdb)
Periodicity: Q
Data available M: 1990m1 - 2023m12
Data available Q: 1990q1 - 2023q4
Data available A: 1990 - 2023
Text 99: 
Automatic update period: 1999|2015
Time shift: 
Note: Oil prices  &amp; Europe Brent Spot Price FOB (Dollars per Barrel) &amp; EIA (US) Source of the data. Gespeichert auf die EU&amp;US Karten.
Reporter: US - United States
Chapter 1: 11_FF - Foreign finance
Indicator:  - 
Unit:  - 
Footnote 1:  - 
Footnote 2:  - 
Footnote 3:  - 
Footnote 4:  - 
Source 1:  - 
Source 2:  - 
Source 3:  - 
</t>
        </r>
      </text>
    </comment>
    <comment ref="G8" authorId="1" shapeId="0" xr:uid="{14E2B874-E1C2-4986-A14E-0AAE9727A785}">
      <text>
        <r>
          <rPr>
            <sz val="9"/>
            <color indexed="81"/>
            <rFont val="Segoe UI"/>
            <family val="2"/>
          </rPr>
          <t xml:space="preserve">ID: 88764
Label: kzbg21nx
Database: wiiw Monthly Database - Public
Status: active
Calculation: SubScal(CPPY=100(L_kzbg21nx&gt;mdb),100)
Calculation_M: DeCum(L_kzbg21nu&gt;mdb)
Calculation_Q: m-&gt;q CumPer(L_kzbg21nx&gt;mdb)
Calculation_A: q-&gt;a CumPer(L_kzbg21nx&gt;mdb)
Periodicity: Q
Data available M: 2000m1 - 2023m11
Data available Q: 2000q1 - 2023q3
Data available A: 2000 - 2022
Text 99: 
Automatic update period: 1999|2015
Time shift: 
Note: 
Reporter: KZ - Kazakhstan
Chapter 1: 10_DF - Domestic finance
Indicator: SC1021 - General gov. budget - expenditures
Unit: 01_Curr_12 - NCU m (incl. 'euro fixed' series)
Footnote 1:  - 
Footnote 2:  - 
Footnote 3:  - 
Footnote 4:  - 
Source 1: QKZ3 - Ministry of Finance of Kazakhstan
Source 2: Z_wiiw - wiiw
Source 3:  - 
</t>
        </r>
      </text>
    </comment>
    <comment ref="H8" authorId="1" shapeId="0" xr:uid="{C1639323-9D33-477A-B56A-84D3F56C951F}">
      <text>
        <r>
          <rPr>
            <sz val="9"/>
            <color indexed="81"/>
            <rFont val="Segoe UI"/>
            <family val="2"/>
          </rPr>
          <t xml:space="preserve">ID: 88763
Label: kzbg11nx
Database: wiiw Monthly Database - Public
Status: active
Calculation: SubScal(CPPY=100(L_kzbg11nx&gt;mdb),100)
Calculation_M: DeCum(L_kzbg11nu&gt;mdb)
Calculation_Q: m-&gt;q CumPer(L_kzbg11nx&gt;mdb)
Calculation_A: q-&gt;a CumPer(L_kzbg11nx&gt;mdb)
Periodicity: Q
Data available M: 2000m1 - 2023m11
Data available Q: 2000q1 - 2023q3
Data available A: 2000 - 2022
Text 99: 
Automatic update period: 1999|2015
Time shift: 
Note: 
Reporter: KZ - Kazakhstan
Chapter 1: 10_DF - Domestic finance
Indicator: SC1020 - General gov. budget - revenues
Unit: 01_Curr_12 - NCU m (incl. 'euro fixed' series)
Footnote 1:  - 
Footnote 2:  - 
Footnote 3:  - 
Footnote 4:  - 
Source 1: QKZ3 - Ministry of Finance of Kazakhstan
Source 2: Z_wiiw - wiiw
Source 3:  - 
</t>
        </r>
      </text>
    </comment>
    <comment ref="I8" authorId="1" shapeId="0" xr:uid="{14D70262-E331-4A0A-A3F9-CB51D99C1957}">
      <text>
        <r>
          <rPr>
            <sz val="9"/>
            <color indexed="81"/>
            <rFont val="Segoe UI"/>
            <family val="2"/>
          </rPr>
          <t xml:space="preserve">ID: 89222
Label: kzbg31px_q
Database: wiiw Monthly Database - Public
Status: active
Calculation: 
Calculation_M: Q-&gt;M EOP(L_kzbg31px_q&gt;mdb)
Calculation_Q: Share(L_kzbg31nx&gt;mdb,L_kzg11tn_q&gt;mdb)
Calculation_A: Share(L_kzbg31nx&gt;mdb,L_kzg11tn_q&gt;mdb)
Periodicity: Q
Data available M: 2000m3 - 2023m9
Data available Q: 2000q1 - 2023q3
Data available A: 2000 - 2022
Text 99: 
Automatic update period: 1999|2015
Time shift: 
Note: 
Reporter: KZ - Kazakhstan
Chapter 1: 10_DF - Domestic finance
Indicator: SC1022 - General gov. budget - balance
Unit: 09_Share_%gdp - in % of GDP
Footnote 1:  - 
Footnote 2:  - 
Footnote 3:  - 
Footnote 4:  - 
Source 1: QKZ3 - Ministry of Finance of Kazakhstan
Source 2: Z_wiiw - wiiw
Source 3:  - 
</t>
        </r>
      </text>
    </comment>
    <comment ref="J8" authorId="1" shapeId="0" xr:uid="{7A75C655-8320-4A79-94F0-FB5DEBD05705}">
      <text>
        <r>
          <rPr>
            <sz val="9"/>
            <color indexed="81"/>
            <rFont val="Segoe UI"/>
            <family val="2"/>
          </rPr>
          <t xml:space="preserve">ID: 88644
Label: kzg11tr15_q
Database: wiiw Monthly Database - Public
Status: active
Calculation: SubScal(CPPY=100(L_kzg11tr15_q&gt;mdb),100)
Calculation_M: q-&gt;m EOP(L_kzg11tr15_q&gt;mdb)
Calculation_Q: 
Calculation_A: q-&gt;a CumPer(L_kzg11tr15_q&gt;mdb)
Periodicity: Q
Data available M: 2000m3 - 2023m9
Data available Q: 2000q1 - 2023q3
Data available A: 2000 - 2022
Text 99: 
Automatic update period: 1999|2015
Time shift: 
Note: wiiw calc. Reihe from cum. real growth
Reporter: KZ - Kazakhstan
Chapter 1: 02_NA - National accounts
Indicator: SC0201 - Gross domestic product total
Unit: 01_Curr_15_085_15_r - NCU m, 2015 reference prices (prev. year prices, incl. 'euro fixed' series)
Footnote 1: FKZ05 - From 2011 SNA'08, SNA'93 (FISIM not reallocated) before.
Footnote 2: FKZ06 - From 2017 according to the new methodology for assessing the non-observed economy.
Footnote 3: FZZ90 - wiiw estimates.
Footnote 4:  - 
Source 1: QKZ1 - Agency of Statistics of Kazakhstan
Source 2: Z_wiiw - wiiw
Source 3:  - 
</t>
        </r>
      </text>
    </comment>
    <comment ref="K8" authorId="1" shapeId="0" xr:uid="{15C4EDF2-7A9A-4F2B-9A1A-744111802ECD}">
      <text>
        <r>
          <rPr>
            <sz val="9"/>
            <color indexed="81"/>
            <rFont val="Segoe UI"/>
            <family val="2"/>
          </rPr>
          <t xml:space="preserve">ID: 90870
Label: kzg222r15_q
Database: wiiw Monthly Database - Public
Status: active
Calculation: SubScal(CPPY=100(L_kzg222r15_q&gt;mdb),100)
Calculation_M: q-&gt;m EOP(L_kzg222r15_q&gt;mdb)
Calculation_Q: 
Calculation_A: q-&gt;a CumPer(L_kzg222r15_q&gt;mdb)
Periodicity: Q
Data available M: 2006m3 - 2023m9
Data available Q: 2006q1 - 2023q3
Data available A: 2006 - 2022
Text 99: 
Automatic update period: 1999|2015
Time shift: 
Note: wiiw calc. Reihe from cum. real growth
Reporter: KZ - Kazakhstan
Chapter 1: 02_NA - National accounts
Indicator: SC0212 - Household final consumption expenditure
Unit: 01_Curr_15_085_15_r - NCU m, 2015 reference prices (prev. year prices, incl. 'euro fixed' series)
Footnote 1: FZZ90 - wiiw estimates.
Footnote 2:  - 
Footnote 3:  - 
Footnote 4:  - 
Source 1: QKZ1 - Agency of Statistics of Kazakhstan
Source 2: Z_wiiw - wiiw
Source 3:  - 
</t>
        </r>
      </text>
    </comment>
    <comment ref="L8" authorId="1" shapeId="0" xr:uid="{113FBEDC-9320-4CC9-9666-CCFF48790842}">
      <text>
        <r>
          <rPr>
            <sz val="9"/>
            <color indexed="81"/>
            <rFont val="Segoe UI"/>
            <family val="2"/>
          </rPr>
          <t xml:space="preserve">ID: 90914
Label: kzg223r15_q
Database: wiiw Monthly Database - Public
Status: active
Calculation: SubScal(CPPY=100(L_kzg223r15_q&gt;mdb),100)
Calculation_M: q-&gt;m EOP(L_kzg223r15_q&gt;mdb)
Calculation_Q: 
Calculation_A: q-&gt;a CumPer(L_kzg223r15_q&gt;mdb)
Periodicity: Q
Data available M: 2006m3 - 2023m9
Data available Q: 2006q1 - 2023q3
Data available A: 2006 - 2022
Text 99: 
Automatic update period: 1999|2015
Time shift: 
Note: wiiw calc. Reihe from cum. real growth
Reporter: KZ - Kazakhstan
Chapter 1: 02_NA - National accounts
Indicator: SC0214 - Government final consumption expenditure
Unit: 01_Curr_15_085_15_r - NCU m, 2015 reference prices (prev. year prices, incl. 'euro fixed' series)
Footnote 1: FZZ90 - wiiw estimates.
Footnote 2:  - 
Footnote 3:  - 
Footnote 4:  - 
Source 1: QKZ1 - Agency of Statistics of Kazakhstan
Source 2: Z_wiiw - wiiw
Source 3:  - 
</t>
        </r>
      </text>
    </comment>
    <comment ref="M8" authorId="1" shapeId="0" xr:uid="{AA26EED6-135B-4CE7-9463-5C3DDD04192B}">
      <text>
        <r>
          <rPr>
            <sz val="9"/>
            <color indexed="81"/>
            <rFont val="Segoe UI"/>
            <family val="2"/>
          </rPr>
          <t xml:space="preserve">ID: 90936
Label: kzg224r15_q
Database: wiiw Monthly Database - Public
Status: active
Calculation: SubScal(CPPY=100(L_kzg224r15_q&gt;mdb),100)
Calculation_M: q-&gt;m EOP(L_kzg224r15_q&gt;mdb)
Calculation_Q: 
Calculation_A: q-&gt;a CumPer(L_kzg224r15_q&gt;mdb)
Periodicity: Q
Data available M: 2006m3 - 2023m9
Data available Q: 2006q1 - 2023q3
Data available A: 2006 - 2022
Text 99: 
Automatic update period: 1999|2015
Time shift: 
Note: wiiw calc. Reihe from cum. real growth
Reporter: KZ - Kazakhstan
Chapter 1: 02_NA - National accounts
Indicator: SC0217 - Gross capital formation
Unit: 01_Curr_15_085_15_r - NCU m, 2015 reference prices (prev. year prices, incl. 'euro fixed' series)
Footnote 1: FZZ90 - wiiw estimates.
Footnote 2:  - 
Footnote 3:  - 
Footnote 4:  - 
Source 1: QKZ1 - Agency of Statistics of Kazakhstan
Source 2: Z_wiiw - wiiw
Source 3:  - 
</t>
        </r>
      </text>
    </comment>
    <comment ref="N8" authorId="1" shapeId="0" xr:uid="{554DEA1E-5586-42E3-9EA5-6F516E80C1AC}">
      <text>
        <r>
          <rPr>
            <sz val="9"/>
            <color indexed="81"/>
            <rFont val="Segoe UI"/>
            <family val="2"/>
          </rPr>
          <t xml:space="preserve">ID: 90980
Label: kzg228r15_q
Database: wiiw Monthly Database - Public
Status: active
Calculation: SubScal(CPPY=100(L_kzg228r15_q&gt;mdb),100)
Calculation_M: q-&gt;m EOP(L_kzg228r15_q&gt;mdb)
Calculation_Q: 
Calculation_A: q-&gt;a CumPer(L_kzg228r15_q&gt;mdb)
Periodicity: Q
Data available M: 2006m3 - 2023m9
Data available Q: 2006q1 - 2023q3
Data available A: 2006 - 2022
Text 99: 
Automatic update period: 1999|2015
Time shift: 
Note: wiiw calc. Reihe from cum. real growth
Reporter: KZ - Kazakhstan
Chapter 1: 02_NA - National accounts
Indicator: SC0221 - Exports of goods and services
Unit: 01_Curr_15_085_15_r - NCU m, 2015 reference prices (prev. year prices, incl. 'euro fixed' series)
Footnote 1: FZZ90 - wiiw estimates.
Footnote 2:  - 
Footnote 3:  - 
Footnote 4:  - 
Source 1: QKZ1 - Agency of Statistics of Kazakhstan
Source 2: Z_wiiw - wiiw
Source 3:  - 
</t>
        </r>
      </text>
    </comment>
    <comment ref="O8" authorId="1" shapeId="0" xr:uid="{F78A0567-08A3-4E5F-B6F5-F1DE6375A5AB}">
      <text>
        <r>
          <rPr>
            <sz val="9"/>
            <color indexed="81"/>
            <rFont val="Segoe UI"/>
            <family val="2"/>
          </rPr>
          <t xml:space="preserve">ID: 91002
Label: kzg229r15_q
Database: wiiw Monthly Database - Public
Status: active
Calculation: SubScal(CPPY=100(L_kzg229r15_q&gt;mdb),100)
Calculation_M: q-&gt;m EOP(L_kzg229r15_q&gt;mdb)
Calculation_Q: 
Calculation_A: q-&gt;a CumPer(L_kzg229r15_q&gt;mdb)
Periodicity: Q
Data available M: 2006m3 - 2023m9
Data available Q: 2006q1 - 2023q3
Data available A: 2006 - 2022
Text 99: 
Automatic update period: 1999|2015
Time shift: 
Note: wiiw calc. Reihe from cum. real growth
Reporter: KZ - Kazakhstan
Chapter 1: 02_NA - National accounts
Indicator: SC0222 - Imports of goods and services
Unit: 01_Curr_15_085_15_r - NCU m, 2015 reference prices (prev. year prices, incl. 'euro fixed' series)
Footnote 1: FZZ90 - wiiw estimates.
Footnote 2:  - 
Footnote 3:  - 
Footnote 4:  - 
Source 1: QKZ1 - Agency of Statistics of Kazakhstan
Source 2: Z_wiiw - wiiw
Source 3:  - 
</t>
        </r>
      </text>
    </comment>
    <comment ref="P8" authorId="1" shapeId="0" xr:uid="{2ADF94C0-BD5F-40B6-8FFE-B9B98FD998B5}">
      <text>
        <r>
          <rPr>
            <sz val="9"/>
            <color indexed="81"/>
            <rFont val="Segoe UI"/>
            <family val="2"/>
          </rPr>
          <t xml:space="preserve">ID: 59253
Label: kze51_ta_q
Database: wiiw Monthly Database - Public
Status: active
Calculation: 
Calculation_M: q-&gt;m EOP(L_kze51_ta_q&gt;mdb)
Calculation_Q: 
Calculation_A: q-&gt;a AVG(L_kze51_ta_q&gt;mdb)
Periodicity: Q
Data available M: 2001m3 - 2023m9
Data available Q: 2001q1 - 2023q3
Data available A: 2001 - 2022
Text 99: 
Automatic update period: 1999|2015
Time shift: 
Note: from 3 Q 2011 according to census March 2009
Reporter: KZ - Kazakhstan
Chapter 1: 05_LAB - Labour market
Indicator: SC0501 - Employment, LFS
Unit: 02_Pers_11 - th persons, period average
Footnote 1: FKZ10 - From 2022 according to census 2021, from  3 Q 2011 acording to census March 2009.
Footnote 2:  - 
Footnote 3:  - 
Footnote 4:  - 
Source 1: QKZ1 - Agency of Statistics of Kazakhstan
Source 2:  - 
Source 3:  - 
</t>
        </r>
      </text>
    </comment>
    <comment ref="Q8" authorId="1" shapeId="0" xr:uid="{E2631AD8-1FEC-44D4-8C3C-22D8C458ED42}">
      <text>
        <r>
          <rPr>
            <sz val="9"/>
            <color indexed="81"/>
            <rFont val="Segoe UI"/>
            <family val="2"/>
          </rPr>
          <t xml:space="preserve">ID: 59262
Label: kze5u_ta_q
Database: wiiw Monthly Database - Public
Status: active
Calculation: 
Calculation_M: q-&gt;m EOP(L_kze5u_ta_q&gt;mdb)
Calculation_Q: 
Calculation_A: q-&gt;a AVG(L_kze5u_ta_q&gt;mdb)
Periodicity: Q
Data available M: 2001m3 - 2023m9
Data available Q: 2001q1 - 2023q3
Data available A: 2001 - 2022
Text 99: 
Automatic update period: 1999|2015
Time shift: 
Note: 
Reporter: KZ - Kazakhstan
Chapter 1: 05_LAB - Labour market
Indicator: SC0507 - Unemployment, LFS
Unit: 02_Pers_11 - th persons, period average
Footnote 1: FKZ10 - From 2022 according to census 2021, from  3 Q 2011 acording to census March 2009.
Footnote 2:  - 
Footnote 3:  - 
Footnote 4:  - 
Source 1: QKZ1 - Agency of Statistics of Kazakhstan
Source 2:  - 
Source 3:  - 
</t>
        </r>
      </text>
    </comment>
    <comment ref="R8" authorId="1" shapeId="0" xr:uid="{AFFA847E-5E99-4EC2-8967-51619AB948E7}">
      <text>
        <r>
          <rPr>
            <sz val="9"/>
            <color indexed="81"/>
            <rFont val="Segoe UI"/>
            <family val="2"/>
          </rPr>
          <t xml:space="preserve">ID: 59263
Label: kze5u_tp_q
Database: wiiw Monthly Database - Public
Status: active
Calculation: 
Calculation_M: q-&gt;m EOP(L_kze5u_tp_q&gt;mdb)
Calculation_Q: 
Calculation_A: MulScal(Div(L_kze5u_ta_q&gt;mdb,Add(L_kze5u_ta_q&gt;mdb,L_kze51_ta_q&gt;mdb)),100)
Periodicity: Q
Data available M: 2001m3 - 2023m9
Data available Q: 2001q1 - 2023q3
Data available A: 2001 - 2022
Text 99: 
Automatic update period: 1999|2015
Time shift: 
Note: 
Reporter: KZ - Kazakhstan
Chapter 1: 05_LAB - Labour market
Indicator: SC0508 - Unemployment rate, LFS
Unit: 02_Pers_21 - in %, period average
Footnote 1: FKZ10 - From 2022 according to census 2021, from  3 Q 2011 acording to census March 2009.
Footnote 2:  - 
Footnote 3:  - 
Footnote 4:  - 
Source 1: QKZ1 - Agency of Statistics of Kazakhstan
Source 2:  - 
Source 3:  - 
</t>
        </r>
      </text>
    </comment>
    <comment ref="S8" authorId="1" shapeId="0" xr:uid="{D88AD5CB-50CD-4D53-83ED-2EEF97EF37DE}">
      <text>
        <r>
          <rPr>
            <sz val="9"/>
            <color indexed="81"/>
            <rFont val="Segoe UI"/>
            <family val="2"/>
          </rPr>
          <t xml:space="preserve">ID: 70126
Label: kzw11_tccx
Database: wiiw Monthly Database - Public
Status: active
Calculation: SubScal(L_kzw11_tccx&gt;mdb,100)
Calculation_M: CPPY=100(L_kzw11_tn&gt;mdb)
Calculation_Q: CPPY=100(L_kzw11_tn&gt;mdb)
Calculation_A: CPPY=100(L_kzw11_tn&gt;mdb)
Periodicity: Q
Data available M: 2008m1 - 2023m9
Data available Q: 2008q1 - 2023q3
Data available A: 2008 - 2022
Text 99: 
Automatic update period: 1999|2015
Time shift: 
Note: 
Reporter: KZ - Kazakhstan
Chapter 1: 06_WS - Wages
Indicator: SC0601 - Average monthly gross wages total
Unit: 04_Inom_32 - index nominal, corresponding period of previous year = 100
Footnote 1: FKZ11 - Excluding small enterprises engaged in entrepreneurial activity.
Footnote 2:  - 
Footnote 3:  - 
Footnote 4:  - 
Source 1: QKZ1 - Agency of Statistics of Kazakhstan
Source 2: Z_wiiw - wiiw
Source 3:  - 
</t>
        </r>
      </text>
    </comment>
    <comment ref="T8" authorId="1" shapeId="0" xr:uid="{9EF6EA6C-6469-4674-96E8-E5E5688544D0}">
      <text>
        <r>
          <rPr>
            <sz val="9"/>
            <color indexed="81"/>
            <rFont val="Segoe UI"/>
            <family val="2"/>
          </rPr>
          <t xml:space="preserve">ID: 59024
Label: kzfrr1tp
Database: wiiw Monthly Database - Public
Status: active
Calculation: 
Calculation_M: 
Calculation_Q: M-&gt;Q EOP(L_kzfrr1tp&gt;mdb)
Calculation_A: Q-&gt;A EOP(L_kzfrr1tp&gt;mdb)
Periodicity: Q
Data available M: 1992m2 - 2024m1
Data available Q: 1992q1 - 2023q4
Data available A: 1992 - 2023
Text 99: 
Automatic update period: 1999|2015
Time shift: 
Note: 
Reporter: KZ - Kazakhstan
Chapter 1: 10_DF - Domestic finance
Indicator: SC1050 - Central bank policy rate
Unit: 06_IntR_1 - % p.a., end of period
Footnote 1: FKZ15 - From September 2015 base rate (overnight repo rate as a target), refinancing rate before.
Footnote 2:  - 
Footnote 3:  - 
Footnote 4:  - 
Source 1: QKZ2 - National Bank of Kazakhstan
Source 2:  - 
Source 3:  - 
</t>
        </r>
      </text>
    </comment>
    <comment ref="U8" authorId="1" shapeId="0" xr:uid="{B438E65D-EDE8-4F8F-8AF8-3C425A304B2E}">
      <text>
        <r>
          <rPr>
            <sz val="9"/>
            <color indexed="81"/>
            <rFont val="Segoe UI"/>
            <family val="2"/>
          </rPr>
          <t xml:space="preserve">ID: 74574
Label: kzp1p1tsax
Database: wiiw Monthly Database - Public
Status: active
Calculation: 
Calculation_M: Index PP based(L_kzp1p1tsb&gt;mdb,2015)
Calculation_Q: m-&gt;q AVG(L_kzp1p1tsax&gt;mdb)
Calculation_A: q-&gt;a AVG(L_kzp1p1tsax&gt;mdb)
Periodicity: Q
Data available M: 1993m12 - 2023m12
Data available Q: 1994q1 - 2023q4
Data available A: 1994 - 2023
Text 99: 
Automatic update period: 1999|2015
Time shift: 
Note: 
Reporter: KZ - Kazakhstan
Chapter 1: 07_PRC - Prices
Indicator: SC0701 - Consumer prices
Unit: 03_I_1_085_15avg - index, monthly average, 2015 = 100
Footnote 1:  - 
Footnote 2:  - 
Footnote 3:  - 
Footnote 4:  - 
Source 1: QKZ1 - Agency of Statistics of Kazakhstan
Source 2: Z_wiiw - wiiw
Source 3:  - 
</t>
        </r>
      </text>
    </comment>
    <comment ref="V8" authorId="1" shapeId="0" xr:uid="{8B0EE6C5-0DD9-4A80-A8E3-4DF6510D9A22}">
      <text>
        <r>
          <rPr>
            <sz val="9"/>
            <color indexed="81"/>
            <rFont val="Segoe UI"/>
            <family val="2"/>
          </rPr>
          <t xml:space="preserve">ID: 59017
Label: kzp2xea
Database: wiiw Monthly Database - Public
Status: active
Calculation: 
Calculation_M: 
Calculation_Q: m-&gt;q AVG(L_kzp2xea&gt;mdb)
Calculation_A: q-&gt;a AVG(L_kzp2xea&gt;mdb)
Periodicity: Q
Data available M: 1993m11 - 2023m12
Data available Q: 1994q1 - 2023q4
Data available A: 1994 - 2023
Text 99: 
Automatic update period: 1999|2015
Time shift: 
Note: 
Reporter: KZ - Kazakhstan
Chapter 1: 11_FF - Foreign finance
Indicator: SC1107 - Exchange rate nominal
Unit: 07_Exch_12 - NCU/EUR, period average
Footnote 1:  - 
Footnote 2:  - 
Footnote 3:  - 
Footnote 4:  - 
Source 1: QKZ2 - National Bank of Kazakhstan
Source 2:  - 
Source 3:  - 
</t>
        </r>
      </text>
    </comment>
    <comment ref="W8" authorId="1" shapeId="0" xr:uid="{741CB7A1-E247-42B3-B6C7-8AAF2C641B7F}">
      <text>
        <r>
          <rPr>
            <sz val="9"/>
            <color indexed="81"/>
            <rFont val="Segoe UI"/>
            <family val="2"/>
          </rPr>
          <t xml:space="preserve">ID: 59231
Label: kza1211tsc
Database: wiiw Monthly Database - Public
Status: active
Calculation: SubScal(L_kza1211tsc&gt;mdb,100)
Calculation_M: 
Calculation_Q: CPPY=100(L_kza1211tsax&gt;mdb)
Calculation_A: CPPY=100(L_kza1211tsax&gt;mdb)
Periodicity: Q
Data available M: 2009m1 - 2023m12
Data available Q: 2009q1 - 2023q4
Data available A: 2009 - 2023
Text 99: 
Automatic update period: 1999|2015
Time shift: 
Note: 
Reporter: KZ - Kazakhstan
Chapter 1: 04_PROD - Production
Indicator: SC0401 - Industrial output (BCD - NACE Rev. 2)
Unit: 05_Ireal_32 - index real, corresponding period of previous year = 100
Footnote 1: FZZ46 - Including E (water supply, sewerage, waste managemant, remediation).
Footnote 2:  - 
Footnote 3:  - 
Footnote 4:  - 
Source 1: QKZ1 - Agency of Statistics of Kazakhstan
Source 2: Z_wiiw - wiiw
Source 3:  - 
</t>
        </r>
      </text>
    </comment>
    <comment ref="X8" authorId="1" shapeId="0" xr:uid="{D5C070D4-919C-4212-845B-433A796472B6}">
      <text>
        <r>
          <rPr>
            <sz val="9"/>
            <color indexed="81"/>
            <rFont val="Segoe UI"/>
            <family val="2"/>
          </rPr>
          <t xml:space="preserve">ID: 87182
Label: kzlago2ex_q
Database: wiiw Monthly Database - Hidden
Status: active
Calculation: SubScal(CPPY=100(AddNull(L_kzlago2ex_q&gt;mdb,L_kzlase2ex_q&gt;mdb)),100)
Calculation_M: q-&gt;m EOP(L_kzlago2ex_q&gt;mdb)
Calculation_Q: Div(L_kzlago2d_q&gt;mdb,Div(m-&gt;q AVG(L_kzp2xea&gt;mdb),m-&gt;q AVG(L_kzp2usa&gt;mdb)))
Calculation_A: Q-&gt;A CUMPER(L_kzlago2ex_q&gt;mdb)
Periodicity: Q
Data available M: 2008m3 - 2023m9
Data available Q: 2008q1 - 2023q3
Data available A: 2008 - 2022
Text 99: 
Automatic update period: 1999|2015
Time shift: 
Note: 
Reporter: KZ - Kazakhstan
Chapter 1: 11_FF - Foreign finance
Indicator: SC1111 - 1.A.a. Goods exports, fob, credit
Unit: 01_Curr_23 - EUR m
Footnote 1: FZZ80 - Based on BPM6.
Footnote 2: FZZ28 - Calculated from USD to NCU to EUR using the average exchange rate.
Footnote 3:  - 
Footnote 4:  - 
Source 1: QKZ2 - National Bank of Kazakhstan
Source 2: Z_wiiw - wiiw
Source 3:  - 
</t>
        </r>
      </text>
    </comment>
    <comment ref="Y8" authorId="1" shapeId="0" xr:uid="{E29689FA-E9AF-49DE-A559-30EEC1170CD7}">
      <text>
        <r>
          <rPr>
            <sz val="9"/>
            <color indexed="81"/>
            <rFont val="Segoe UI"/>
            <family val="2"/>
          </rPr>
          <t xml:space="preserve">ID: 87193
Label: kzlago3ex_q
Database: wiiw Monthly Database - Hidden
Status: active
Calculation: SubScal(CPPY=100(AddNull(L_kzlago3ex_q&gt;mdb,L_kzlase3ex_q&gt;mdb)),100)
Calculation_M: q-&gt;m EOP(L_kzlago3ex_q&gt;mdb)
Calculation_Q: Div(L_kzlago3d_q&gt;mdb,Div(m-&gt;q AVG(L_kzp2xea&gt;mdb),m-&gt;q AVG(L_kzp2usa&gt;mdb)))
Calculation_A: Q-&gt;A CUMPER(L_kzlago3ex_q&gt;mdb)
Periodicity: Q
Data available M: 2008m3 - 2023m9
Data available Q: 2008q1 - 2023q3
Data available A: 2008 - 2022
Text 99: 
Automatic update period: 1999|2015
Time shift: 
Note: 
Reporter: KZ - Kazakhstan
Chapter 1: 11_FF - Foreign finance
Indicator: SC1112 - 1.A.a. Goods imports, fob, debit
Unit: 01_Curr_23 - EUR m
Footnote 1: FZZ80 - Based on BPM6.
Footnote 2: FZZ28 - Calculated from USD to NCU to EUR using the average exchange rate.
Footnote 3:  - 
Footnote 4:  - 
Source 1: QKZ2 - National Bank of Kazakhstan
Source 2: Z_wiiw - wiiw
Source 3:  - 
</t>
        </r>
      </text>
    </comment>
    <comment ref="Z8" authorId="1" shapeId="0" xr:uid="{3A2ED4B1-157C-49BE-B84B-236A1BF08FA3}">
      <text>
        <r>
          <rPr>
            <sz val="9"/>
            <color indexed="81"/>
            <rFont val="Segoe UI"/>
            <family val="2"/>
          </rPr>
          <t xml:space="preserve">ID: 88734
Label: kzlacaepx_q
Database: wiiw Monthly Database - Public
Status: active
Calculation: 
Calculation_M: Q-&gt;M EOP(L_kzlacaepx_q&gt;mdb)
Calculation_Q: Share(L_kzlacaenx_q&gt;mdb,Div(L_kzg11tn_q&gt;mdb,L_kzp2xea&gt;mdb))
Calculation_A: Share(L_kzlacaenx_q&gt;mdb,Div(L_kzg11tn_q&gt;mdb,L_kzp2xea&gt;mdb))
Periodicity: Q
Data available M: 2000m3 - 2023m9
Data available Q: 2000q1 - 2023q3
Data available A: 2000 - 2022
Text 99: 
Automatic update period: 1999|2015
Time shift: 
Note: 
Reporter: KZ - Kazakhstan
Chapter 1: 11_FF - Foreign finance
Indicator: SC1101 - Current account
Unit: 09_Share_%gdp - in % of GDP
Footnote 1: FZZ55 - From 2008 based on BPM6.
Footnote 2:  - 
Footnote 3:  - 
Footnote 4:  - 
Source 1: QKZ2 - National Bank of Kazakhstan
Source 2: Z_wiiw - wiiw
Source 3:  - 
</t>
        </r>
      </text>
    </comment>
    <comment ref="AA8" authorId="1" shapeId="0" xr:uid="{918E3402-1E60-435C-A72B-AADD7A248973}">
      <text>
        <r>
          <rPr>
            <sz val="9"/>
            <color indexed="81"/>
            <rFont val="Segoe UI"/>
            <family val="2"/>
          </rPr>
          <t xml:space="preserve">ID: 90342
Label: kzg222px_q
Database: wiiw Monthly Database - Public
Status: active
Calculation: AddNull(L_kzg222px_q&gt;mdb,L_kzg22zpx_q&gt;mdb)
Calculation_M: Q-&gt;M EOP(L_kzg222px_q&gt;mdb)
Calculation_Q: Share(L_kzg222n_q&gt;mdb,L_kzg11tzn_q&gt;mdb)
Calculation_A: Share(L_kzg222n_q&gt;mdb,L_kzg11tzn_q&gt;mdb)
Periodicity: Q
Data available M: 2000m3 - 2023m9
Data available Q: 2000q1 - 2023q3
Data available A: 2000 - 2022
Text 99: 
Automatic update period: 1999|2015
Time shift: 
Note: 
Reporter: KZ - Kazakhstan
Chapter 1: 02_NA - National accounts
Indicator: SC0212 - Household final consumption expenditure
Unit: 09_Share_%gdp - in % of GDP
Footnote 1:  - 
Footnote 2:  - 
Footnote 3:  - 
Footnote 4:  - 
Source 1: QKZ1 - Agency of Statistics of Kazakhstan
Source 2: Z_wiiw - wiiw
Source 3:  - 
</t>
        </r>
      </text>
    </comment>
    <comment ref="AB8" authorId="1" shapeId="0" xr:uid="{E55A79D5-38D3-4669-9538-8CC0FF6A8B02}">
      <text>
        <r>
          <rPr>
            <sz val="9"/>
            <color indexed="81"/>
            <rFont val="Segoe UI"/>
            <family val="2"/>
          </rPr>
          <t xml:space="preserve">ID: 90386
Label: kzg223px_q
Database: wiiw Monthly Database - Public
Status: active
Calculation: 
Calculation_M: Q-&gt;M EOP(L_kzg223px_q&gt;mdb)
Calculation_Q: Share(L_kzg223n_q&gt;mdb,L_kzg11tzn_q&gt;mdb)
Calculation_A: Share(L_kzg223n_q&gt;mdb,L_kzg11tzn_q&gt;mdb)
Periodicity: Q
Data available M: 2000m3 - 2023m9
Data available Q: 2000q1 - 2023q3
Data available A: 2000 - 2022
Text 99: 
Automatic update period: 1999|2015
Time shift: 
Note: 
Reporter: KZ - Kazakhstan
Chapter 1: 02_NA - National accounts
Indicator: SC0214 - Government final consumption expenditure
Unit: 09_Share_%gdp - in % of GDP
Footnote 1:  - 
Footnote 2:  - 
Footnote 3:  - 
Footnote 4:  - 
Source 1: QKZ1 - Agency of Statistics of Kazakhstan
Source 2: Z_wiiw - wiiw
Source 3:  - 
</t>
        </r>
      </text>
    </comment>
    <comment ref="AC8" authorId="1" shapeId="0" xr:uid="{1D8FE361-5AE5-49F1-BC4C-577D0C873496}">
      <text>
        <r>
          <rPr>
            <sz val="9"/>
            <color indexed="81"/>
            <rFont val="Segoe UI"/>
            <family val="2"/>
          </rPr>
          <t xml:space="preserve">ID: 90408
Label: kzg224px_q
Database: wiiw Monthly Database - Public
Status: active
Calculation: 
Calculation_M: Q-&gt;M EOP(L_kzg224px_q&gt;mdb)
Calculation_Q: Share(L_kzg224n_q&gt;mdb,L_kzg11tzn_q&gt;mdb)
Calculation_A: Share(L_kzg224n_q&gt;mdb,L_kzg11tzn_q&gt;mdb)
Periodicity: Q
Data available M: 2000m3 - 2023m9
Data available Q: 2000q1 - 2023q3
Data available A: 2000 - 2022
Text 99: 
Automatic update period: 1999|2015
Time shift: 
Note: 
Reporter: KZ - Kazakhstan
Chapter 1: 02_NA - National accounts
Indicator: SC0217 - Gross capital formation
Unit: 09_Share_%gdp - in % of GDP
Footnote 1:  - 
Footnote 2:  - 
Footnote 3:  - 
Footnote 4:  - 
Source 1: QKZ1 - Agency of Statistics of Kazakhstan
Source 2: Z_wiiw - wiiw
Source 3:  - 
</t>
        </r>
      </text>
    </comment>
    <comment ref="AD8" authorId="1" shapeId="0" xr:uid="{A449C859-97F8-42BB-AD76-9C25F0E61C98}">
      <text>
        <r>
          <rPr>
            <sz val="9"/>
            <color indexed="81"/>
            <rFont val="Segoe UI"/>
            <family val="2"/>
          </rPr>
          <t xml:space="preserve">ID: 90496
Label: kzg228px_q
Database: wiiw Monthly Database - Public
Status: active
Calculation: 
Calculation_M: Q-&gt;M EOP(L_kzg228px_q&gt;mdb)
Calculation_Q: Share(L_kzg228n_q&gt;mdb,L_kzg11tzn_q&gt;mdb)
Calculation_A: Share(L_kzg228n_q&gt;mdb,L_kzg11tzn_q&gt;mdb)
Periodicity: Q
Data available M: 2000m3 - 2023m9
Data available Q: 2000q1 - 2023q3
Data available A: 2000 - 2022
Text 99: 
Automatic update period: 1999|2015
Time shift: 
Note: 
Reporter: KZ - Kazakhstan
Chapter 1: 02_NA - National accounts
Indicator: SC0221 - Exports of goods and services
Unit: 09_Share_%gdp - in % of GDP
Footnote 1:  - 
Footnote 2:  - 
Footnote 3:  - 
Footnote 4:  - 
Source 1: QKZ1 - Agency of Statistics of Kazakhstan
Source 2: Z_wiiw - wiiw
Source 3:  - 
</t>
        </r>
      </text>
    </comment>
    <comment ref="AE8" authorId="1" shapeId="0" xr:uid="{9F75FC3E-1771-439E-BA29-45FC61330AD8}">
      <text>
        <r>
          <rPr>
            <sz val="9"/>
            <color indexed="81"/>
            <rFont val="Segoe UI"/>
            <family val="2"/>
          </rPr>
          <t xml:space="preserve">ID: 90518
Label: kzg229px_q
Database: wiiw Monthly Database - Public
Status: active
Calculation: 
Calculation_M: Q-&gt;M EOP(L_kzg229px_q&gt;mdb)
Calculation_Q: Share(L_kzg229n_q&gt;mdb,L_kzg11tzn_q&gt;mdb)
Calculation_A: Share(L_kzg229n_q&gt;mdb,L_kzg11tzn_q&gt;mdb)
Periodicity: Q
Data available M: 2000m3 - 2023m9
Data available Q: 2000q1 - 2023q3
Data available A: 2000 - 2022
Text 99: 
Automatic update period: 1999|2015
Time shift: 
Note: 
Reporter: KZ - Kazakhstan
Chapter 1: 02_NA - National accounts
Indicator: SC0222 - Imports of goods and services
Unit: 09_Share_%gdp - in % of GDP
Footnote 1:  - 
Footnote 2:  - 
Footnote 3:  - 
Footnote 4:  - 
Source 1: QKZ1 - Agency of Statistics of Kazakhstan
Source 2: Z_wiiw - wiiw
Source 3:  - 
</t>
        </r>
      </text>
    </comment>
    <comment ref="AF8" authorId="1" shapeId="0" xr:uid="{C8ACC351-D589-40B6-BDA7-981802EF1EBA}">
      <text>
        <r>
          <rPr>
            <sz val="9"/>
            <color indexed="81"/>
            <rFont val="Segoe UI"/>
            <family val="2"/>
          </rPr>
          <t xml:space="preserve">ID: 89616
Label: kzfls14scx
Database: wiiw Monthly Database - Public
Status: active
Calculation: SubScal(L_kzfls14scx&gt;mdb,100)
Calculation_M: CPPY=100(L_kzfls14e&gt;mdb)
Calculation_Q: M-&gt;Q EOP(L_kzfls14scx&gt;mdb)
Calculation_A: Q-&gt;A EOP(L_kzfls14scx&gt;mdb)
Periodicity: Q
Data available M: 1997m1 - 2023m12
Data available Q: 1997q1 - 2023q4
Data available A: 1997 - 2023
Text 99: 
Automatic update period: 1999|2015
Time shift: 
Note: 
Reporter: KZ - Kazakhstan
Chapter 1: 10_DF - Domestic finance
Indicator: SC1066 - Loans households (S14)
Unit: 04_Inom_32 - index nominal, corresponding period of previous year = 100
Footnote 1:  - 
Footnote 2:  - 
Footnote 3:  - 
Footnote 4:  - 
Source 1: QKZ2 - National Bank of Kazakhstan
Source 2: Z_wiiw - wiiw
Source 3:  - 
</t>
        </r>
      </text>
    </comment>
    <comment ref="AG8" authorId="1" shapeId="0" xr:uid="{4035E3AB-8CF5-4013-93F7-C8D7D6B8242F}">
      <text>
        <r>
          <rPr>
            <sz val="9"/>
            <color indexed="81"/>
            <rFont val="Segoe UI"/>
            <family val="2"/>
          </rPr>
          <t xml:space="preserve">ID: 141283
Label: kzbgdtpx_help_q
Database: wiiw Monthly Database - Hidden
Status: active
Calculation: 
Calculation_M: q-&gt;m EOP(L_kzbgdtpx_help_q&gt;mdb)
Calculation_Q: Share(L_kzbgdtn_help_q&gt;mdb,L_kzg11tnx_help_q&gt;mdb)
Calculation_A: q-&gt;a EOP(L_kzbgdtpx_help_q&gt;mdb)
Periodicity: Q
Data available M: 2000m12 - 2023m9
Data available Q: 2000q4 - 2023q3
Data available A: 2000 - 2022
Text 99: 
Automatic update period: 1999|2015
Time shift: 
Note: 
Reporter: KZ - Kazakhstan
Chapter 1: 10_DF - Domestic finance
Indicator: SC1009 - General government gross debt, total
Unit: 09_Share_%gdp - in % of GDP
Footnote 1:  - 
Footnote 2:  - 
Footnote 3:  - 
Footnote 4:  - 
Source 1: QKZ3 - Ministry of Finance of Kazakhstan
Source 2: Z_wiiw - wiiw
Source 3:  - 
</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BJ</author>
    <author>Alexandra Bykova</author>
  </authors>
  <commentList>
    <comment ref="B1" authorId="0" shapeId="0" xr:uid="{B8EC2FFA-2A24-4656-8D88-7E9FB411DC17}">
      <text>
        <r>
          <rPr>
            <b/>
            <sz val="9"/>
            <color indexed="81"/>
            <rFont val="Tahoma"/>
            <family val="2"/>
          </rPr>
          <t>BJ:</t>
        </r>
        <r>
          <rPr>
            <sz val="9"/>
            <color indexed="81"/>
            <rFont val="Tahoma"/>
            <family val="2"/>
          </rPr>
          <t xml:space="preserve">
EU 27, seasonally and calendar adjusted
Eurostat</t>
        </r>
      </text>
    </comment>
    <comment ref="C1" authorId="0" shapeId="0" xr:uid="{B02D72AE-B67B-45E9-BB80-E664FEBDBB9C}">
      <text>
        <r>
          <rPr>
            <b/>
            <sz val="9"/>
            <color indexed="81"/>
            <rFont val="Tahoma"/>
            <family val="2"/>
          </rPr>
          <t>BJ:</t>
        </r>
        <r>
          <rPr>
            <sz val="9"/>
            <color indexed="81"/>
            <rFont val="Tahoma"/>
            <family val="2"/>
          </rPr>
          <t xml:space="preserve">
Eurostat</t>
        </r>
      </text>
    </comment>
    <comment ref="D1" authorId="0" shapeId="0" xr:uid="{5E4CD55D-9BBC-4D3E-A183-86027B1305D1}">
      <text>
        <r>
          <rPr>
            <b/>
            <sz val="9"/>
            <color indexed="81"/>
            <rFont val="Tahoma"/>
            <family val="2"/>
          </rPr>
          <t>BJ:</t>
        </r>
        <r>
          <rPr>
            <sz val="9"/>
            <color indexed="81"/>
            <rFont val="Tahoma"/>
            <family val="2"/>
          </rPr>
          <t xml:space="preserve">
EU changing composition
Eurostat</t>
        </r>
      </text>
    </comment>
    <comment ref="E1" authorId="0" shapeId="0" xr:uid="{C04E7784-76ED-42CF-8E1F-A8EB4BD6C753}">
      <text>
        <r>
          <rPr>
            <b/>
            <sz val="9"/>
            <color indexed="81"/>
            <rFont val="Tahoma"/>
            <family val="2"/>
          </rPr>
          <t>BJ:</t>
        </r>
        <r>
          <rPr>
            <sz val="9"/>
            <color indexed="81"/>
            <rFont val="Tahoma"/>
            <family val="2"/>
          </rPr>
          <t xml:space="preserve">
ECB</t>
        </r>
      </text>
    </comment>
    <comment ref="F1" authorId="0" shapeId="0" xr:uid="{F2BC1386-A56E-4224-B0A7-D7BF3F334F5F}">
      <text>
        <r>
          <rPr>
            <b/>
            <sz val="9"/>
            <color indexed="81"/>
            <rFont val="Tahoma"/>
            <family val="2"/>
          </rPr>
          <t>BJ:</t>
        </r>
        <r>
          <rPr>
            <sz val="9"/>
            <color indexed="81"/>
            <rFont val="Tahoma"/>
            <family val="2"/>
          </rPr>
          <t xml:space="preserve">
Crude oil, average, from WB pink sheets
in USD</t>
        </r>
      </text>
    </comment>
    <comment ref="G1" authorId="0" shapeId="0" xr:uid="{06EF1154-DD30-4BB1-9264-C1831340E779}">
      <text>
        <r>
          <rPr>
            <b/>
            <sz val="9"/>
            <color indexed="81"/>
            <rFont val="Tahoma"/>
            <family val="2"/>
          </rPr>
          <t>BJ:</t>
        </r>
        <r>
          <rPr>
            <sz val="9"/>
            <color indexed="81"/>
            <rFont val="Tahoma"/>
            <family val="2"/>
          </rPr>
          <t xml:space="preserve">
nominal, in NCU
yoy growth</t>
        </r>
      </text>
    </comment>
    <comment ref="H1" authorId="0" shapeId="0" xr:uid="{FC35445F-4B27-4577-97BF-8E6FD6C3F1BC}">
      <text>
        <r>
          <rPr>
            <b/>
            <sz val="9"/>
            <color indexed="81"/>
            <rFont val="Tahoma"/>
            <family val="2"/>
          </rPr>
          <t>BJ:</t>
        </r>
        <r>
          <rPr>
            <sz val="9"/>
            <color indexed="81"/>
            <rFont val="Tahoma"/>
            <family val="2"/>
          </rPr>
          <t xml:space="preserve">
General gov. budget - revenues NCU m (incl. 'euro fixed' series)
yoy growth
wiiw</t>
        </r>
      </text>
    </comment>
    <comment ref="I1" authorId="0" shapeId="0" xr:uid="{60570840-A5A9-455E-90D7-2681E7261405}">
      <text>
        <r>
          <rPr>
            <b/>
            <sz val="9"/>
            <color indexed="81"/>
            <rFont val="Tahoma"/>
            <family val="2"/>
          </rPr>
          <t>BJ:</t>
        </r>
        <r>
          <rPr>
            <sz val="9"/>
            <color indexed="81"/>
            <rFont val="Tahoma"/>
            <family val="2"/>
          </rPr>
          <t xml:space="preserve">
General gov. budget - balance
 in % of GDP
wiiw</t>
        </r>
      </text>
    </comment>
    <comment ref="J1" authorId="0" shapeId="0" xr:uid="{31CF7325-9F7B-409A-B5C5-836B2CEC75C6}">
      <text>
        <r>
          <rPr>
            <b/>
            <sz val="9"/>
            <color indexed="81"/>
            <rFont val="Tahoma"/>
            <family val="2"/>
          </rPr>
          <t>BJ:</t>
        </r>
        <r>
          <rPr>
            <sz val="9"/>
            <color indexed="81"/>
            <rFont val="Tahoma"/>
            <family val="2"/>
          </rPr>
          <t xml:space="preserve">
For all GDP: 
real yoy growth rates
wiiw</t>
        </r>
      </text>
    </comment>
    <comment ref="K1" authorId="0" shapeId="0" xr:uid="{759C8049-FF0F-432E-A8A0-EEC8355ED0EE}">
      <text>
        <r>
          <rPr>
            <b/>
            <sz val="9"/>
            <color indexed="81"/>
            <rFont val="Tahoma"/>
            <family val="2"/>
          </rPr>
          <t>BJ:</t>
        </r>
        <r>
          <rPr>
            <sz val="9"/>
            <color indexed="81"/>
            <rFont val="Tahoma"/>
            <family val="2"/>
          </rPr>
          <t xml:space="preserve">
Households</t>
        </r>
      </text>
    </comment>
    <comment ref="M1" authorId="0" shapeId="0" xr:uid="{A6F72CA5-E083-464A-A579-36F4719D3579}">
      <text>
        <r>
          <rPr>
            <b/>
            <sz val="9"/>
            <color indexed="81"/>
            <rFont val="Tahoma"/>
            <family val="2"/>
          </rPr>
          <t>BJ:</t>
        </r>
        <r>
          <rPr>
            <sz val="9"/>
            <color indexed="81"/>
            <rFont val="Tahoma"/>
            <family val="2"/>
          </rPr>
          <t xml:space="preserve">
Gross capital formation</t>
        </r>
      </text>
    </comment>
    <comment ref="S1" authorId="0" shapeId="0" xr:uid="{DAD6B213-3FB6-42F7-86F5-C77DEA17ADE5}">
      <text>
        <r>
          <rPr>
            <b/>
            <sz val="9"/>
            <color indexed="81"/>
            <rFont val="Tahoma"/>
            <family val="2"/>
          </rPr>
          <t>BJ:</t>
        </r>
        <r>
          <rPr>
            <sz val="9"/>
            <color indexed="81"/>
            <rFont val="Tahoma"/>
            <family val="2"/>
          </rPr>
          <t xml:space="preserve">
nominal</t>
        </r>
      </text>
    </comment>
    <comment ref="Z1" authorId="0" shapeId="0" xr:uid="{FF82A3EA-0667-4328-8D70-92A474AA828B}">
      <text>
        <r>
          <rPr>
            <b/>
            <sz val="9"/>
            <color indexed="81"/>
            <rFont val="Tahoma"/>
            <family val="2"/>
          </rPr>
          <t>BJ:</t>
        </r>
        <r>
          <rPr>
            <sz val="9"/>
            <color indexed="81"/>
            <rFont val="Tahoma"/>
            <family val="2"/>
          </rPr>
          <t xml:space="preserve">
Current account in % of GDP
wiiw</t>
        </r>
      </text>
    </comment>
    <comment ref="AF1" authorId="0" shapeId="0" xr:uid="{B9DE0FD9-5080-4952-B054-1CB14C417C12}">
      <text>
        <r>
          <rPr>
            <b/>
            <sz val="9"/>
            <color indexed="81"/>
            <rFont val="Tahoma"/>
            <family val="2"/>
          </rPr>
          <t>BJ:</t>
        </r>
        <r>
          <rPr>
            <sz val="9"/>
            <color indexed="81"/>
            <rFont val="Tahoma"/>
            <family val="2"/>
          </rPr>
          <t xml:space="preserve">
loans to households, nominal, yoy growth rates</t>
        </r>
      </text>
    </comment>
    <comment ref="B8" authorId="1" shapeId="0" xr:uid="{C0E7CE69-27E6-4A3F-BB72-A73B203C549C}">
      <text>
        <r>
          <rPr>
            <sz val="9"/>
            <color indexed="81"/>
            <rFont val="Segoe UI"/>
            <family val="2"/>
          </rPr>
          <t xml:space="preserve">ID: 144396
Label: eug11tscrx_q
Database: wiiw Monthly Database - Hidden
Status: active
Calculation: 
Calculation_M: SubScal(L_eug11tscx_q&gt;mdb,100)
Calculation_Q: SubScal(L_eug11tscx_q&gt;mdb,100)
Calculation_A: SubScal(L_eug11tscx_q&gt;mdb,100)
Periodicity: Q
Data available M: 1996m3 - 2023m9
Data available Q: 1996q1 - 2023q3
Data available A: 1996 - 2022
Text 99: 
Automatic update period: 1999|2015
Time shift: 
Note: 
Reporter: EU27_2020 - EU - 27 countries (from 2020)
Chapter 1: 02_NA - National accounts
Indicator: SC0201 - Gross domestic product total
Unit: 05_Ireal_36 - real growth rate to corresponding period of previous year in %
Footnote 1: FZZ05 - According to ESA'10.
Footnote 2:  - 
Footnote 3:  - 
Footnote 4:  - 
Source 1: Z_ESTAT - Eurostat
Source 2: Z_wiiw - wiiw
Source 3:  - 
</t>
        </r>
      </text>
    </comment>
    <comment ref="C8" authorId="1" shapeId="0" xr:uid="{1C9D374B-E2D6-43DD-822D-487FB0FFA0DF}">
      <text>
        <r>
          <rPr>
            <sz val="9"/>
            <color indexed="81"/>
            <rFont val="Segoe UI"/>
            <family val="2"/>
          </rPr>
          <t xml:space="preserve">ID: 77811
Label: eup1p1tsa
Database: wiiw Monthly Database - Hidden
Status: active
Calculation: 
Calculation_M: 
Calculation_Q: m-&gt;q AVG(L_eup1p1tsa&gt;mdb)
Calculation_A: q-&gt;a AVG(L_eup1p1tsa&gt;mdb)
Periodicity: Q
Data available M: 1999m1 - 2023m12
Data available Q: 1999q1 - 2023q4
Data available A: 1999 - 2023
Text 99: 
Automatic update period: 1999|2015
Time shift: 
Note: 
Reporter: EU - European Union evolutionary
Chapter 1: 07_PRC - Prices
Indicator: SC0701 - Consumer prices
Unit: 03_I_1_085_15avg - index, monthly average, 2015 = 100
Footnote 1: FZZ40 - Based on HICP (Harmonized Index of Consumer Prices).
Footnote 2:  - 
Footnote 3:  - 
Footnote 4:  - 
Source 1: Z_ESTAT - Eurostat
Source 2:  - 
Source 3:  - 
</t>
        </r>
      </text>
    </comment>
    <comment ref="D8" authorId="1" shapeId="0" xr:uid="{8BD198D1-72B6-49BA-9BF6-C7DAF208BA0B}">
      <text>
        <r>
          <rPr>
            <sz val="9"/>
            <color indexed="81"/>
            <rFont val="Segoe UI"/>
            <family val="2"/>
          </rPr>
          <t xml:space="preserve">ID: 77812
Label: eup1p1tscx
Database: wiiw Monthly Database - Hidden
Status: active
Calculation: SubScal(L_eup1p1tscx&gt;mdb,100)
Calculation_M: CPPY=100(L_eup1p1tsa&gt;mdb)
Calculation_Q: CPPY=100(L_eup1p1tsa&gt;mdb)
Calculation_A: CPPY=100(L_eup1p1tsa&gt;mdb)
Periodicity: Q
Data available M: 1992m1 - 2023m12
Data available Q: 1992q1 - 2023q4
Data available A: 1992 - 2023
Text 99: 
Automatic update period: 1999|2015
Time shift: 
Note: 
Reporter: EU - European Union evolutionary
Chapter 1: 07_PRC - Prices
Indicator: SC0701 - Consumer prices
Unit: 03_I_32 - index, corresponding period of previous year = 100
Footnote 1: FZZ40 - Based on HICP (Harmonized Index of Consumer Prices).
Footnote 2:  - 
Footnote 3:  - 
Footnote 4:  - 
Source 1: Z_ESTAT - Eurostat
Source 2: Z_wiiw - wiiw
Source 3:  - 
</t>
        </r>
      </text>
    </comment>
    <comment ref="E8" authorId="1" shapeId="0" xr:uid="{C8D797B2-3CFC-4EC9-AF3A-BF37B2947753}">
      <text>
        <r>
          <rPr>
            <sz val="9"/>
            <color indexed="81"/>
            <rFont val="Segoe UI"/>
            <family val="2"/>
          </rPr>
          <t xml:space="preserve">ID: 144399
Label: eafrr1tp_help
Database: wiiw Monthly Database - Hidden
Status: active
Calculation: 
Calculation_M: L_eafrr1tp&gt;mdb
Calculation_Q: m-&gt;q AVG(L_eafrr1tp&gt;mdb)
Calculation_A: q-&gt;a AVG(L_eafrr1tp&gt;mdb)
Periodicity: Q
Data available M: 1999m1 - 2023m12
Data available Q: 1999q1 - 2023q4
Data available A: 1999 - 2023
Text 99: 
Automatic update period: 1999|2015
Time shift: 
Note: 
Reporter: EA - Euro area evolutionary
Chapter 1: 10_DF - Domestic finance
Indicator: SC1050 - Central bank policy rate
Unit: 06_IntR_6 - % p.a., period average
Footnote 1: FZZ50 - Official refinancing operation rates for euro area (ECB), rate in fixed rate tenders (between June 2000 and September 2008 the minimum bid rate in variable rate tenders was applied).
Footnote 2:  - 
Footnote 3:  - 
Footnote 4:  - 
Source 1: Z_ECB - European Central Bank
Source 2:  - 
Source 3:  - 
</t>
        </r>
      </text>
    </comment>
    <comment ref="F8" authorId="1" shapeId="0" xr:uid="{FFAFB515-DE81-4E03-8E96-F09E86345505}">
      <text>
        <r>
          <rPr>
            <sz val="9"/>
            <color indexed="81"/>
            <rFont val="Segoe UI"/>
            <family val="2"/>
          </rPr>
          <t xml:space="preserve">ID: 101874
Label: usp2oila
Database: wiiw Monthly Database - Hidden
Status: active
Calculation: 
Calculation_M: 
Calculation_Q: M-&gt;Q AVG(L_usp2oila&gt;mdb)
Calculation_A: Q-&gt;A AVG(L_usp2oila&gt;mdb)
Periodicity: Q
Data available M: 1990m1 - 2023m12
Data available Q: 1990q1 - 2023q4
Data available A: 1990 - 2023
Text 99: 
Automatic update period: 1999|2015
Time shift: 
Note: Oil prices  &amp; Europe Brent Spot Price FOB (Dollars per Barrel) &amp; EIA (US) Source of the data. Gespeichert auf die EU&amp;US Karten.
Reporter: US - United States
Chapter 1: 11_FF - Foreign finance
Indicator:  - 
Unit:  - 
Footnote 1:  - 
Footnote 2:  - 
Footnote 3:  - 
Footnote 4:  - 
Source 1:  - 
Source 2:  - 
Source 3:  - 
</t>
        </r>
      </text>
    </comment>
    <comment ref="G8" authorId="1" shapeId="0" xr:uid="{949611C9-24F1-48B3-B187-71D2C400823B}">
      <text>
        <r>
          <rPr>
            <sz val="9"/>
            <color indexed="81"/>
            <rFont val="Segoe UI"/>
            <family val="2"/>
          </rPr>
          <t xml:space="preserve">ID: 53458
Label: uabg21nx
Database: wiiw Monthly Database - Public
Status: active
Calculation: SubScal(CPPY=100(L_uabg21nx&gt;mdb),100)
Calculation_M: DeCum(L_uabg21nu&gt;mdb)
Calculation_Q: m-&gt;q CumPer(L_uabg21nx&gt;mdb)
Calculation_A: q-&gt;a CumPer(L_uabg21nx&gt;mdb)
Periodicity: Q
Data available M: 1996m1 - 2023m11
Data available Q: 1996q1 - 2023q3
Data available A: 1996 - 2022
Text 99: 
Automatic update period: 1999|2015
Time shift: 
Note: 
Reporter: UA - Ukraine
Chapter 1: 10_DF - Domestic finance
Indicator: SC1021 - General gov. budget - expenditures
Unit: 01_Curr_12 - NCU m (incl. 'euro fixed' series)
Footnote 1: FUA12 - From April 2014 excluding  the occupied territories of Crimea and Sevastopol.
Footnote 2: FUA20 - In 2010 and 2014 including VAT refund via issued government bonds.
Footnote 3: FUA07 - From 2001 including lending minus repayments.
Footnote 4: FUA04 - Up to 1999 including pension fund.
Source 1: QUA3 - Ministry of Finance of Ukraine
Source 2: Z_wiiw - wiiw
Source 3: Z_wiiw - wiiw
</t>
        </r>
      </text>
    </comment>
    <comment ref="H8" authorId="1" shapeId="0" xr:uid="{D690BA0D-286C-4C21-BA4C-DA6260710ADF}">
      <text>
        <r>
          <rPr>
            <sz val="9"/>
            <color indexed="81"/>
            <rFont val="Segoe UI"/>
            <family val="2"/>
          </rPr>
          <t xml:space="preserve">ID: 53456
Label: uabg11nx
Database: wiiw Monthly Database - Public
Status: active
Calculation: SubScal(CPPY=100(L_uabg11nx&gt;mdb),100)
Calculation_M: DeCum(L_uabg11nu&gt;mdb)
Calculation_Q: m-&gt;q CumPer(L_uabg11nx&gt;mdb)
Calculation_A: q-&gt;a CumPer(L_uabg11nx&gt;mdb)
Periodicity: Q
Data available M: 1996m1 - 2023m11
Data available Q: 1996q1 - 2023q3
Data available A: 1996 - 2022
Text 99: 
Automatic update period: 1999|2015
Time shift: 
Note: 
Reporter: UA - Ukraine
Chapter 1: 10_DF - Domestic finance
Indicator: SC1020 - General gov. budget - revenues
Unit: 01_Curr_12 - NCU m (incl. 'euro fixed' series)
Footnote 1: FUA12 - From April 2014 excluding  the occupied territories of Crimea and Sevastopol.
Footnote 2: FUA20 - In 2010 and 2014 including VAT refund via issued government bonds.
Footnote 3: FUA21 - In 2001 including privatization proceeds.
Footnote 4: FUA04 - Up to 1999 including pension fund.
Source 1: QUA3 - Ministry of Finance of Ukraine
Source 2: Z_wiiw - wiiw
Source 3: Z_wiiw - wiiw
</t>
        </r>
      </text>
    </comment>
    <comment ref="I8" authorId="1" shapeId="0" xr:uid="{19C2039E-CA2E-45E5-8805-81DF67111097}">
      <text>
        <r>
          <rPr>
            <sz val="9"/>
            <color indexed="81"/>
            <rFont val="Segoe UI"/>
            <family val="2"/>
          </rPr>
          <t xml:space="preserve">ID: 89228
Label: uabg31px_q
Database: wiiw Monthly Database - Public
Status: active
Calculation: 
Calculation_M: Q-&gt;M EOP(L_uabg31px_q&gt;mdb)
Calculation_Q: Share(L_uabg31nx&gt;mdb,L_uag11tn_q&gt;mdb)
Calculation_A: Share(L_uabg31nx&gt;mdb,L_uag11tn_q&gt;mdb)
Periodicity: Q
Data available M: 2000m3 - 2022m12
Data available Q: 2000q1 - 2022q4
Data available A: 2000 - 2022
Text 99: 
Automatic update period: 1999|2015
Time shift: 
Note: 
Reporter: UA - Ukraine
Chapter 1: 10_DF - Domestic finance
Indicator: SC1022 - General gov. budget - balance
Unit: 09_Share_%gdp - in % of GDP
Footnote 1: FUA12 - From April 2014 excluding  the occupied territories of Crimea and Sevastopol.
Footnote 2: FUA20 - In 2010 and 2014 including VAT refund via issued government bonds.
Footnote 3: FUA04 - Up to 1999 including pension fund.
Footnote 4:  - 
Source 1: QUA3 - Ministry of Finance of Ukraine
Source 2: Z_wiiw - wiiw
Source 3:  - 
</t>
        </r>
      </text>
    </comment>
    <comment ref="J8" authorId="1" shapeId="0" xr:uid="{B8AA1D66-EA7F-4059-93E4-3E2B8D3F493C}">
      <text>
        <r>
          <rPr>
            <sz val="9"/>
            <color indexed="81"/>
            <rFont val="Segoe UI"/>
            <family val="2"/>
          </rPr>
          <t xml:space="preserve">ID: 88692
Label: uag11tr15_q
Database: wiiw Monthly Database - Public
Status: active
Calculation: SubScal(CPPY=100(L_uag11tr15_q&gt;mdb),100)
Calculation_M: q-&gt;m EOP(L_uag11tr15_q&gt;mdb)
Calculation_Q: 
Calculation_A: q-&gt;a CumPer(L_uag11tr15_q&gt;mdb)
Periodicity: Q
Data available M: 1999m3 - 2023m9
Data available Q: 1999q1 - 2023q3
Data available A: 1999 - 2022
Text 99: 
Automatic update period: 1999|2015
Time shift: 
Note: wiiw calc. Reihe from real growth
Reporter: UA - Ukraine
Chapter 1: 02_NA - National accounts
Indicator: SC0201 - Gross domestic product total
Unit: 01_Curr_15_085_15_r - NCU m, 2015 reference prices (prev. year prices, incl. 'euro fixed' series)
Footnote 1: FUA05 - From 2014 SNA'08, SNA'93 (FISIM not reallocated) before.
Footnote 2: FUA15 - From 2014 excluding the occupied territories of Crimea and Sevastopol and temporarily occupied territories in the Donetsk and Luhansk regions.
Footnote 3: FZZ90 - wiiw estimates.
Footnote 4:  - 
Source 1: QUA1 - State Statistics Service of Ukraine
Source 2: Z_wiiw - wiiw
Source 3:  - 
</t>
        </r>
      </text>
    </comment>
    <comment ref="K8" authorId="1" shapeId="0" xr:uid="{ADE8523A-84CC-4ED8-BB02-66D7E786DFE4}">
      <text>
        <r>
          <rPr>
            <sz val="9"/>
            <color indexed="81"/>
            <rFont val="Segoe UI"/>
            <family val="2"/>
          </rPr>
          <t xml:space="preserve">ID: 90882
Label: uag222r15_q
Database: wiiw Monthly Database - Public
Status: active
Calculation: SubScal(CPPY=100(L_uag222r15_q&gt;mdb),100)
Calculation_M: q-&gt;m EOP(L_uag222r15_q&gt;mdb)
Calculation_Q: 
Calculation_A: q-&gt;a CumPer(L_uag222r15_q&gt;mdb)
Periodicity: Q
Data available M: 2001m3 - 2022m12
Data available Q: 2001q1 - 2022q4
Data available A: 2001 - 2022
Text 99: 
Automatic update period: 1999|2015
Time shift: 
Note: wiiw calc. Reihe from real growth
Reporter: UA - Ukraine
Chapter 1: 02_NA - National accounts
Indicator: SC0212 - Household final consumption expenditure
Unit: 01_Curr_15_085_15_r - NCU m, 2015 reference prices (prev. year prices, incl. 'euro fixed' series)
Footnote 1: FZZ90 - wiiw estimates.
Footnote 2:  - 
Footnote 3:  - 
Footnote 4:  - 
Source 1: QUA1 - State Statistics Service of Ukraine
Source 2: Z_wiiw - wiiw
Source 3:  - 
</t>
        </r>
      </text>
    </comment>
    <comment ref="L8" authorId="1" shapeId="0" xr:uid="{2F09F9F3-3FBA-44ED-ACDF-F53C9406E821}">
      <text>
        <r>
          <rPr>
            <sz val="9"/>
            <color indexed="81"/>
            <rFont val="Segoe UI"/>
            <family val="2"/>
          </rPr>
          <t xml:space="preserve">ID: 90926
Label: uag223r15_q
Database: wiiw Monthly Database - Public
Status: active
Calculation: SubScal(CPPY=100(L_uag223r15_q&gt;mdb),100)
Calculation_M: q-&gt;m EOP(L_uag223r15_q&gt;mdb)
Calculation_Q: 
Calculation_A: q-&gt;a CumPer(L_uag223r15_q&gt;mdb)
Periodicity: Q
Data available M: 2001m3 - 2022m12
Data available Q: 2001q1 - 2022q4
Data available A: 2001 - 2022
Text 99: 
Automatic update period: 1999|2015
Time shift: 
Note: wiiw calc. Reihe from real growth
Reporter: UA - Ukraine
Chapter 1: 02_NA - National accounts
Indicator: SC0214 - Government final consumption expenditure
Unit: 01_Curr_15_085_15_r - NCU m, 2015 reference prices (prev. year prices, incl. 'euro fixed' series)
Footnote 1: FZZ90 - wiiw estimates.
Footnote 2:  - 
Footnote 3:  - 
Footnote 4:  - 
Source 1: QUA1 - State Statistics Service of Ukraine
Source 2: Z_wiiw - wiiw
Source 3:  - 
</t>
        </r>
      </text>
    </comment>
    <comment ref="M8" authorId="1" shapeId="0" xr:uid="{ABEFAF96-0EAD-4503-B5AF-16A37BCAF967}">
      <text>
        <r>
          <rPr>
            <sz val="9"/>
            <color indexed="81"/>
            <rFont val="Segoe UI"/>
            <family val="2"/>
          </rPr>
          <t xml:space="preserve">ID: 90948
Label: uag224r15_q
Database: wiiw Monthly Database - Public
Status: active
Calculation: SubScal(CPPY=100(L_uag224r15_q&gt;mdb),100)
Calculation_M: q-&gt;m EOP(L_uag224r15_q&gt;mdb)
Calculation_Q: 
Calculation_A: q-&gt;a CumPer(L_uag224r15_q&gt;mdb)
Periodicity: Q
Data available M: 2001m3 - 2022m12
Data available Q: 2001q1 - 2022q4
Data available A: 2001 - 2022
Text 99: 
Automatic update period: 1999|2015
Time shift: 
Note: wiiw calc. Reihe from real growth
Reporter: UA - Ukraine
Chapter 1: 02_NA - National accounts
Indicator: SC0217 - Gross capital formation
Unit: 01_Curr_15_085_15_r - NCU m, 2015 reference prices (prev. year prices, incl. 'euro fixed' series)
Footnote 1: FZZ90 - wiiw estimates.
Footnote 2:  - 
Footnote 3:  - 
Footnote 4:  - 
Source 1: QUA1 - State Statistics Service of Ukraine
Source 2: Z_wiiw - wiiw
Source 3:  - 
</t>
        </r>
      </text>
    </comment>
    <comment ref="N8" authorId="1" shapeId="0" xr:uid="{2693BC48-5CF1-49D6-87A6-C83C7938AC5E}">
      <text>
        <r>
          <rPr>
            <sz val="9"/>
            <color indexed="81"/>
            <rFont val="Segoe UI"/>
            <family val="2"/>
          </rPr>
          <t xml:space="preserve">ID: 90992
Label: uag228r15_q
Database: wiiw Monthly Database - Public
Status: active
Calculation: SubScal(CPPY=100(L_uag228r15_q&gt;mdb),100)
Calculation_M: q-&gt;m EOP(L_uag228r15_q&gt;mdb)
Calculation_Q: 
Calculation_A: q-&gt;a CumPer(L_uag228r15_q&gt;mdb)
Periodicity: Q
Data available M: 2001m3 - 2022m12
Data available Q: 2001q1 - 2022q4
Data available A: 2001 - 2022
Text 99: 
Automatic update period: 1999|2015
Time shift: 
Note: wiiw calc. Reihe from real growth
Reporter: UA - Ukraine
Chapter 1: 02_NA - National accounts
Indicator: SC0221 - Exports of goods and services
Unit: 01_Curr_15_085_15_r - NCU m, 2015 reference prices (prev. year prices, incl. 'euro fixed' series)
Footnote 1: FZZ90 - wiiw estimates.
Footnote 2:  - 
Footnote 3:  - 
Footnote 4:  - 
Source 1: QUA1 - State Statistics Service of Ukraine
Source 2: Z_wiiw - wiiw
Source 3:  - 
</t>
        </r>
      </text>
    </comment>
    <comment ref="O8" authorId="1" shapeId="0" xr:uid="{C0D9613E-B579-469A-AAAD-09FA28D72078}">
      <text>
        <r>
          <rPr>
            <sz val="9"/>
            <color indexed="81"/>
            <rFont val="Segoe UI"/>
            <family val="2"/>
          </rPr>
          <t xml:space="preserve">ID: 91014
Label: uag229r15_q
Database: wiiw Monthly Database - Public
Status: active
Calculation: SubScal(CPPY=100(L_uag229r15_q&gt;mdb),100)
Calculation_M: q-&gt;m EOP(L_uag229r15_q&gt;mdb)
Calculation_Q: 
Calculation_A: q-&gt;a CumPer(L_uag229r15_q&gt;mdb)
Periodicity: Q
Data available M: 2001m3 - 2022m12
Data available Q: 2001q1 - 2022q4
Data available A: 2001 - 2022
Text 99: 
Automatic update period: 1999|2015
Time shift: 
Note: wiiw calc. Reihe from real growth
Reporter: UA - Ukraine
Chapter 1: 02_NA - National accounts
Indicator: SC0222 - Imports of goods and services
Unit: 01_Curr_15_085_15_r - NCU m, 2015 reference prices (prev. year prices, incl. 'euro fixed' series)
Footnote 1: FZZ90 - wiiw estimates.
Footnote 2:  - 
Footnote 3:  - 
Footnote 4:  - 
Source 1: QUA1 - State Statistics Service of Ukraine
Source 2: Z_wiiw - wiiw
Source 3:  - 
</t>
        </r>
      </text>
    </comment>
    <comment ref="P8" authorId="1" shapeId="0" xr:uid="{2E0ABF24-9667-4216-90F3-D9B326797545}">
      <text>
        <r>
          <rPr>
            <sz val="9"/>
            <color indexed="81"/>
            <rFont val="Segoe UI"/>
            <family val="2"/>
          </rPr>
          <t xml:space="preserve">ID: 53344
Label: uae51_ta_q
Database: wiiw Monthly Database - Public
Status: active
Calculation: 
Calculation_M: q-&gt;m EOP(L_uae51_ta_q&gt;mdb)
Calculation_Q: 
Calculation_A: q-&gt;a AVG(L_uae51_ta_q&gt;mdb)
Periodicity: Q
Data available M: 2005m3 - 2021m12
Data available Q: 2005q1 - 2021q4
Data available A: 2005 - 2021
Text 99: 
Automatic update period: 1999|2015
Time shift: 
Note: 
Reporter: UA - Ukraine
Chapter 1: 05_LAB - Labour market
Indicator: SC0501 - Employment, LFS
Unit: 02_Pers_11 - th persons, period average
Footnote 1: FUA13 - From 2014 excluding the occupied territories of Crimea and Sevastopol.
Footnote 2: FUA16 - From 2015  excluding temporarily occupied territories in the Donetsk and Luhansk regions.
Footnote 3:  - 
Footnote 4:  - 
Source 1: QUA1 - State Statistics Service of Ukraine
Source 2:  - 
Source 3:  - 
</t>
        </r>
      </text>
    </comment>
    <comment ref="Q8" authorId="1" shapeId="0" xr:uid="{30BB30BF-8D70-4FF1-8C38-967656299260}">
      <text>
        <r>
          <rPr>
            <sz val="9"/>
            <color indexed="81"/>
            <rFont val="Segoe UI"/>
            <family val="2"/>
          </rPr>
          <t xml:space="preserve">ID: 53345
Label: uae5u_ta_q
Database: wiiw Monthly Database - Public
Status: active
Calculation: 
Calculation_M: q-&gt;m EOP(L_uae5u_ta_q&gt;mdb)
Calculation_Q: 
Calculation_A: q-&gt;a AVG(L_uae5u_ta_q&gt;mdb)
Periodicity: Q
Data available M: 2005m3 - 2021m12
Data available Q: 2005q1 - 2021q4
Data available A: 2005 - 2021
Text 99: 
Automatic update period: 1999|2015
Time shift: 
Note: 
Reporter: UA - Ukraine
Chapter 1: 05_LAB - Labour market
Indicator: SC0507 - Unemployment, LFS
Unit: 02_Pers_11 - th persons, period average
Footnote 1: FUA13 - From 2014 excluding the occupied territories of Crimea and Sevastopol.
Footnote 2: FUA16 - From 2015  excluding temporarily occupied territories in the Donetsk and Luhansk regions.
Footnote 3:  - 
Footnote 4:  - 
Source 1: QUA1 - State Statistics Service of Ukraine
Source 2:  - 
Source 3:  - 
</t>
        </r>
      </text>
    </comment>
    <comment ref="R8" authorId="1" shapeId="0" xr:uid="{372EDB46-D590-4931-9BB0-CD20724E9F8C}">
      <text>
        <r>
          <rPr>
            <sz val="9"/>
            <color indexed="81"/>
            <rFont val="Segoe UI"/>
            <family val="2"/>
          </rPr>
          <t xml:space="preserve">ID: 53346
Label: uae5u_tp_q
Database: wiiw Monthly Database - Public
Status: active
Calculation: 
Calculation_M: q-&gt;m EOP(L_uae5u_tp_q&gt;mdb)
Calculation_Q: 
Calculation_A: MulScal(Div(L_uae5u_ta_q&gt;mdb,Add(L_uae5u_ta_q&gt;mdb,L_uae51_ta_q&gt;mdb)),100)
Periodicity: Q
Data available M: 2005m3 - 2021m12
Data available Q: 2005q1 - 2021q4
Data available A: 2005 - 2021
Text 99: 
Automatic update period: 1999|2015
Time shift: 
Note: 
Reporter: UA - Ukraine
Chapter 1: 05_LAB - Labour market
Indicator: SC0508 - Unemployment rate, LFS
Unit: 02_Pers_21 - in %, period average
Footnote 1: FUA13 - From 2014 excluding the occupied territories of Crimea and Sevastopol.
Footnote 2: FUA16 - From 2015  excluding temporarily occupied territories in the Donetsk and Luhansk regions.
Footnote 3:  - 
Footnote 4:  - 
Source 1: QUA1 - State Statistics Service of Ukraine
Source 2:  - 
Source 3:  - 
</t>
        </r>
      </text>
    </comment>
    <comment ref="S8" authorId="1" shapeId="0" xr:uid="{8562535D-D6B8-4C40-95EF-4FDA74F80100}">
      <text>
        <r>
          <rPr>
            <sz val="9"/>
            <color indexed="81"/>
            <rFont val="Segoe UI"/>
            <family val="2"/>
          </rPr>
          <t xml:space="preserve">ID: 318
Label: uaw11_gccx
Database: wiiw Monthly Database - Public
Status: active
Calculation: SubScal(L_uaw11_gccx&gt;mdb,100)
Calculation_M: CPPY=100(L_uaw11_gn&gt;mdb)
Calculation_Q: CPPY=100(L_uaw11_gn&gt;mdb)
Calculation_A: CPPY=100(L_uaw11_gn&gt;mdb)
Periodicity: Q
Data available M: 1993m1 - 2023m9
Data available Q: 1993q1 - 2023q3
Data available A: 1993 - 2022
Text 99: 
Automatic update period: 1999|2015
Time shift: 
Note: Bruchberechnungen 2010  gespeichert unter W/STATISTIK/wiiw_MDB/UA/UA wages 2010 Anpassung an Bruch.xlsx
Reporter: UA - Ukraine
Chapter 1: 06_WS - Wages
Indicator: SC0601 - Average monthly gross wages total
Unit: 04_Inom_32 - index nominal, corresponding period of previous year = 100
Footnote 1: FUA01 - Excluding small firms, from 2010 enterpr.with 10 and more employees.
Footnote 2: FUA12 - From April 2014 excluding  the occupied territories of Crimea and Sevastopol.
Footnote 3:  - 
Footnote 4:  - 
Source 1: QUA1 - State Statistics Service of Ukraine
Source 2: Z_wiiw - wiiw
Source 3:  - 
</t>
        </r>
      </text>
    </comment>
    <comment ref="T8" authorId="1" shapeId="0" xr:uid="{480209AB-611E-4349-AE3B-FD114ECFCF97}">
      <text>
        <r>
          <rPr>
            <sz val="9"/>
            <color indexed="81"/>
            <rFont val="Segoe UI"/>
            <family val="2"/>
          </rPr>
          <t xml:space="preserve">ID: 787
Label: uafrr1tp
Database: wiiw Monthly Database - Public
Status: active
Calculation: 
Calculation_M: 
Calculation_Q: m-&gt;q EOP(L_uafrr1tp&gt;mdb)
Calculation_A: m-&gt;a EOP(L_uafrr1tp&gt;mdb)
Periodicity: Q
Data available M: 1992m6 - 2023m12
Data available Q: 1992q2 - 2023q4
Data available A: 1992 - 2023
Text 99: 
Automatic update period: 1999|2015
Time shift: 
Note: 
Reporter: UA - Ukraine
Chapter 1: 10_DF - Domestic finance
Indicator: SC1050 - Central bank policy rate
Unit: 06_IntR_1 - % p.a., end of period
Footnote 1: FZZ66 - Discount rate.
Footnote 2:  - 
Footnote 3:  - 
Footnote 4:  - 
Source 1: QUA2 - National Bank of Ukraine
Source 2: QUA6 - Ukrainian Economic Trends
Source 3:  - 
</t>
        </r>
      </text>
    </comment>
    <comment ref="U8" authorId="1" shapeId="0" xr:uid="{07122555-C624-4A09-826C-DC5396888645}">
      <text>
        <r>
          <rPr>
            <sz val="9"/>
            <color indexed="81"/>
            <rFont val="Segoe UI"/>
            <family val="2"/>
          </rPr>
          <t xml:space="preserve">ID: 74543
Label: uap1p1tsax
Database: wiiw Monthly Database - Public
Status: active
Calculation: 
Calculation_M: Index PP based(L_uap1p1tsb&gt;mdb,2015)
Calculation_Q: m-&gt;q AVG(L_uap1p1tsax&gt;mdb)
Calculation_A: q-&gt;a AVG(L_uap1p1tsax&gt;mdb)
Periodicity: Q
Data available M: 1991m7 - 2023m12
Data available Q: 1991q3 - 2023q4
Data available A: 1992 - 2023
Text 99: 
Automatic update period: 1999|2015
Time shift: 
Note: 
Reporter: UA - Ukraine
Chapter 1: 07_PRC - Prices
Indicator: SC0701 - Consumer prices
Unit: 03_I_1_085_15avg - index, monthly average, 2015 = 100
Footnote 1: FUA13 - From 2014 excluding the occupied territories of Crimea and Sevastopol.
Footnote 2:  - 
Footnote 3:  - 
Footnote 4:  - 
Source 1: QUA1 - State Statistics Service of Ukraine
Source 2: Z_wiiw - wiiw
Source 3:  - 
</t>
        </r>
      </text>
    </comment>
    <comment ref="V8" authorId="1" shapeId="0" xr:uid="{1307501C-A403-49CD-A417-58D3D0BBBFC1}">
      <text>
        <r>
          <rPr>
            <sz val="9"/>
            <color indexed="81"/>
            <rFont val="Segoe UI"/>
            <family val="2"/>
          </rPr>
          <t xml:space="preserve">ID: 968
Label: uap2xea
Database: wiiw Monthly Database - Public
Status: active
Calculation: 
Calculation_M: 
Calculation_Q: m-&gt;q AVG(L_uap2xea&gt;mdb)
Calculation_A: q-&gt;a AVG(L_uap2xea&gt;mdb)
Periodicity: Q
Data available M: 1996m1 - 2023m12
Data available Q: 1996q1 - 2023q4
Data available A: 1996 - 2023
Text 99: 
Automatic update period: 1999|2015
Time shift: 
Note: 
Reporter: UA - Ukraine
Chapter 1: 11_FF - Foreign finance
Indicator: SC1107 - Exchange rate nominal
Unit: 07_Exch_12 - NCU/EUR, period average
Footnote 1: FZZ21 - Up to December 1998 ECU.
Footnote 2:  - 
Footnote 3:  - 
Footnote 4:  - 
Source 1: QUA2 - National Bank of Ukraine
Source 2:  - 
Source 3:  - 
</t>
        </r>
      </text>
    </comment>
    <comment ref="W8" authorId="1" shapeId="0" xr:uid="{6EE1BED3-4B82-47D1-994A-797B5A5305EF}">
      <text>
        <r>
          <rPr>
            <sz val="9"/>
            <color indexed="81"/>
            <rFont val="Segoe UI"/>
            <family val="2"/>
          </rPr>
          <t xml:space="preserve">ID: 71024
Label: uaa1211tscx
Database: wiiw Monthly Database - Public
Status: active
Calculation: SubScal(L_uaa1211tscx&gt;mdb,100)
Calculation_M: CPPY=100(L_uaa1211tsax&gt;mdb)
Calculation_Q: CPPY=100(L_uaa1211tsax&gt;mdb)
Calculation_A: CPPY=100(L_uaa1211tsax&gt;mdb)
Periodicity: Q
Data available M: 2007m1 - 2023m9
Data available Q: 2007q1 - 2023q3
Data available A: 2007 - 2022
Text 99: 
Automatic update period: 1999|2015
Time shift: 
Note: 
Reporter: UA - Ukraine
Chapter 1: 04_PROD - Production
Indicator: SC0401 - Industrial output (BCD - NACE Rev. 2)
Unit: 05_Ireal_32 - index real, corresponding period of previous year = 100
Footnote 1: FUA17 - From 2010 excluding the occupied territories of Crimea and Sevastopol, from 2014  excluding temporarily occupied territories in the Donetsk and Luhansk regions.
Footnote 2:  - 
Footnote 3:  - 
Footnote 4:  - 
Source 1: QUA1 - State Statistics Service of Ukraine
Source 2: Z_wiiw - wiiw
Source 3:  - 
</t>
        </r>
      </text>
    </comment>
    <comment ref="X8" authorId="1" shapeId="0" xr:uid="{81DBD225-768E-4F12-9F06-5699345524CD}">
      <text>
        <r>
          <rPr>
            <sz val="9"/>
            <color indexed="81"/>
            <rFont val="Segoe UI"/>
            <family val="2"/>
          </rPr>
          <t xml:space="preserve">ID: 87178
Label: ualago2ex_q
Database: wiiw Monthly Database - Hidden
Status: active
Calculation: SubScal(CPPY=100(AddNull(L_ualago2ex_q&gt;mdb,L_ualase2ex_q&gt;mdb)),100)
Calculation_M: q-&gt;m EOP(L_ualago2ex_q&gt;mdb)
Calculation_Q: Div(L_ualago2d_q&gt;mdb,Div(m-&gt;q AVG(L_uap2xea&gt;mdb),m-&gt;q AVG(L_uap2usa&gt;mdb)))
Calculation_A: 
Periodicity: Q
Data available M: 2008m3 - 2023m9
Data available Q: 2008q1 - 2023q3
Data available A: 
Text 99: 
Automatic update period: 1999|2015
Time shift: 
Note: 
Reporter: UA - Ukraine
Chapter 1: 11_FF - Foreign finance
Indicator: SC1111 - 1.A.a. Goods exports, fob, credit
Unit: 01_Curr_23 - EUR m
Footnote 1: FZZ80 - Based on BPM6.
Footnote 2: FZZ28 - Calculated from USD to NCU to EUR using the average exchange rate.
Footnote 3: FUA15 - From 2014 excluding the occupied territories of Crimea and Sevastopol and temporarily occupied territories in the Donetsk and Luhansk regions.
Footnote 4:  - 
Source 1: QUA2 - National Bank of Ukraine
Source 2: Z_wiiw - wiiw
Source 3:  - 
</t>
        </r>
      </text>
    </comment>
    <comment ref="Y8" authorId="1" shapeId="0" xr:uid="{A89DE406-4FD5-48EC-9B94-24E9151865F4}">
      <text>
        <r>
          <rPr>
            <sz val="9"/>
            <color indexed="81"/>
            <rFont val="Segoe UI"/>
            <family val="2"/>
          </rPr>
          <t xml:space="preserve">ID: 87189
Label: ualago3ex_q
Database: wiiw Monthly Database - Hidden
Status: active
Calculation: SubScal(CPPY=100(AddNull(L_ualago3ex_q&gt;mdb,L_ualase3ex_q&gt;mdb)),100)
Calculation_M: q-&gt;m EOP(L_ualago3ex_q&gt;mdb)
Calculation_Q: Div(L_ualago3d_q&gt;mdb,Div(m-&gt;q AVG(L_uap2xea&gt;mdb),m-&gt;q AVG(L_uap2usa&gt;mdb)))
Calculation_A: 
Periodicity: Q
Data available M: 2008m3 - 2023m9
Data available Q: 2008q1 - 2023q3
Data available A: 
Text 99: 
Automatic update period: 1999|2015
Time shift: 
Note: 
Reporter: UA - Ukraine
Chapter 1: 11_FF - Foreign finance
Indicator: SC1112 - 1.A.a. Goods imports, fob, debit
Unit: 01_Curr_23 - EUR m
Footnote 1: FZZ80 - Based on BPM6.
Footnote 2: FZZ28 - Calculated from USD to NCU to EUR using the average exchange rate.
Footnote 3: FUA15 - From 2014 excluding the occupied territories of Crimea and Sevastopol and temporarily occupied territories in the Donetsk and Luhansk regions.
Footnote 4:  - 
Source 1: QUA2 - National Bank of Ukraine
Source 2: Z_wiiw - wiiw
Source 3:  - 
</t>
        </r>
      </text>
    </comment>
    <comment ref="Z8" authorId="1" shapeId="0" xr:uid="{B5FB8B71-B3C8-4AF0-95D7-3CE833D9A6A3}">
      <text>
        <r>
          <rPr>
            <sz val="9"/>
            <color indexed="81"/>
            <rFont val="Segoe UI"/>
            <family val="2"/>
          </rPr>
          <t xml:space="preserve">ID: 88757
Label: ualacaepx_q
Database: wiiw Monthly Database - Public
Status: active
Calculation: 
Calculation_M: Q-&gt;M EOP(L_ualacaepx_q&gt;mdb)
Calculation_Q: Share(L_ualacaenx_q&gt;mdb,Div(L_uag11tn_q&gt;mdb,L_uap2xea&gt;mdb))
Calculation_A: Share(L_ualacaenx_q&gt;mdb,Div(L_uag11tn_q&gt;mdb,L_uap2xea&gt;mdb))
Periodicity: Q
Data available M: 2000m3 - 2022m12
Data available Q: 2000q1 - 2022q4
Data available A: 2000 - 2022
Text 99: 
Automatic update period: 1999|2015
Time shift: 
Note: 
Reporter: UA - Ukraine
Chapter 1: 11_FF - Foreign finance
Indicator: SC1101 - Current account
Unit: 09_Share_%gdp - in % of GDP
Footnote 1: FZZ55 - From 2008 based on BPM6.
Footnote 2: FUA15 - From 2014 excluding the occupied territories of Crimea and Sevastopol and temporarily occupied territories in the Donetsk and Luhansk regions.
Footnote 3:  - 
Footnote 4:  - 
Source 1: QUA2 - National Bank of Ukraine
Source 2: Z_wiiw - wiiw
Source 3:  - 
</t>
        </r>
      </text>
    </comment>
    <comment ref="AA8" authorId="1" shapeId="0" xr:uid="{D542E577-D870-42C3-8EA5-D6D5C2D6F017}">
      <text>
        <r>
          <rPr>
            <sz val="9"/>
            <color indexed="81"/>
            <rFont val="Segoe UI"/>
            <family val="2"/>
          </rPr>
          <t xml:space="preserve">ID: 90354
Label: uag222px_q
Database: wiiw Monthly Database - Public
Status: active
Calculation: AddNull(L_uag222px_q&gt;mdb,L_uag22zpx_q&gt;mdb)
Calculation_M: Q-&gt;M EOP(L_uag222px_q&gt;mdb)
Calculation_Q: Share(L_uag222n_q&gt;mdb,L_uag11tzn_q&gt;mdb)
Calculation_A: Share(L_uag222n_q&gt;mdb,L_uag11tzn_q&gt;mdb)
Periodicity: Q
Data available M: 2000m3 - 2022m12
Data available Q: 2000q1 - 2022q4
Data available A: 2000 - 2022
Text 99: 
Automatic update period: 1999|2015
Time shift: 
Note: 
Reporter: UA - Ukraine
Chapter 1: 02_NA - National accounts
Indicator: SC0212 - Household final consumption expenditure
Unit: 09_Share_%gdp - in % of GDP
Footnote 1:  - 
Footnote 2:  - 
Footnote 3:  - 
Footnote 4:  - 
Source 1: QUA1 - State Statistics Service of Ukraine
Source 2: Z_wiiw - wiiw
Source 3:  - 
</t>
        </r>
      </text>
    </comment>
    <comment ref="AB8" authorId="1" shapeId="0" xr:uid="{9671DCC5-F1F8-42D5-9F90-8C77A8586FB7}">
      <text>
        <r>
          <rPr>
            <sz val="9"/>
            <color indexed="81"/>
            <rFont val="Segoe UI"/>
            <family val="2"/>
          </rPr>
          <t xml:space="preserve">ID: 90398
Label: uag223px_q
Database: wiiw Monthly Database - Public
Status: active
Calculation: 
Calculation_M: Q-&gt;M EOP(L_uag223px_q&gt;mdb)
Calculation_Q: Share(L_uag223n_q&gt;mdb,L_uag11tzn_q&gt;mdb)
Calculation_A: Share(L_uag223n_q&gt;mdb,L_uag11tzn_q&gt;mdb)
Periodicity: Q
Data available M: 2000m3 - 2022m12
Data available Q: 2000q1 - 2022q4
Data available A: 2000 - 2022
Text 99: 
Automatic update period: 1999|2015
Time shift: 
Note: 
Reporter: UA - Ukraine
Chapter 1: 02_NA - National accounts
Indicator: SC0214 - Government final consumption expenditure
Unit: 09_Share_%gdp - in % of GDP
Footnote 1:  - 
Footnote 2:  - 
Footnote 3:  - 
Footnote 4:  - 
Source 1: QUA1 - State Statistics Service of Ukraine
Source 2: Z_wiiw - wiiw
Source 3:  - 
</t>
        </r>
      </text>
    </comment>
    <comment ref="AC8" authorId="1" shapeId="0" xr:uid="{4A32152C-C2E2-4763-8599-9ABD01A5B573}">
      <text>
        <r>
          <rPr>
            <sz val="9"/>
            <color indexed="81"/>
            <rFont val="Segoe UI"/>
            <family val="2"/>
          </rPr>
          <t xml:space="preserve">ID: 90420
Label: uag224px_q
Database: wiiw Monthly Database - Public
Status: active
Calculation: 
Calculation_M: Q-&gt;M EOP(L_uag224px_q&gt;mdb)
Calculation_Q: Share(L_uag224n_q&gt;mdb,L_uag11tzn_q&gt;mdb)
Calculation_A: Share(L_uag224n_q&gt;mdb,L_uag11tzn_q&gt;mdb)
Periodicity: Q
Data available M: 2000m3 - 2022m12
Data available Q: 2000q1 - 2022q4
Data available A: 2000 - 2022
Text 99: 
Automatic update period: 1999|2015
Time shift: 
Note: 
Reporter: UA - Ukraine
Chapter 1: 02_NA - National accounts
Indicator: SC0217 - Gross capital formation
Unit: 09_Share_%gdp - in % of GDP
Footnote 1:  - 
Footnote 2:  - 
Footnote 3:  - 
Footnote 4:  - 
Source 1: QUA1 - State Statistics Service of Ukraine
Source 2: Z_wiiw - wiiw
Source 3:  - 
</t>
        </r>
      </text>
    </comment>
    <comment ref="AD8" authorId="1" shapeId="0" xr:uid="{DEC634D1-BC11-41F4-9E3D-40ADCA7D1E23}">
      <text>
        <r>
          <rPr>
            <sz val="9"/>
            <color indexed="81"/>
            <rFont val="Segoe UI"/>
            <family val="2"/>
          </rPr>
          <t xml:space="preserve">ID: 90508
Label: uag228px_q
Database: wiiw Monthly Database - Public
Status: active
Calculation: 
Calculation_M: Q-&gt;M EOP(L_uag228px_q&gt;mdb)
Calculation_Q: Share(L_uag228n_q&gt;mdb,L_uag11tzn_q&gt;mdb)
Calculation_A: Share(L_uag228n_q&gt;mdb,L_uag11tzn_q&gt;mdb)
Periodicity: Q
Data available M: 2000m3 - 2022m12
Data available Q: 2000q1 - 2022q4
Data available A: 2000 - 2022
Text 99: 
Automatic update period: 1999|2015
Time shift: 
Note: 
Reporter: UA - Ukraine
Chapter 1: 02_NA - National accounts
Indicator: SC0221 - Exports of goods and services
Unit: 09_Share_%gdp - in % of GDP
Footnote 1:  - 
Footnote 2:  - 
Footnote 3:  - 
Footnote 4:  - 
Source 1: QUA1 - State Statistics Service of Ukraine
Source 2: Z_wiiw - wiiw
Source 3:  - 
</t>
        </r>
      </text>
    </comment>
    <comment ref="AE8" authorId="1" shapeId="0" xr:uid="{35846597-17FE-435A-A04C-F6DB141DE4E1}">
      <text>
        <r>
          <rPr>
            <sz val="9"/>
            <color indexed="81"/>
            <rFont val="Segoe UI"/>
            <family val="2"/>
          </rPr>
          <t xml:space="preserve">ID: 90530
Label: uag229px_q
Database: wiiw Monthly Database - Public
Status: active
Calculation: 
Calculation_M: Q-&gt;M EOP(L_uag229px_q&gt;mdb)
Calculation_Q: Share(L_uag229n_q&gt;mdb,L_uag11tzn_q&gt;mdb)
Calculation_A: Share(L_uag229n_q&gt;mdb,L_uag11tzn_q&gt;mdb)
Periodicity: Q
Data available M: 2000m3 - 2022m12
Data available Q: 2000q1 - 2022q4
Data available A: 2000 - 2022
Text 99: 
Automatic update period: 1999|2015
Time shift: 
Note: 
Reporter: UA - Ukraine
Chapter 1: 02_NA - National accounts
Indicator: SC0222 - Imports of goods and services
Unit: 09_Share_%gdp - in % of GDP
Footnote 1:  - 
Footnote 2:  - 
Footnote 3:  - 
Footnote 4:  - 
Source 1: QUA1 - State Statistics Service of Ukraine
Source 2: Z_wiiw - wiiw
Source 3:  - 
</t>
        </r>
      </text>
    </comment>
    <comment ref="AF8" authorId="1" shapeId="0" xr:uid="{5DF73086-5109-49B9-BC3F-15357B9FDD45}">
      <text>
        <r>
          <rPr>
            <sz val="9"/>
            <color indexed="81"/>
            <rFont val="Segoe UI"/>
            <family val="2"/>
          </rPr>
          <t xml:space="preserve">ID: 89628
Label: uafls14scx
Database: wiiw Monthly Database - Public
Status: active
Calculation: SubScal(L_uafls14scx&gt;mdb,100)
Calculation_M: CPPY=100(L_uafls14e&gt;mdb)
Calculation_Q: M-&gt;Q EOP(L_uafls14scx&gt;mdb)
Calculation_A: Q-&gt;A EOP(L_uafls14scx&gt;mdb)
Periodicity: Q
Data available M: 2003m12 - 2023m11
Data available Q: 2003q4 - 2023q3
Data available A: 2003 - 2022
Text 99: 
Automatic update period: 1999|2015
Time shift: 
Note: 
Reporter: UA - Ukraine
Chapter 1: 10_DF - Domestic finance
Indicator: SC1066 - Loans households (S14)
Unit: 04_Inom_32 - index nominal, corresponding period of previous year = 100
Footnote 1:  - 
Footnote 2:  - 
Footnote 3:  - 
Footnote 4:  - 
Source 1: QUA2 - National Bank of Ukraine
Source 2: Z_wiiw - wiiw
Source 3:  - 
</t>
        </r>
      </text>
    </comment>
    <comment ref="AG8" authorId="1" shapeId="0" xr:uid="{14640EAF-DC2B-4CDD-8517-F361C7EE6FE7}">
      <text>
        <r>
          <rPr>
            <sz val="9"/>
            <color indexed="81"/>
            <rFont val="Segoe UI"/>
            <family val="2"/>
          </rPr>
          <t xml:space="preserve">ID: 141287
Label: uabgdtpx_help_q
Database: wiiw Monthly Database - Hidden
Status: active
Calculation: 
Calculation_M: q-&gt;m EOP(L_uabgdtpx_help_q&gt;mdb)
Calculation_Q: Share(L_uabgdtn_help_q&gt;mdb,L_uag11tnx_help_q&gt;mdb)
Calculation_A: q-&gt;a EOP(L_uabgdtpx_help_q&gt;mdb)
Periodicity: Q
Data available M: 2015m3 - 2023m9
Data available Q: 2015q1 - 2023q3
Data available A: 2015 - 2022
Text 99: 
Automatic update period: 1999|2015
Time shift: 
Note: 
Reporter: UA - Ukraine
Chapter 1: 10_DF - Domestic finance
Indicator: SC1009 - General government gross debt, total
Unit: 09_Share_%gdp - in % of GDP
Footnote 1:  - 
Footnote 2:  - 
Footnote 3:  - 
Footnote 4:  - 
Source 1: QUA3 - Ministry of Finance of Ukraine
Source 2: Z_wiiw - wiiw
Source 3:  -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BJ</author>
    <author>Alexandra Bykova</author>
  </authors>
  <commentList>
    <comment ref="B1" authorId="0" shapeId="0" xr:uid="{FF0D273F-5F5A-4AD1-9B5A-9B4173574BB2}">
      <text>
        <r>
          <rPr>
            <b/>
            <sz val="9"/>
            <color indexed="81"/>
            <rFont val="Tahoma"/>
            <family val="2"/>
          </rPr>
          <t>BJ:</t>
        </r>
        <r>
          <rPr>
            <sz val="9"/>
            <color indexed="81"/>
            <rFont val="Tahoma"/>
            <family val="2"/>
          </rPr>
          <t xml:space="preserve">
EU 27, seasonally and calendar adjusted
Eurostat</t>
        </r>
      </text>
    </comment>
    <comment ref="C1" authorId="0" shapeId="0" xr:uid="{26574F18-5247-4952-A3DD-99A9B23CE792}">
      <text>
        <r>
          <rPr>
            <b/>
            <sz val="9"/>
            <color indexed="81"/>
            <rFont val="Tahoma"/>
            <family val="2"/>
          </rPr>
          <t>BJ:</t>
        </r>
        <r>
          <rPr>
            <sz val="9"/>
            <color indexed="81"/>
            <rFont val="Tahoma"/>
            <family val="2"/>
          </rPr>
          <t xml:space="preserve">
Eurostat</t>
        </r>
      </text>
    </comment>
    <comment ref="D1" authorId="0" shapeId="0" xr:uid="{93BEAD16-6C65-404B-9A5E-32E922CA0DBA}">
      <text>
        <r>
          <rPr>
            <b/>
            <sz val="9"/>
            <color indexed="81"/>
            <rFont val="Tahoma"/>
            <family val="2"/>
          </rPr>
          <t>BJ:</t>
        </r>
        <r>
          <rPr>
            <sz val="9"/>
            <color indexed="81"/>
            <rFont val="Tahoma"/>
            <family val="2"/>
          </rPr>
          <t xml:space="preserve">
EU changing composition
Eurostat</t>
        </r>
      </text>
    </comment>
    <comment ref="E1" authorId="0" shapeId="0" xr:uid="{26C12CC1-4B18-4A78-B861-8A6A164E9B80}">
      <text>
        <r>
          <rPr>
            <b/>
            <sz val="9"/>
            <color indexed="81"/>
            <rFont val="Tahoma"/>
            <family val="2"/>
          </rPr>
          <t>BJ:</t>
        </r>
        <r>
          <rPr>
            <sz val="9"/>
            <color indexed="81"/>
            <rFont val="Tahoma"/>
            <family val="2"/>
          </rPr>
          <t xml:space="preserve">
ECB</t>
        </r>
      </text>
    </comment>
    <comment ref="F1" authorId="0" shapeId="0" xr:uid="{04686681-D40F-4838-9E25-E3467F17C39B}">
      <text>
        <r>
          <rPr>
            <b/>
            <sz val="9"/>
            <color indexed="81"/>
            <rFont val="Tahoma"/>
            <family val="2"/>
          </rPr>
          <t>BJ:</t>
        </r>
        <r>
          <rPr>
            <sz val="9"/>
            <color indexed="81"/>
            <rFont val="Tahoma"/>
            <family val="2"/>
          </rPr>
          <t xml:space="preserve">
Crude oil, average, from WB pink sheets</t>
        </r>
      </text>
    </comment>
    <comment ref="G1" authorId="0" shapeId="0" xr:uid="{3CC42CBD-9349-491C-97F2-72C6BE1E6378}">
      <text>
        <r>
          <rPr>
            <sz val="9"/>
            <color indexed="81"/>
            <rFont val="Tahoma"/>
            <family val="2"/>
          </rPr>
          <t>General gov, nominal yoy growth, in NCU
wiiw</t>
        </r>
      </text>
    </comment>
    <comment ref="H1" authorId="0" shapeId="0" xr:uid="{9AB621E3-F52F-499A-8372-A7C339F4FD85}">
      <text>
        <r>
          <rPr>
            <b/>
            <sz val="9"/>
            <color indexed="81"/>
            <rFont val="Tahoma"/>
            <family val="2"/>
          </rPr>
          <t>BJ:</t>
        </r>
        <r>
          <rPr>
            <sz val="9"/>
            <color indexed="81"/>
            <rFont val="Tahoma"/>
            <family val="2"/>
          </rPr>
          <t xml:space="preserve">
General gov. budget - revenues NCU m (incl. 'euro fixed' series)
wiiw</t>
        </r>
      </text>
    </comment>
    <comment ref="I1" authorId="0" shapeId="0" xr:uid="{1EB1CCBD-C9DF-4291-97BA-7F407CB3E656}">
      <text>
        <r>
          <rPr>
            <b/>
            <sz val="9"/>
            <color indexed="81"/>
            <rFont val="Tahoma"/>
            <family val="2"/>
          </rPr>
          <t>BJ:</t>
        </r>
        <r>
          <rPr>
            <sz val="9"/>
            <color indexed="81"/>
            <rFont val="Tahoma"/>
            <family val="2"/>
          </rPr>
          <t xml:space="preserve">
General gov. budget - balance
 in % of GDP
wiiw</t>
        </r>
      </text>
    </comment>
    <comment ref="J1" authorId="0" shapeId="0" xr:uid="{C30CCB08-7265-46FE-8FB6-D15EBFD0F348}">
      <text>
        <r>
          <rPr>
            <b/>
            <sz val="9"/>
            <color indexed="81"/>
            <rFont val="Tahoma"/>
            <family val="2"/>
          </rPr>
          <t>BJ:</t>
        </r>
        <r>
          <rPr>
            <sz val="9"/>
            <color indexed="81"/>
            <rFont val="Tahoma"/>
            <family val="2"/>
          </rPr>
          <t xml:space="preserve">
For all GDP: 
NCU m, 2015 reference prices (prev. year prices, incl. 'euro fixed' series)
wiiw</t>
        </r>
      </text>
    </comment>
    <comment ref="K1" authorId="0" shapeId="0" xr:uid="{34AAB747-F279-49AC-B128-C196497652AB}">
      <text>
        <r>
          <rPr>
            <b/>
            <sz val="9"/>
            <color indexed="81"/>
            <rFont val="Tahoma"/>
            <family val="2"/>
          </rPr>
          <t>BJ:</t>
        </r>
        <r>
          <rPr>
            <sz val="9"/>
            <color indexed="81"/>
            <rFont val="Tahoma"/>
            <family val="2"/>
          </rPr>
          <t xml:space="preserve">
Households + NPISH
Only Households</t>
        </r>
      </text>
    </comment>
    <comment ref="M1" authorId="0" shapeId="0" xr:uid="{BCF86251-8E4B-4E19-BF17-E8AC2E1F70D6}">
      <text>
        <r>
          <rPr>
            <b/>
            <sz val="9"/>
            <color indexed="81"/>
            <rFont val="Tahoma"/>
            <family val="2"/>
          </rPr>
          <t>BJ:</t>
        </r>
        <r>
          <rPr>
            <sz val="9"/>
            <color indexed="81"/>
            <rFont val="Tahoma"/>
            <family val="2"/>
          </rPr>
          <t xml:space="preserve">
Gross capital formation</t>
        </r>
      </text>
    </comment>
    <comment ref="P1" authorId="0" shapeId="0" xr:uid="{79D5CC04-B458-4178-AC22-6E308E48FD3C}">
      <text>
        <r>
          <rPr>
            <b/>
            <sz val="9"/>
            <color indexed="81"/>
            <rFont val="Tahoma"/>
            <family val="2"/>
          </rPr>
          <t>Employment, LFS, thousand persons
wiiw</t>
        </r>
      </text>
    </comment>
    <comment ref="Q1" authorId="0" shapeId="0" xr:uid="{88821A97-5EB0-4F32-9F62-28B148CB6924}">
      <text>
        <r>
          <rPr>
            <b/>
            <sz val="9"/>
            <color indexed="81"/>
            <rFont val="Tahoma"/>
            <family val="2"/>
          </rPr>
          <t>Unemployment, LFS, thousand persons
wiiw</t>
        </r>
      </text>
    </comment>
    <comment ref="R1" authorId="0" shapeId="0" xr:uid="{48D54E58-28FE-43BE-B8E8-25F989F48E41}">
      <text>
        <r>
          <rPr>
            <b/>
            <sz val="9"/>
            <color indexed="81"/>
            <rFont val="Tahoma"/>
            <family val="2"/>
          </rPr>
          <t>Unemployment, LFS, in %
wiiw</t>
        </r>
      </text>
    </comment>
    <comment ref="S1" authorId="0" shapeId="0" xr:uid="{DEE0DE4B-FA81-43D0-8293-64C1DF99539B}">
      <text>
        <r>
          <rPr>
            <sz val="9"/>
            <color indexed="81"/>
            <rFont val="Tahoma"/>
            <family val="2"/>
          </rPr>
          <t>Average monthly gross wages total, 
national currency (incl. 'euro fixed' series), yoy growth
wiiw</t>
        </r>
      </text>
    </comment>
    <comment ref="T1" authorId="0" shapeId="0" xr:uid="{40524E4F-3D0C-4DF1-A349-8B54172B8319}">
      <text>
        <r>
          <rPr>
            <b/>
            <sz val="9"/>
            <color indexed="81"/>
            <rFont val="Tahoma"/>
            <family val="2"/>
          </rPr>
          <t>BJ:</t>
        </r>
        <r>
          <rPr>
            <sz val="9"/>
            <color indexed="81"/>
            <rFont val="Tahoma"/>
            <family val="2"/>
          </rPr>
          <t xml:space="preserve">
Central bank policy rate, nominal
wiiw</t>
        </r>
      </text>
    </comment>
    <comment ref="U1" authorId="0" shapeId="0" xr:uid="{7AD47C24-32E1-41B3-AC27-2F552BEECCB3}">
      <text>
        <r>
          <rPr>
            <b/>
            <sz val="9"/>
            <color indexed="81"/>
            <rFont val="Tahoma"/>
            <family val="2"/>
          </rPr>
          <t>BJ:</t>
        </r>
        <r>
          <rPr>
            <sz val="9"/>
            <color indexed="81"/>
            <rFont val="Tahoma"/>
            <family val="2"/>
          </rPr>
          <t xml:space="preserve">
Consumer prices index, monthly average, 2015 = 100
wiiw</t>
        </r>
      </text>
    </comment>
    <comment ref="V1" authorId="0" shapeId="0" xr:uid="{50129699-D625-4286-8B65-65E80C7B5420}">
      <text>
        <r>
          <rPr>
            <b/>
            <sz val="9"/>
            <color indexed="81"/>
            <rFont val="Tahoma"/>
            <family val="2"/>
          </rPr>
          <t>BJ:</t>
        </r>
        <r>
          <rPr>
            <sz val="9"/>
            <color indexed="81"/>
            <rFont val="Tahoma"/>
            <family val="2"/>
          </rPr>
          <t xml:space="preserve">
Exchange rate nominal NCU/EUR, period average
wiiw</t>
        </r>
      </text>
    </comment>
    <comment ref="W1" authorId="0" shapeId="0" xr:uid="{F410CDA2-7C49-407A-B3C4-40AA7D386CCC}">
      <text>
        <r>
          <rPr>
            <b/>
            <sz val="9"/>
            <color indexed="81"/>
            <rFont val="Tahoma"/>
            <family val="2"/>
          </rPr>
          <t>BJ:</t>
        </r>
        <r>
          <rPr>
            <sz val="9"/>
            <color indexed="81"/>
            <rFont val="Tahoma"/>
            <family val="2"/>
          </rPr>
          <t xml:space="preserve">
 Industrial output (BCD - NACE Rev. 2), index real, monthly average, 2015 = 100, yoy growth
wiiw</t>
        </r>
      </text>
    </comment>
    <comment ref="X1" authorId="0" shapeId="0" xr:uid="{4034F088-B947-42E6-88F5-7A02FBC63642}">
      <text>
        <r>
          <rPr>
            <b/>
            <sz val="9"/>
            <color indexed="81"/>
            <rFont val="Tahoma"/>
            <family val="2"/>
          </rPr>
          <t>BJ:</t>
        </r>
        <r>
          <rPr>
            <sz val="9"/>
            <color indexed="81"/>
            <rFont val="Tahoma"/>
            <family val="2"/>
          </rPr>
          <t xml:space="preserve">
Exports total, fob EUR m, yoy growth
wiiw
Alexandra: changed to BOP: exports of goods and services</t>
        </r>
      </text>
    </comment>
    <comment ref="Y1" authorId="0" shapeId="0" xr:uid="{79F5F05C-A451-4E79-81DF-A780911734B0}">
      <text>
        <r>
          <rPr>
            <b/>
            <sz val="9"/>
            <color indexed="81"/>
            <rFont val="Tahoma"/>
            <family val="2"/>
          </rPr>
          <t>BJ:</t>
        </r>
        <r>
          <rPr>
            <sz val="9"/>
            <color indexed="81"/>
            <rFont val="Tahoma"/>
            <family val="2"/>
          </rPr>
          <t xml:space="preserve">
 Imports total, cif EUR m
wiiw
Alexandra: changed to BOP: imports of goods and services</t>
        </r>
      </text>
    </comment>
    <comment ref="Z1" authorId="0" shapeId="0" xr:uid="{E5AFAEFC-3BAF-4072-BF80-EC1ED2E2058E}">
      <text>
        <r>
          <rPr>
            <b/>
            <sz val="9"/>
            <color indexed="81"/>
            <rFont val="Tahoma"/>
            <family val="2"/>
          </rPr>
          <t>BJ:</t>
        </r>
        <r>
          <rPr>
            <sz val="9"/>
            <color indexed="81"/>
            <rFont val="Tahoma"/>
            <family val="2"/>
          </rPr>
          <t xml:space="preserve">
Current account in % of GDP
wiiw</t>
        </r>
      </text>
    </comment>
    <comment ref="AA1" authorId="0" shapeId="0" xr:uid="{27921BFC-34FB-4682-979F-60B0439CD4AA}">
      <text>
        <r>
          <rPr>
            <b/>
            <sz val="9"/>
            <color indexed="81"/>
            <rFont val="Tahoma"/>
            <family val="2"/>
          </rPr>
          <t>BJ:</t>
        </r>
        <r>
          <rPr>
            <sz val="9"/>
            <color indexed="81"/>
            <rFont val="Tahoma"/>
            <family val="2"/>
          </rPr>
          <t xml:space="preserve">
Households + NPISH</t>
        </r>
      </text>
    </comment>
    <comment ref="AC1" authorId="0" shapeId="0" xr:uid="{7AA3146A-BC50-4B6F-B5EB-F0BA9E4D83D0}">
      <text>
        <r>
          <rPr>
            <b/>
            <sz val="9"/>
            <color indexed="81"/>
            <rFont val="Tahoma"/>
            <family val="2"/>
          </rPr>
          <t>BJ:</t>
        </r>
        <r>
          <rPr>
            <sz val="9"/>
            <color indexed="81"/>
            <rFont val="Tahoma"/>
            <family val="2"/>
          </rPr>
          <t xml:space="preserve">
Gross capital formation</t>
        </r>
      </text>
    </comment>
    <comment ref="AF1" authorId="0" shapeId="0" xr:uid="{4338A7FF-9457-4682-94CA-B4FDD9E0F0B6}">
      <text>
        <r>
          <rPr>
            <b/>
            <sz val="9"/>
            <color indexed="81"/>
            <rFont val="Tahoma"/>
            <family val="2"/>
          </rPr>
          <t>BJ:</t>
        </r>
        <r>
          <rPr>
            <sz val="9"/>
            <color indexed="81"/>
            <rFont val="Tahoma"/>
            <family val="2"/>
          </rPr>
          <t xml:space="preserve">
loans to households, nominal, yoy growth rates</t>
        </r>
      </text>
    </comment>
    <comment ref="B8" authorId="1" shapeId="0" xr:uid="{0BA7F6E2-B2DE-4F2F-9F3A-DF311801EAFB}">
      <text>
        <r>
          <rPr>
            <sz val="9"/>
            <color indexed="81"/>
            <rFont val="Segoe UI"/>
            <family val="2"/>
          </rPr>
          <t xml:space="preserve">ID: 144396
Label: eug11tscrx_q
Database: wiiw Monthly Database - Hidden
Status: active
Calculation: 
Calculation_M: SubScal(L_eug11tscx_q&gt;mdb,100)
Calculation_Q: SubScal(L_eug11tscx_q&gt;mdb,100)
Calculation_A: SubScal(L_eug11tscx_q&gt;mdb,100)
Periodicity: Q
Data available M: 1996m3 - 2023m9
Data available Q: 1996q1 - 2023q3
Data available A: 1996 - 2022
Text 99: 
Automatic update period: 1999|2015
Time shift: 
Note: 
Reporter: EU27_2020 - EU - 27 countries (from 2020)
Chapter 1: 02_NA - National accounts
Indicator: SC0201 - Gross domestic product total
Unit: 05_Ireal_36 - real growth rate to corresponding period of previous year in %
Footnote 1: FZZ05 - According to ESA'10.
Footnote 2:  - 
Footnote 3:  - 
Footnote 4:  - 
Source 1: Z_ESTAT - Eurostat
Source 2: Z_wiiw - wiiw
Source 3:  - 
</t>
        </r>
      </text>
    </comment>
    <comment ref="C8" authorId="1" shapeId="0" xr:uid="{647D1779-91D7-4B71-80F7-22CDA2D7E738}">
      <text>
        <r>
          <rPr>
            <sz val="9"/>
            <color indexed="81"/>
            <rFont val="Segoe UI"/>
            <family val="2"/>
          </rPr>
          <t xml:space="preserve">ID: 77811
Label: eup1p1tsa
Database: wiiw Monthly Database - Hidden
Status: active
Calculation: 
Calculation_M: 
Calculation_Q: m-&gt;q AVG(L_eup1p1tsa&gt;mdb)
Calculation_A: q-&gt;a AVG(L_eup1p1tsa&gt;mdb)
Periodicity: Q
Data available M: 1999m1 - 2023m12
Data available Q: 1999q1 - 2023q4
Data available A: 1999 - 2023
Text 99: 
Automatic update period: 1999|2015
Time shift: 
Note: 
Reporter: EU - European Union evolutionary
Chapter 1: 07_PRC - Prices
Indicator: SC0701 - Consumer prices
Unit: 03_I_1_085_15avg - index, monthly average, 2015 = 100
Footnote 1: FZZ40 - Based on HICP (Harmonized Index of Consumer Prices).
Footnote 2:  - 
Footnote 3:  - 
Footnote 4:  - 
Source 1: Z_ESTAT - Eurostat
Source 2:  - 
Source 3:  - 
</t>
        </r>
      </text>
    </comment>
    <comment ref="D8" authorId="1" shapeId="0" xr:uid="{AC678312-7DE7-4B88-914E-7438F487366B}">
      <text>
        <r>
          <rPr>
            <sz val="9"/>
            <color indexed="81"/>
            <rFont val="Segoe UI"/>
            <family val="2"/>
          </rPr>
          <t xml:space="preserve">ID: 77812
Label: eup1p1tscx
Database: wiiw Monthly Database - Hidden
Status: active
Calculation: SubScal(L_eup1p1tscx&gt;mdb,100)
Calculation_M: CPPY=100(L_eup1p1tsa&gt;mdb)
Calculation_Q: CPPY=100(L_eup1p1tsa&gt;mdb)
Calculation_A: CPPY=100(L_eup1p1tsa&gt;mdb)
Periodicity: Q
Data available M: 1992m1 - 2023m12
Data available Q: 1992q1 - 2023q4
Data available A: 1992 - 2023
Text 99: 
Automatic update period: 1999|2015
Time shift: 
Note: 
Reporter: EU - European Union evolutionary
Chapter 1: 07_PRC - Prices
Indicator: SC0701 - Consumer prices
Unit: 03_I_32 - index, corresponding period of previous year = 100
Footnote 1: FZZ40 - Based on HICP (Harmonized Index of Consumer Prices).
Footnote 2:  - 
Footnote 3:  - 
Footnote 4:  - 
Source 1: Z_ESTAT - Eurostat
Source 2: Z_wiiw - wiiw
Source 3:  - 
</t>
        </r>
      </text>
    </comment>
    <comment ref="E8" authorId="1" shapeId="0" xr:uid="{14E29800-0593-466B-AD0D-767146A3D92F}">
      <text>
        <r>
          <rPr>
            <sz val="9"/>
            <color indexed="81"/>
            <rFont val="Segoe UI"/>
            <family val="2"/>
          </rPr>
          <t xml:space="preserve">ID: 144399
Label: eafrr1tp_help
Database: wiiw Monthly Database - Hidden
Status: active
Calculation: 
Calculation_M: L_eafrr1tp&gt;mdb
Calculation_Q: m-&gt;q AVG(L_eafrr1tp&gt;mdb)
Calculation_A: q-&gt;a AVG(L_eafrr1tp&gt;mdb)
Periodicity: Q
Data available M: 1999m1 - 2023m12
Data available Q: 1999q1 - 2023q4
Data available A: 1999 - 2023
Text 99: 
Automatic update period: 1999|2015
Time shift: 
Note: 
Reporter: EA - Euro area evolutionary
Chapter 1: 10_DF - Domestic finance
Indicator: SC1050 - Central bank policy rate
Unit: 06_IntR_6 - % p.a., period average
Footnote 1: FZZ50 - Official refinancing operation rates for euro area (ECB), rate in fixed rate tenders (between June 2000 and September 2008 the minimum bid rate in variable rate tenders was applied).
Footnote 2:  - 
Footnote 3:  - 
Footnote 4:  - 
Source 1: Z_ECB - European Central Bank
Source 2:  - 
Source 3:  - 
</t>
        </r>
      </text>
    </comment>
    <comment ref="F8" authorId="1" shapeId="0" xr:uid="{FE03F59B-83FB-42C8-B291-FA37CD315C73}">
      <text>
        <r>
          <rPr>
            <sz val="9"/>
            <color indexed="81"/>
            <rFont val="Segoe UI"/>
            <family val="2"/>
          </rPr>
          <t xml:space="preserve">ID: 101874
Label: usp2oila
Database: wiiw Monthly Database - Hidden
Status: active
Calculation: 
Calculation_M: 
Calculation_Q: M-&gt;Q AVG(L_usp2oila&gt;mdb)
Calculation_A: Q-&gt;A AVG(L_usp2oila&gt;mdb)
Periodicity: Q
Data available M: 1990m1 - 2023m12
Data available Q: 1990q1 - 2023q4
Data available A: 1990 - 2023
Text 99: 
Automatic update period: 1999|2015
Time shift: 
Note: Oil prices  &amp; Europe Brent Spot Price FOB (Dollars per Barrel) &amp; EIA (US) Source of the data. Gespeichert auf die EU&amp;US Karten.
Reporter: US - United States
Chapter 1: 11_FF - Foreign finance
Indicator:  - 
Unit:  - 
Footnote 1:  - 
Footnote 2:  - 
Footnote 3:  - 
Footnote 4:  - 
Source 1:  - 
Source 2:  - 
Source 3:  - 
</t>
        </r>
      </text>
    </comment>
    <comment ref="G8" authorId="1" shapeId="0" xr:uid="{DC2D2E99-DB2F-4A0E-9B2D-0697AB9CD088}">
      <text>
        <r>
          <rPr>
            <sz val="9"/>
            <color indexed="81"/>
            <rFont val="Segoe UI"/>
            <family val="2"/>
          </rPr>
          <t xml:space="preserve">ID: 32800
Label: ltbg21n_q
Database: wiiw Monthly Database - Public
Status: active
Calculation: SubScal(CPPY=100(L_ltbg21n_q&gt;mdb),100)
Calculation_M: q-&gt;m EOP(L_ltbg21n_q&gt;mdb)
Calculation_Q: 
Calculation_A: Q-&gt;A CUMPER(L_ltbg21n_q&gt;mdb)
Periodicity: Q
Data available M: 1999m3 - 2023m9
Data available Q: 1999q1 - 2023q3
Data available A: 1999 - 2022
Text 99: 
Automatic update period: 1999|2015
Time shift: 
Note: 
Reporter: LT - Lithuania
Chapter 1: 10_DF - Domestic finance
Indicator: SC1011 - General gov. budget (ESA'10, EDP) - expenditures
Unit: 01_Curr_12 - NCU m (incl. 'euro fixed' series)
Footnote 1: FZZ42 - According to ESA'10 excessive deficit procedure.
Footnote 2: FLT11 - Until December 2014 time series in LTL have been divided by the conversion factor 3.4528 (LTL per EUR) to EUR-LTL.
Footnote 3:  - 
Footnote 4:  - 
Source 1: Z_ESTAT - Eurostat
Source 2:  - 
Source 3:  - 
</t>
        </r>
      </text>
    </comment>
    <comment ref="H8" authorId="1" shapeId="0" xr:uid="{A3B93BC7-16D6-44E4-8E90-54C6250DF6E7}">
      <text>
        <r>
          <rPr>
            <sz val="9"/>
            <color indexed="81"/>
            <rFont val="Segoe UI"/>
            <family val="2"/>
          </rPr>
          <t xml:space="preserve">ID: 32799
Label: ltbg11n_q
Database: wiiw Monthly Database - Public
Status: active
Calculation: SubScal(CPPY=100(L_ltbg11n_q&gt;mdb),100)
Calculation_M: q-&gt;m EOP(L_ltbg11n_q&gt;mdb)
Calculation_Q: 
Calculation_A: Q-&gt;A CUMPER(L_ltbg11n_q&gt;mdb)
Periodicity: Q
Data available M: 1999m3 - 2023m9
Data available Q: 1999q1 - 2023q3
Data available A: 1999 - 2022
Text 99: 
Automatic update period: 1999|2015
Time shift: 
Note: 
Reporter: LT - Lithuania
Chapter 1: 10_DF - Domestic finance
Indicator: SC1010 - General gov. budget (ESA'10, EDP) - revenues
Unit: 01_Curr_12 - NCU m (incl. 'euro fixed' series)
Footnote 1: FZZ42 - According to ESA'10 excessive deficit procedure.
Footnote 2: FLT11 - Until December 2014 time series in LTL have been divided by the conversion factor 3.4528 (LTL per EUR) to EUR-LTL.
Footnote 3:  - 
Footnote 4:  - 
Source 1: Z_ESTAT - Eurostat
Source 2:  - 
Source 3:  - 
</t>
        </r>
      </text>
    </comment>
    <comment ref="I8" authorId="1" shapeId="0" xr:uid="{C2F462FE-C596-4EEC-8DC8-3D9565960F60}">
      <text>
        <r>
          <rPr>
            <sz val="9"/>
            <color indexed="81"/>
            <rFont val="Segoe UI"/>
            <family val="2"/>
          </rPr>
          <t xml:space="preserve">ID: 89167
Label: ltbg31px_q
Database: wiiw Monthly Database - Public
Status: active
Calculation: 
Calculation_M: Q-&gt;M EOP(L_ltbg31px_q&gt;mdb)
Calculation_Q: Share(L_ltbg31nx_q&gt;mdb,L_ltg11tn_q&gt;mdb)
Calculation_A: Share(L_ltbg31nx_q&gt;mdb,L_ltg11tn_q&gt;mdb)
Periodicity: Q
Data available M: 1999m3 - 2023m9
Data available Q: 1999q1 - 2023q3
Data available A: 1999 - 2022
Text 99: 
Automatic update period: 1999|2015
Time shift: 
Note: 
Reporter: LT - Lithuania
Chapter 1: 10_DF - Domestic finance
Indicator: SC1012 - General gov. budget (ESA'10, EDP) - balance
Unit: 09_Share_%gdp - in % of GDP
Footnote 1: FZZ42 - According to ESA'10 excessive deficit procedure.
Footnote 2:  - 
Footnote 3:  - 
Footnote 4:  - 
Source 1: Z_ESTAT - Eurostat
Source 2: Z_wiiw - wiiw
Source 3:  - 
</t>
        </r>
      </text>
    </comment>
    <comment ref="J8" authorId="1" shapeId="0" xr:uid="{631C3E20-537F-41ED-86AF-34E9407DA9F5}">
      <text>
        <r>
          <rPr>
            <sz val="9"/>
            <color indexed="81"/>
            <rFont val="Segoe UI"/>
            <family val="2"/>
          </rPr>
          <t xml:space="preserve">ID: 88652
Label: ltg11tr15_q
Database: wiiw Monthly Database - Public
Status: active
Calculation: SubScal(CPPY=100(L_ltg11tr15_q&gt;mdb),100)
Calculation_M: q-&gt;m EOP(L_ltg11tr15_q&gt;mdb)
Calculation_Q: 
Calculation_A: q-&gt;a CumPer(L_ltg11tr15_q&gt;mdb)
Periodicity: Q
Data available M: 1995m3 - 2023m9
Data available Q: 1995q1 - 2023q3
Data available A: 1995 - 2022
Text 99: 
Automatic update period: 1999|2015
Time shift: 
Note: 
Reporter: LT - Lithuania
Chapter 1: 02_NA - National accounts
Indicator: SC0201 - Gross domestic product total
Unit: 01_Curr_15_085_15_r - NCU m, 2015 reference prices (prev. year prices, incl. 'euro fixed' series)
Footnote 1: FZZ05 - According to ESA'10.
Footnote 2:  - 
Footnote 3:  - 
Footnote 4:  - 
Source 1: Z_ESTAT - Eurostat
Source 2:  - 
Source 3:  - 
</t>
        </r>
      </text>
    </comment>
    <comment ref="K8" authorId="1" shapeId="0" xr:uid="{FA8D6F8A-03DE-4FCD-9D9F-91775F903142}">
      <text>
        <r>
          <rPr>
            <sz val="9"/>
            <color indexed="81"/>
            <rFont val="Segoe UI"/>
            <family val="2"/>
          </rPr>
          <t xml:space="preserve">ID: 90871
Label: ltg222r15_q
Database: wiiw Monthly Database - Public
Status: active
Calculation: SubScal(CPPY=100(L_ltg222r15_q&gt;mdb),100)
Calculation_M: q-&gt;m EOP(L_ltg222r15_q&gt;mdb)
Calculation_Q: 
Calculation_A: q-&gt;a CumPer(L_ltg222r15_q&gt;mdb)
Periodicity: Q
Data available M: 1995m3 - 2023m9
Data available Q: 1995q1 - 2023q3
Data available A: 1995 - 2022
Text 99: 
Automatic update period: 1999|2015
Time shift: 
Note: 
Reporter: LT - Lithuania
Chapter 1: 02_NA - National accounts
Indicator: SC0212 - Household final consumption expenditure
Unit: 01_Curr_15_085_15_r - NCU m, 2015 reference prices (prev. year prices, incl. 'euro fixed' series)
Footnote 1:  - 
Footnote 2:  - 
Footnote 3:  - 
Footnote 4:  - 
Source 1: Z_ESTAT - Eurostat
Source 2:  - 
Source 3:  - 
</t>
        </r>
      </text>
    </comment>
    <comment ref="L8" authorId="1" shapeId="0" xr:uid="{56BE8960-B7B8-4F75-9ED7-2ED4B6C44D43}">
      <text>
        <r>
          <rPr>
            <sz val="9"/>
            <color indexed="81"/>
            <rFont val="Segoe UI"/>
            <family val="2"/>
          </rPr>
          <t xml:space="preserve">ID: 90915
Label: ltg223r15_q
Database: wiiw Monthly Database - Public
Status: active
Calculation: SubScal(CPPY=100(L_ltg223r15_q&gt;mdb),100)
Calculation_M: q-&gt;m EOP(L_ltg223r15_q&gt;mdb)
Calculation_Q: 
Calculation_A: q-&gt;a CumPer(L_ltg223r15_q&gt;mdb)
Periodicity: Q
Data available M: 1995m3 - 2023m9
Data available Q: 1995q1 - 2023q3
Data available A: 1995 - 2022
Text 99: 
Automatic update period: 1999|2015
Time shift: 
Note: 
Reporter: LT - Lithuania
Chapter 1: 02_NA - National accounts
Indicator: SC0214 - Government final consumption expenditure
Unit: 01_Curr_15_085_15_r - NCU m, 2015 reference prices (prev. year prices, incl. 'euro fixed' series)
Footnote 1:  - 
Footnote 2:  - 
Footnote 3:  - 
Footnote 4:  - 
Source 1: Z_ESTAT - Eurostat
Source 2:  - 
Source 3:  - 
</t>
        </r>
      </text>
    </comment>
    <comment ref="M8" authorId="1" shapeId="0" xr:uid="{CEA9DDB4-298D-463B-AA02-1EBF7C5BAB97}">
      <text>
        <r>
          <rPr>
            <sz val="9"/>
            <color indexed="81"/>
            <rFont val="Segoe UI"/>
            <family val="2"/>
          </rPr>
          <t xml:space="preserve">ID: 90937
Label: ltg224r15_q
Database: wiiw Monthly Database - Public
Status: active
Calculation: SubScal(CPPY=100(L_ltg224r15_q&gt;mdb),100)
Calculation_M: q-&gt;m EOP(L_ltg224r15_q&gt;mdb)
Calculation_Q: 
Calculation_A: q-&gt;a CumPer(L_ltg224r15_q&gt;mdb)
Periodicity: Q
Data available M: 1995m3 - 2023m9
Data available Q: 1995q1 - 2023q3
Data available A: 1995 - 2022
Text 99: 
Automatic update period: 1999|2015
Time shift: 
Note: 
Reporter: LT - Lithuania
Chapter 1: 02_NA - National accounts
Indicator: SC0217 - Gross capital formation
Unit: 01_Curr_15_085_15_r - NCU m, 2015 reference prices (prev. year prices, incl. 'euro fixed' series)
Footnote 1:  - 
Footnote 2:  - 
Footnote 3:  - 
Footnote 4:  - 
Source 1: Z_ESTAT - Eurostat
Source 2:  - 
Source 3:  - 
</t>
        </r>
      </text>
    </comment>
    <comment ref="N8" authorId="1" shapeId="0" xr:uid="{4569CFA9-760F-410D-918A-987F504B483C}">
      <text>
        <r>
          <rPr>
            <sz val="9"/>
            <color indexed="81"/>
            <rFont val="Segoe UI"/>
            <family val="2"/>
          </rPr>
          <t xml:space="preserve">ID: 90981
Label: ltg228r15_q
Database: wiiw Monthly Database - Public
Status: active
Calculation: SubScal(CPPY=100(L_ltg228r15_q&gt;mdb),100)
Calculation_M: q-&gt;m EOP(L_ltg228r15_q&gt;mdb)
Calculation_Q: 
Calculation_A: q-&gt;a CumPer(L_ltg228r15_q&gt;mdb)
Periodicity: Q
Data available M: 1995m3 - 2023m9
Data available Q: 1995q1 - 2023q3
Data available A: 1995 - 2022
Text 99: 
Automatic update period: 1999|2015
Time shift: 
Note: 
Reporter: LT - Lithuania
Chapter 1: 02_NA - National accounts
Indicator: SC0221 - Exports of goods and services
Unit: 01_Curr_15_085_15_r - NCU m, 2015 reference prices (prev. year prices, incl. 'euro fixed' series)
Footnote 1:  - 
Footnote 2:  - 
Footnote 3:  - 
Footnote 4:  - 
Source 1: Z_ESTAT - Eurostat
Source 2:  - 
Source 3:  - 
</t>
        </r>
      </text>
    </comment>
    <comment ref="O8" authorId="1" shapeId="0" xr:uid="{36288A47-F0FC-427B-8FC7-4FF0EA9374D2}">
      <text>
        <r>
          <rPr>
            <sz val="9"/>
            <color indexed="81"/>
            <rFont val="Segoe UI"/>
            <family val="2"/>
          </rPr>
          <t xml:space="preserve">ID: 91003
Label: ltg229r15_q
Database: wiiw Monthly Database - Public
Status: active
Calculation: SubScal(CPPY=100(L_ltg229r15_q&gt;mdb),100)
Calculation_M: q-&gt;m EOP(L_ltg229r15_q&gt;mdb)
Calculation_Q: 
Calculation_A: q-&gt;a CumPer(L_ltg229r15_q&gt;mdb)
Periodicity: Q
Data available M: 1995m3 - 2023m9
Data available Q: 1995q1 - 2023q3
Data available A: 1995 - 2022
Text 99: 
Automatic update period: 1999|2015
Time shift: 
Note: 
Reporter: LT - Lithuania
Chapter 1: 02_NA - National accounts
Indicator: SC0222 - Imports of goods and services
Unit: 01_Curr_15_085_15_r - NCU m, 2015 reference prices (prev. year prices, incl. 'euro fixed' series)
Footnote 1:  - 
Footnote 2:  - 
Footnote 3:  - 
Footnote 4:  - 
Source 1: Z_ESTAT - Eurostat
Source 2:  - 
Source 3:  - 
</t>
        </r>
      </text>
    </comment>
    <comment ref="P8" authorId="1" shapeId="0" xr:uid="{CC9B63C5-C25F-4AB0-9F4D-6BB3697F709A}">
      <text>
        <r>
          <rPr>
            <sz val="9"/>
            <color indexed="81"/>
            <rFont val="Segoe UI"/>
            <family val="2"/>
          </rPr>
          <t xml:space="preserve">ID: 32649
Label: lte51_ta_q
Database: wiiw Monthly Database - Public
Status: active
Calculation: 
Calculation_M: q-&gt;m EOP(L_lte51_ta_q&gt;mdb)
Calculation_Q: 
Calculation_A: q-&gt;a AVG(L_lte51_ta_q&gt;mdb)
Periodicity: Q
Data available M: 1998m6 - 2023m9
Data available Q: 1998q2 - 2023q3
Data available A: 1998 - 2022
Text 99: 
Automatic update period: 1999|2015
Time shift: 
Note: -vor 1998 nicht verfügbar &amp; -bis 2002 national nur Halbjahresdaten verfügbar &amp; -1998 bis 2004 nationale Daten = EUROSTAT &amp; -2011 national kein Census (nicht Estat übernemen). Laut Estat acc. to Census 2011 Q1=1235.7, Q2=1265 Q3=1263, Q4=1262.2 &amp; Annually Grüne Werte als Durchsschnitte von verfügbaren Quartalsdaten gerechnet (AL). &amp;  &amp;  &amp;  &amp; 
Reporter: LT - Lithuania
Chapter 1: 05_LAB - Labour market
Indicator: SC0501 - Employment, LFS
Unit: 02_Pers_11 - th persons, period average
Footnote 1: FZZ09 - From 2021 new methodology in line with the Integrated European Social Statistics Regulation (IESS).
Footnote 2: FLT04 - From 2012 according to census March 2011.
Footnote 3:  - 
Footnote 4:  - 
Source 1: Z_ESTAT - Eurostat
Source 2: QLT1 - Statistics Lithuania
Source 3:  - 
</t>
        </r>
      </text>
    </comment>
    <comment ref="Q8" authorId="1" shapeId="0" xr:uid="{AB241ACC-5AA3-4C80-877B-A24A99CA8B40}">
      <text>
        <r>
          <rPr>
            <sz val="9"/>
            <color indexed="81"/>
            <rFont val="Segoe UI"/>
            <family val="2"/>
          </rPr>
          <t xml:space="preserve">ID: 32679
Label: lte5u_ta_q
Database: wiiw Monthly Database - Public
Status: active
Calculation: 
Calculation_M: q-&gt;m EOP(L_lte5u_ta_q&gt;mdb)
Calculation_Q: 
Calculation_A: q-&gt;a AVG(L_lte5u_ta_q&gt;mdb)
Periodicity: Q
Data available M: 1998m6 - 2023m9
Data available Q: 1998q2 - 2023q3
Data available A: 1998 - 2022
Text 99: 
Automatic update period: 1999|2015
Time shift: 
Note: -vor 1998 nicht verfügbar &amp; -bis 2002 national nur Halbjahresdaten verfügbar &amp; -1998 bis 2004 nationale Daten = EUROSTAT &amp; -2011 national kein Census (nicht Estat übernemen). Laut Census Estat  Q1=252.6, Q2=232, Q3=219.1, Q4=200.7 &amp; Annually Grüne Werte als Durchsschnitte von verfügbaren Quartalsdaten gerechnet (AL). &amp;  &amp;  &amp; 
Reporter: LT - Lithuania
Chapter 1: 05_LAB - Labour market
Indicator: SC0507 - Unemployment, LFS
Unit: 02_Pers_11 - th persons, period average
Footnote 1: FZZ09 - From 2021 new methodology in line with the Integrated European Social Statistics Regulation (IESS).
Footnote 2: FLT04 - From 2012 according to census March 2011.
Footnote 3:  - 
Footnote 4:  - 
Source 1: Z_ESTAT - Eurostat
Source 2:  - 
Source 3:  - 
</t>
        </r>
      </text>
    </comment>
    <comment ref="R8" authorId="1" shapeId="0" xr:uid="{0BE71DC0-4A9E-4DC3-9F42-CC9B2876D14F}">
      <text>
        <r>
          <rPr>
            <sz val="9"/>
            <color indexed="81"/>
            <rFont val="Segoe UI"/>
            <family val="2"/>
          </rPr>
          <t xml:space="preserve">ID: 32695
Label: lte5u_tp_q
Database: wiiw Monthly Database - Public
Status: active
Calculation: 
Calculation_M: q-&gt;m EOP(L_lte5u_tp_q&gt;mdb)
Calculation_Q: 
Calculation_A: MulScal(Div(L_lte5u_ta_q&gt;mdb,Add(L_lte5u_ta_q&gt;mdb,L_lte51_ta_q&gt;mdb)),100)
Periodicity: Q
Data available M: 1998m6 - 2023m9
Data available Q: 1998q2 - 2023q3
Data available A: 1998 - 2022
Text 99: 
Automatic update period: 1999|2015
Time shift: 
Note: -vor 1998 nicht verfügbar &amp; -bis 2002 national nur Halbjahresdaten verfügbar &amp; -1998 bis 2004 nationale Daten = EUROSTAT &amp; -2011 national kein Census (nicht Estat übernemen). Laut Census Estat  Q1=17.0, Q2=15.5, Q3=14.8, Q4=13.7 &amp;  &amp; 
Reporter: LT - Lithuania
Chapter 1: 05_LAB - Labour market
Indicator: SC0508 - Unemployment rate, LFS
Unit: 02_Pers_21 - in %, period average
Footnote 1: FZZ09 - From 2021 new methodology in line with the Integrated European Social Statistics Regulation (IESS).
Footnote 2: FLT04 - From 2012 according to census March 2011.
Footnote 3:  - 
Footnote 4:  - 
Source 1: Z_ESTAT - Eurostat
Source 2:  - 
Source 3:  - 
</t>
        </r>
      </text>
    </comment>
    <comment ref="S8" authorId="1" shapeId="0" xr:uid="{97A165C8-782B-427B-ABA2-C09DF8D18ADE}">
      <text>
        <r>
          <rPr>
            <sz val="9"/>
            <color indexed="81"/>
            <rFont val="Segoe UI"/>
            <family val="2"/>
          </rPr>
          <t xml:space="preserve">ID: 32780
Label: ltw11_tccx_q
Database: wiiw Monthly Database - Public
Status: active
Calculation: SubScal(L_ltw11_tccx_q&gt;mdb,100)
Calculation_M: q-&gt;m EOP(L_ltw11_tccx_q&gt;mdb)
Calculation_Q: CPPY=100(L_ltw11_tn_q&gt;mdb)
Calculation_A: CPPY=100(L_ltw11_tn_q&gt;mdb)
Periodicity: Q
Data available M: 1995m3 - 2023m9
Data available Q: 1995q1 - 2023q3
Data available A: 1995 - 2022
Text 99: 
Automatic update period: 1999|2015
Time shift: 
Note: In 2009: NACE 1 = NACE 2 - no impact on growth rates.
Reporter: LT - Lithuania
Chapter 1: 06_WS - Wages
Indicator: SC0601 - Average monthly gross wages total
Unit: 04_Inom_32 - index nominal, corresponding period of previous year = 100
Footnote 1: FLT07 - From 2019 the employer's social security contribution (28.9%) was transferred to the employees; growth in 2019 estimated by wiiw.
Footnote 2:  - 
Footnote 3:  - 
Footnote 4:  - 
Source 1: QLT1 - Statistics Lithuania
Source 2: Z_wiiw - wiiw
Source 3:  - 
</t>
        </r>
      </text>
    </comment>
    <comment ref="T8" authorId="1" shapeId="0" xr:uid="{2961AF6A-D320-4732-9707-59544665793B}">
      <text>
        <r>
          <rPr>
            <sz val="9"/>
            <color indexed="81"/>
            <rFont val="Segoe UI"/>
            <family val="2"/>
          </rPr>
          <t xml:space="preserve">ID: 765
Label: ltfrr1tp
Database: wiiw Monthly Database - Public
Status: active
Calculation: 
Calculation_M: TimeSpan(L_eafrr1tp&gt;mdb,2015-)
Calculation_Q: m-&gt;q EOP(L_ltfrr1tp&gt;mdb)
Calculation_A: q-&gt;a EOP(L_ltfrr1tp&gt;mdb)
Periodicity: Q
Data available M: 1999m1 - 2023m12
Data available Q: 1999q1 - 2023q4
Data available A: 1999 - 2023
Text 99: 
Automatic update period: 1999|2015
Time shift: 
Note: es gibt bei Eurostat "off.lending rate" (= lt. NB overnight repurchase, nur 0.3% des Transaktionsvolumens) und "other off. rates" (lt. NB nur f. Banken, die Liquiditätsprobleme haben), ABER beide nicht relevant (Dez 2010) --&gt; VILIBOR 1-month interbank rate.
Reporter: LT - Lithuania
Chapter 1: 10_DF - Domestic finance
Indicator: SC1050 - Central bank policy rate
Unit: 06_IntR_1 - % p.a., end of period
Footnote 1: FLT02 - From January 2015 euro area official refinancing operation rate, VILIBOR 1-month interbank offered rate (Lithuania had a currency board) before.
Footnote 2:  - 
Footnote 3:  - 
Footnote 4:  - 
Source 1: Z_ECB - European Central Bank
Source 2: QLT2 - Central Bank of Lithuania
Source 3:  - 
</t>
        </r>
      </text>
    </comment>
    <comment ref="U8" authorId="1" shapeId="0" xr:uid="{748F2C03-0096-439F-9AF8-4F74D999DB31}">
      <text>
        <r>
          <rPr>
            <sz val="9"/>
            <color indexed="81"/>
            <rFont val="Segoe UI"/>
            <family val="2"/>
          </rPr>
          <t xml:space="preserve">ID: 578
Label: ltp1p1tsa
Database: wiiw Monthly Database - Public
Status: active
Calculation: 
Calculation_M: 
Calculation_Q: m-&gt;q AVG(L_ltp1p1tsa&gt;mdb)
Calculation_A: m-&gt;a AVG(L_ltp1p1tsa&gt;mdb)
Periodicity: Q
Data available M: 1999m1 - 2023m12
Data available Q: 1999q1 - 2023q4
Data available A: 1999 - 2023
Text 99: 
Automatic update period: 1999|2015
Time shift: 
Note: 
Reporter: LT - Lithuania
Chapter 1: 07_PRC - Prices
Indicator: SC0701 - Consumer prices
Unit: 03_I_1_085_15avg - index, monthly average, 2015 = 100
Footnote 1: FZZ40 - Based on HICP (Harmonized Index of Consumer Prices).
Footnote 2:  - 
Footnote 3:  - 
Footnote 4:  - 
Source 1: Z_ESTAT - Eurostat
Source 2:  - 
Source 3:  - 
</t>
        </r>
      </text>
    </comment>
    <comment ref="V8" authorId="1" shapeId="0" xr:uid="{DD7D5604-A878-4986-B841-2D52DA4B98E2}">
      <text>
        <r>
          <rPr>
            <sz val="9"/>
            <color indexed="81"/>
            <rFont val="Segoe UI"/>
            <family val="2"/>
          </rPr>
          <t xml:space="preserve">ID: 971
Label: ltp2xea
Database: wiiw Monthly Database - Public
Status: active
Calculation: 
Calculation_M: TimeSpan(L_mep2xea&gt;mdb,2020-)
Calculation_Q: m-&gt;q AVG(L_ltp2xea&gt;mdb)
Calculation_A: q-&gt;a AVG(L_ltp2xea&gt;mdb)
Periodicity: Q
Data available M: 1993m6 - 2024m1
Data available Q: 1993q3 - 2023q4
Data available A: 1994 - 2023
Text 99: 
Automatic update period: 1999|2015
Time shift: 
Note: 
Reporter: LT - Lithuania
Chapter 1: 11_FF - Foreign finance
Indicator: SC1107 - Exchange rate nominal
Unit: 07_Exch_12 - NCU/EUR, period average
Footnote 1: FLT12 - Until December 2014 EUR-LTL per EUR.
Footnote 2: FZZ21 - Up to December 1998 ECU.
Footnote 3:  - 
Footnote 4:  - 
Source 1: Z_ESTAT - Eurostat
Source 2: QLT2 - Central Bank of Lithuania
Source 3:  - 
</t>
        </r>
      </text>
    </comment>
    <comment ref="W8" authorId="1" shapeId="0" xr:uid="{7DA641E8-3012-44D4-BD08-920B0664F5CA}">
      <text>
        <r>
          <rPr>
            <sz val="9"/>
            <color indexed="81"/>
            <rFont val="Segoe UI"/>
            <family val="2"/>
          </rPr>
          <t xml:space="preserve">ID: 32215
Label: lta1211tscx
Database: wiiw Monthly Database - Public
Status: active
Calculation: SubScal(L_lta1211tscx&gt;mdb,100)
Calculation_M: CPPY=100(L_lta1211tsa&gt;mdb)
Calculation_Q: CPPY=100(L_lta1211tsa&gt;mdb)
Calculation_A: CPPY=100(L_lta1211tsa&gt;mdb)
Periodicity: Q
Data available M: 2001m1 - 2023m11
Data available Q: 2001q1 - 2023q3
Data available A: 2001 - 2022
Text 99: 
Automatic update period: 1999|2015
Time shift: 
Note: 
Reporter: LT - Lithuania
Chapter 1: 04_PROD - Production
Indicator: SC0401 - Industrial output (BCD - NACE Rev. 2)
Unit: 05_Ireal_32 - index real, corresponding period of previous year = 100
Footnote 1: FZZ01 - Sold production.
Footnote 2:  - 
Footnote 3:  - 
Footnote 4:  - 
Source 1: Z_ESTAT - Eurostat
Source 2: Z_wiiw - wiiw
Source 3:  - 
</t>
        </r>
      </text>
    </comment>
    <comment ref="X8" authorId="1" shapeId="0" xr:uid="{4145FAB5-58F0-4BD2-8E84-63D1EC392732}">
      <text>
        <r>
          <rPr>
            <sz val="9"/>
            <color indexed="81"/>
            <rFont val="Segoe UI"/>
            <family val="2"/>
          </rPr>
          <t xml:space="preserve">ID: 87265
Label: ltlago2e_q
Database: wiiw Monthly Database - Hidden
Status: active
Calculation: SubScal(CPPY=100(AddNull(L_ltlago2e_q&gt;mdb,L_ltlase2e_q&gt;mdb)),100)
Calculation_M: q-&gt;m EOP(L_ltlago2e_q&gt;mdb)
Calculation_Q: 
Calculation_A: Q-&gt;A CUMPER(L_ltlago2e_q&gt;mdb)
Periodicity: Q
Data available M: 2008m3 - 2023m9
Data available Q: 2008q1 - 2023q3
Data available A: 2008 - 2022
Text 99: 
Automatic update period: 1999|2015
Time shift: 
Note: 
Reporter: LT - Lithuania
Chapter 1: 11_FF - Foreign finance
Indicator: SC1111 - 1.A.a. Goods exports, fob, credit
Unit: 01_Curr_23 - EUR m
Footnote 1: FZZ80 - Based on BPM6.
Footnote 2:  - 
Footnote 3:  - 
Footnote 4:  - 
Source 1: Z_ESTAT - Eurostat
Source 2: QLT2 - Central Bank of Lithuania
Source 3:  - 
</t>
        </r>
      </text>
    </comment>
    <comment ref="Y8" authorId="1" shapeId="0" xr:uid="{55F8BCEB-4142-4963-AFE8-D376B40577DA}">
      <text>
        <r>
          <rPr>
            <sz val="9"/>
            <color indexed="81"/>
            <rFont val="Segoe UI"/>
            <family val="2"/>
          </rPr>
          <t xml:space="preserve">ID: 87302
Label: ltlago3e_q
Database: wiiw Monthly Database - Hidden
Status: active
Calculation: SubScal(CPPY=100(AddNull(L_ltlago3e_q&gt;mdb,L_ltlase3e_q&gt;mdb)),100)
Calculation_M: q-&gt;m EOP(L_ltlago3e_q&gt;mdb)
Calculation_Q: 
Calculation_A: Q-&gt;A CUMPER(L_ltlago3e_q&gt;mdb)
Periodicity: Q
Data available M: 2008m3 - 2023m9
Data available Q: 2008q1 - 2023q3
Data available A: 2008 - 2022
Text 99: 
Automatic update period: 1999|2015
Time shift: 
Note: 
Reporter: LT - Lithuania
Chapter 1: 11_FF - Foreign finance
Indicator: SC1112 - 1.A.a. Goods imports, fob, debit
Unit: 01_Curr_23 - EUR m
Footnote 1: FZZ80 - Based on BPM6.
Footnote 2:  - 
Footnote 3:  - 
Footnote 4:  - 
Source 1: Z_ESTAT - Eurostat
Source 2: QLT2 - Central Bank of Lithuania
Source 3:  - 
</t>
        </r>
      </text>
    </comment>
    <comment ref="Z8" authorId="1" shapeId="0" xr:uid="{615B3E3A-111D-49EF-8B9B-F181AB20F7C8}">
      <text>
        <r>
          <rPr>
            <sz val="9"/>
            <color indexed="81"/>
            <rFont val="Segoe UI"/>
            <family val="2"/>
          </rPr>
          <t xml:space="preserve">ID: 88736
Label: ltlacaepx_q
Database: wiiw Monthly Database - Public
Status: active
Calculation: 
Calculation_M: Q-&gt;M EOP(L_ltlacaepx_q&gt;mdb)
Calculation_Q: Share(L_ltlacaen_q&gt;mdb,Div(L_ltg11tn_q&gt;mdb,L_ltp2xea&gt;mdb))
Calculation_A: Share(L_ltlacaen_q&gt;mdb,Div(L_ltg11tn_q&gt;mdb,L_ltp2xea&gt;mdb))
Periodicity: Q
Data available M: 1995m3 - 2023m9
Data available Q: 1995q1 - 2023q3
Data available A: 1995 - 2022
Text 99: 
Automatic update period: 1999|2015
Time shift: 
Note: 
Reporter: LT - Lithuania
Chapter 1: 11_FF - Foreign finance
Indicator: SC1101 - Current account
Unit: 09_Share_%gdp - in % of GDP
Footnote 1: FZZ55 - From 2008 based on BPM6.
Footnote 2:  - 
Footnote 3:  - 
Footnote 4:  - 
Source 1: Z_ESTAT - Eurostat
Source 2: QLT2 - Central Bank of Lithuania
Source 3: Z_wiiw - wiiw
</t>
        </r>
      </text>
    </comment>
    <comment ref="AA8" authorId="1" shapeId="0" xr:uid="{BC2D2A63-458E-45EB-8E68-0868AA4E0369}">
      <text>
        <r>
          <rPr>
            <sz val="9"/>
            <color indexed="81"/>
            <rFont val="Segoe UI"/>
            <family val="2"/>
          </rPr>
          <t xml:space="preserve">ID: 90343
Label: ltg222px_q
Database: wiiw Monthly Database - Public
Status: active
Calculation: AddNull(L_ltg222px_q&gt;mdb,L_ltg22zpx_q&gt;mdb)
Calculation_M: Q-&gt;M EOP(L_ltg222px_q&gt;mdb)
Calculation_Q: Share(L_ltg222n_q&gt;mdb,L_ltg11tzn_q&gt;mdb)
Calculation_A: Share(L_ltg222n_q&gt;mdb,L_ltg11tzn_q&gt;mdb)
Periodicity: Q
Data available M: 1995m3 - 2023m9
Data available Q: 1995q1 - 2023q3
Data available A: 1995 - 2022
Text 99: 
Automatic update period: 1999|2015
Time shift: 
Note: 
Reporter: LT - Lithuania
Chapter 1: 02_NA - National accounts
Indicator: SC0212 - Household final consumption expenditure
Unit: 09_Share_%gdp - in % of GDP
Footnote 1:  - 
Footnote 2:  - 
Footnote 3:  - 
Footnote 4:  - 
Source 1: Z_ESTAT - Eurostat
Source 2: Z_wiiw - wiiw
Source 3:  - 
</t>
        </r>
      </text>
    </comment>
    <comment ref="AB8" authorId="1" shapeId="0" xr:uid="{3CCA8FC0-FB21-423B-A18B-986048BEDD0A}">
      <text>
        <r>
          <rPr>
            <sz val="9"/>
            <color indexed="81"/>
            <rFont val="Segoe UI"/>
            <family val="2"/>
          </rPr>
          <t xml:space="preserve">ID: 90387
Label: ltg223px_q
Database: wiiw Monthly Database - Public
Status: active
Calculation: 
Calculation_M: Q-&gt;M EOP(L_ltg223px_q&gt;mdb)
Calculation_Q: Share(L_ltg223n_q&gt;mdb,L_ltg11tzn_q&gt;mdb)
Calculation_A: Share(L_ltg223n_q&gt;mdb,L_ltg11tzn_q&gt;mdb)
Periodicity: Q
Data available M: 1995m3 - 2023m9
Data available Q: 1995q1 - 2023q3
Data available A: 1995 - 2022
Text 99: 
Automatic update period: 1999|2015
Time shift: 
Note: 
Reporter: LT - Lithuania
Chapter 1: 02_NA - National accounts
Indicator: SC0214 - Government final consumption expenditure
Unit: 09_Share_%gdp - in % of GDP
Footnote 1:  - 
Footnote 2:  - 
Footnote 3:  - 
Footnote 4:  - 
Source 1: Z_ESTAT - Eurostat
Source 2: Z_wiiw - wiiw
Source 3:  - 
</t>
        </r>
      </text>
    </comment>
    <comment ref="AC8" authorId="1" shapeId="0" xr:uid="{5B0C32CD-B6A8-428E-A8A3-BCB5C0D43D69}">
      <text>
        <r>
          <rPr>
            <sz val="9"/>
            <color indexed="81"/>
            <rFont val="Segoe UI"/>
            <family val="2"/>
          </rPr>
          <t xml:space="preserve">ID: 90409
Label: ltg224px_q
Database: wiiw Monthly Database - Public
Status: active
Calculation: 
Calculation_M: Q-&gt;M EOP(L_ltg224px_q&gt;mdb)
Calculation_Q: Share(L_ltg224n_q&gt;mdb,L_ltg11tzn_q&gt;mdb)
Calculation_A: Share(L_ltg224n_q&gt;mdb,L_ltg11tzn_q&gt;mdb)
Periodicity: Q
Data available M: 1995m3 - 2023m9
Data available Q: 1995q1 - 2023q3
Data available A: 1995 - 2022
Text 99: 
Automatic update period: 1999|2015
Time shift: 
Note: 
Reporter: LT - Lithuania
Chapter 1: 02_NA - National accounts
Indicator: SC0217 - Gross capital formation
Unit: 09_Share_%gdp - in % of GDP
Footnote 1:  - 
Footnote 2:  - 
Footnote 3:  - 
Footnote 4:  - 
Source 1: Z_ESTAT - Eurostat
Source 2: Z_wiiw - wiiw
Source 3:  - 
</t>
        </r>
      </text>
    </comment>
    <comment ref="AD8" authorId="1" shapeId="0" xr:uid="{1E9BD9B3-388C-4E2C-8B8E-9445CDDF7565}">
      <text>
        <r>
          <rPr>
            <sz val="9"/>
            <color indexed="81"/>
            <rFont val="Segoe UI"/>
            <family val="2"/>
          </rPr>
          <t xml:space="preserve">ID: 90497
Label: ltg228px_q
Database: wiiw Monthly Database - Public
Status: active
Calculation: 
Calculation_M: Q-&gt;M EOP(L_ltg228px_q&gt;mdb)
Calculation_Q: Share(L_ltg228n_q&gt;mdb,L_ltg11tzn_q&gt;mdb)
Calculation_A: Share(L_ltg228n_q&gt;mdb,L_ltg11tzn_q&gt;mdb)
Periodicity: Q
Data available M: 1995m3 - 2023m9
Data available Q: 1995q1 - 2023q3
Data available A: 1995 - 2022
Text 99: 
Automatic update period: 1999|2015
Time shift: 
Note: 
Reporter: LT - Lithuania
Chapter 1: 02_NA - National accounts
Indicator: SC0221 - Exports of goods and services
Unit: 09_Share_%gdp - in % of GDP
Footnote 1:  - 
Footnote 2:  - 
Footnote 3:  - 
Footnote 4:  - 
Source 1: Z_ESTAT - Eurostat
Source 2: Z_wiiw - wiiw
Source 3:  - 
</t>
        </r>
      </text>
    </comment>
    <comment ref="AE8" authorId="1" shapeId="0" xr:uid="{0053DF48-AD5B-40CF-A1B9-BAE0B0F76AEC}">
      <text>
        <r>
          <rPr>
            <sz val="9"/>
            <color indexed="81"/>
            <rFont val="Segoe UI"/>
            <family val="2"/>
          </rPr>
          <t xml:space="preserve">ID: 90519
Label: ltg229px_q
Database: wiiw Monthly Database - Public
Status: active
Calculation: 
Calculation_M: Q-&gt;M EOP(L_ltg229px_q&gt;mdb)
Calculation_Q: Share(L_ltg229n_q&gt;mdb,L_ltg11tzn_q&gt;mdb)
Calculation_A: Share(L_ltg229n_q&gt;mdb,L_ltg11tzn_q&gt;mdb)
Periodicity: Q
Data available M: 1995m3 - 2023m9
Data available Q: 1995q1 - 2023q3
Data available A: 1995 - 2022
Text 99: 
Automatic update period: 1999|2015
Time shift: 
Note: 
Reporter: LT - Lithuania
Chapter 1: 02_NA - National accounts
Indicator: SC0222 - Imports of goods and services
Unit: 09_Share_%gdp - in % of GDP
Footnote 1:  - 
Footnote 2:  - 
Footnote 3:  - 
Footnote 4:  - 
Source 1: Z_ESTAT - Eurostat
Source 2: Z_wiiw - wiiw
Source 3:  - 
</t>
        </r>
      </text>
    </comment>
    <comment ref="AF8" authorId="1" shapeId="0" xr:uid="{D08C2B6D-4F38-4E3C-A31F-6ACD21BAD92B}">
      <text>
        <r>
          <rPr>
            <sz val="9"/>
            <color indexed="81"/>
            <rFont val="Segoe UI"/>
            <family val="2"/>
          </rPr>
          <t xml:space="preserve">ID: 89617
Label: ltfls14scx
Database: wiiw Monthly Database - Public
Status: active
Calculation: SubScal(L_ltfls14scx&gt;mdb,100)
Calculation_M: CPPY=100(L_ltfls14e&gt;mdb)
Calculation_Q: M-&gt;Q EOP(L_ltfls14scx&gt;mdb)
Calculation_A: Q-&gt;A EOP(L_ltfls14scx&gt;mdb)
Periodicity: Q
Data available M: 1995m1 - 2023m11
Data available Q: 1995q1 - 2023q3
Data available A: 1995 - 2022
Text 99: 
Automatic update period: 1999|2015
Time shift: 
Note: 
Reporter: LT - Lithuania
Chapter 1: 10_DF - Domestic finance
Indicator: SC1066 - Loans households (S14)
Unit: 04_Inom_32 - index nominal, corresponding period of previous year = 100
Footnote 1:  - 
Footnote 2:  - 
Footnote 3:  - 
Footnote 4:  - 
Source 1: QLT2 - Central Bank of Lithuania
Source 2: Z_wiiw - wiiw
Source 3:  - 
</t>
        </r>
      </text>
    </comment>
    <comment ref="AG8" authorId="1" shapeId="0" xr:uid="{DD7F8190-87FD-4D13-8246-7C9A75E63C86}">
      <text>
        <r>
          <rPr>
            <sz val="9"/>
            <color indexed="81"/>
            <rFont val="Segoe UI"/>
            <family val="2"/>
          </rPr>
          <t xml:space="preserve">ID: 144768
Label: ltbgdtpx_help_q
Database: wiiw Monthly Database - Hidden
Status: active
Calculation: 
Calculation_M: q-&gt;m EOP(L_ltbgdtpx_help_q&gt;mdb)
Calculation_Q: Share(L_ltbgdtn_help_q&gt;mdb,L_ltg11tnx_help_q&gt;mdb)
Calculation_A: q-&gt;a EOP(L_ltbgdtpx_help_q&gt;mdb)
Periodicity: Q
Data available M: 2000m3 - 2023m9
Data available Q: 2000q1 - 2023q3
Data available A: 2000 - 2022
Text 99: 
Automatic update period: 1999|2015
Time shift: 
Note: 
Reporter: LT - Lithuania
Chapter 1: 10_DF - Domestic finance
Indicator: SC1009 - General government gross debt, total
Unit: 09_Share_%gdp - in % of GDP
Footnote 1:  - 
Footnote 2:  - 
Footnote 3:  - 
Footnote 4:  - 
Source 1: Z_ESTAT - Eurostat
Source 2: Z_wiiw - wiiw
Source 3:  - 
</t>
        </r>
      </text>
    </comment>
    <comment ref="G101" authorId="0" shapeId="0" xr:uid="{09B1CDA0-44B9-436E-8378-CAE0CB77305A}">
      <text>
        <r>
          <rPr>
            <b/>
            <sz val="9"/>
            <color indexed="81"/>
            <rFont val="Tahoma"/>
            <family val="2"/>
          </rPr>
          <t>BJ:</t>
        </r>
        <r>
          <rPr>
            <sz val="9"/>
            <color indexed="81"/>
            <rFont val="Tahoma"/>
            <family val="2"/>
          </rPr>
          <t xml:space="preserve">
from the budget for 2022</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BJ</author>
    <author>Alexandra Bykova</author>
  </authors>
  <commentList>
    <comment ref="B1" authorId="0" shapeId="0" xr:uid="{BF9CE649-6296-41C7-8F69-5543074C21D2}">
      <text>
        <r>
          <rPr>
            <b/>
            <sz val="9"/>
            <color indexed="81"/>
            <rFont val="Tahoma"/>
            <family val="2"/>
          </rPr>
          <t>BJ:</t>
        </r>
        <r>
          <rPr>
            <sz val="9"/>
            <color indexed="81"/>
            <rFont val="Tahoma"/>
            <family val="2"/>
          </rPr>
          <t xml:space="preserve">
EU 27, seasonally and calendar adjusted
Eurostat</t>
        </r>
      </text>
    </comment>
    <comment ref="C1" authorId="0" shapeId="0" xr:uid="{8820DA34-72D5-48E9-B523-A573B82E1F96}">
      <text>
        <r>
          <rPr>
            <b/>
            <sz val="9"/>
            <color indexed="81"/>
            <rFont val="Tahoma"/>
            <family val="2"/>
          </rPr>
          <t>BJ:</t>
        </r>
        <r>
          <rPr>
            <sz val="9"/>
            <color indexed="81"/>
            <rFont val="Tahoma"/>
            <family val="2"/>
          </rPr>
          <t xml:space="preserve">
Eurostat</t>
        </r>
      </text>
    </comment>
    <comment ref="D1" authorId="0" shapeId="0" xr:uid="{29713B7C-A5F6-42FC-9CEE-90BA1F0D72AC}">
      <text>
        <r>
          <rPr>
            <b/>
            <sz val="9"/>
            <color indexed="81"/>
            <rFont val="Tahoma"/>
            <family val="2"/>
          </rPr>
          <t>BJ:</t>
        </r>
        <r>
          <rPr>
            <sz val="9"/>
            <color indexed="81"/>
            <rFont val="Tahoma"/>
            <family val="2"/>
          </rPr>
          <t xml:space="preserve">
EU changing composition
Eurostat</t>
        </r>
      </text>
    </comment>
    <comment ref="E1" authorId="0" shapeId="0" xr:uid="{7F220197-CBB7-486B-936B-7C44F9C98108}">
      <text>
        <r>
          <rPr>
            <b/>
            <sz val="9"/>
            <color indexed="81"/>
            <rFont val="Tahoma"/>
            <family val="2"/>
          </rPr>
          <t>BJ:</t>
        </r>
        <r>
          <rPr>
            <sz val="9"/>
            <color indexed="81"/>
            <rFont val="Tahoma"/>
            <family val="2"/>
          </rPr>
          <t xml:space="preserve">
ECB</t>
        </r>
      </text>
    </comment>
    <comment ref="F1" authorId="0" shapeId="0" xr:uid="{11EAD58C-9ECA-4D98-88E9-9DF2F686F5CE}">
      <text>
        <r>
          <rPr>
            <b/>
            <sz val="9"/>
            <color indexed="81"/>
            <rFont val="Tahoma"/>
            <family val="2"/>
          </rPr>
          <t>BJ:</t>
        </r>
        <r>
          <rPr>
            <sz val="9"/>
            <color indexed="81"/>
            <rFont val="Tahoma"/>
            <family val="2"/>
          </rPr>
          <t xml:space="preserve">
Crude oil, average, from WB pink sheets</t>
        </r>
      </text>
    </comment>
    <comment ref="G1" authorId="0" shapeId="0" xr:uid="{E7C779D1-2863-4271-85A5-44604766ADC4}">
      <text>
        <r>
          <rPr>
            <sz val="9"/>
            <color indexed="81"/>
            <rFont val="Tahoma"/>
            <family val="2"/>
          </rPr>
          <t>General gov, nominal yoy growth, in NCU
wiiw</t>
        </r>
      </text>
    </comment>
    <comment ref="H1" authorId="0" shapeId="0" xr:uid="{41BC1ABF-2D8A-44D9-B089-63D2C8F597BD}">
      <text>
        <r>
          <rPr>
            <b/>
            <sz val="9"/>
            <color indexed="81"/>
            <rFont val="Tahoma"/>
            <family val="2"/>
          </rPr>
          <t>BJ:</t>
        </r>
        <r>
          <rPr>
            <sz val="9"/>
            <color indexed="81"/>
            <rFont val="Tahoma"/>
            <family val="2"/>
          </rPr>
          <t xml:space="preserve">
General gov. budget - revenues NCU m (incl. 'euro fixed' series)
wiiw</t>
        </r>
      </text>
    </comment>
    <comment ref="I1" authorId="0" shapeId="0" xr:uid="{3DA4F359-8192-4D8F-A592-7A2B25B61599}">
      <text>
        <r>
          <rPr>
            <b/>
            <sz val="9"/>
            <color indexed="81"/>
            <rFont val="Tahoma"/>
            <family val="2"/>
          </rPr>
          <t>BJ:</t>
        </r>
        <r>
          <rPr>
            <sz val="9"/>
            <color indexed="81"/>
            <rFont val="Tahoma"/>
            <family val="2"/>
          </rPr>
          <t xml:space="preserve">
General gov. budget - balance
 in % of GDP
wiiw</t>
        </r>
      </text>
    </comment>
    <comment ref="J1" authorId="0" shapeId="0" xr:uid="{EF9697DB-88E5-4055-B72D-33A03C630491}">
      <text>
        <r>
          <rPr>
            <b/>
            <sz val="9"/>
            <color indexed="81"/>
            <rFont val="Tahoma"/>
            <family val="2"/>
          </rPr>
          <t>BJ:</t>
        </r>
        <r>
          <rPr>
            <sz val="9"/>
            <color indexed="81"/>
            <rFont val="Tahoma"/>
            <family val="2"/>
          </rPr>
          <t xml:space="preserve">
For all GDP: 
NCU m, 2015 reference prices (prev. year prices, incl. 'euro fixed' series)
wiiw</t>
        </r>
      </text>
    </comment>
    <comment ref="K1" authorId="0" shapeId="0" xr:uid="{52F8C4C4-EF82-4395-AE9C-D92250970EB2}">
      <text>
        <r>
          <rPr>
            <b/>
            <sz val="9"/>
            <color indexed="81"/>
            <rFont val="Tahoma"/>
            <family val="2"/>
          </rPr>
          <t>BJ:</t>
        </r>
        <r>
          <rPr>
            <sz val="9"/>
            <color indexed="81"/>
            <rFont val="Tahoma"/>
            <family val="2"/>
          </rPr>
          <t xml:space="preserve">
Households + NPISH
Only Households</t>
        </r>
      </text>
    </comment>
    <comment ref="M1" authorId="0" shapeId="0" xr:uid="{4F891E4D-B580-44EE-90C6-61B147708A54}">
      <text>
        <r>
          <rPr>
            <b/>
            <sz val="9"/>
            <color indexed="81"/>
            <rFont val="Tahoma"/>
            <family val="2"/>
          </rPr>
          <t>BJ:</t>
        </r>
        <r>
          <rPr>
            <sz val="9"/>
            <color indexed="81"/>
            <rFont val="Tahoma"/>
            <family val="2"/>
          </rPr>
          <t xml:space="preserve">
Gross capital formation</t>
        </r>
      </text>
    </comment>
    <comment ref="P1" authorId="0" shapeId="0" xr:uid="{52B01CCF-3031-46FA-8D08-D61DAC43AC85}">
      <text>
        <r>
          <rPr>
            <b/>
            <sz val="9"/>
            <color indexed="81"/>
            <rFont val="Tahoma"/>
            <family val="2"/>
          </rPr>
          <t>Employment, LFS, thousand persons
wiiw</t>
        </r>
      </text>
    </comment>
    <comment ref="Q1" authorId="0" shapeId="0" xr:uid="{C0BB5012-EE02-4C59-9C89-208C81B1E22B}">
      <text>
        <r>
          <rPr>
            <b/>
            <sz val="9"/>
            <color indexed="81"/>
            <rFont val="Tahoma"/>
            <family val="2"/>
          </rPr>
          <t>Unemployment, LFS, thousand persons
wiiw</t>
        </r>
      </text>
    </comment>
    <comment ref="R1" authorId="0" shapeId="0" xr:uid="{6EC8192B-5E91-41B7-A0BD-9F3E6DE7C9E2}">
      <text>
        <r>
          <rPr>
            <b/>
            <sz val="9"/>
            <color indexed="81"/>
            <rFont val="Tahoma"/>
            <family val="2"/>
          </rPr>
          <t>Unemployment, LFS, in %
wiiw</t>
        </r>
      </text>
    </comment>
    <comment ref="S1" authorId="0" shapeId="0" xr:uid="{3E02E789-FBF1-4247-8090-34196B2F1049}">
      <text>
        <r>
          <rPr>
            <sz val="9"/>
            <color indexed="81"/>
            <rFont val="Tahoma"/>
            <family val="2"/>
          </rPr>
          <t>Average monthly gross wages total, 
national currency (incl. 'euro fixed' series), yoy growth
wiiw</t>
        </r>
      </text>
    </comment>
    <comment ref="T1" authorId="0" shapeId="0" xr:uid="{6867811D-156B-46D0-88A6-7584E2283C47}">
      <text>
        <r>
          <rPr>
            <b/>
            <sz val="9"/>
            <color indexed="81"/>
            <rFont val="Tahoma"/>
            <family val="2"/>
          </rPr>
          <t>BJ:</t>
        </r>
        <r>
          <rPr>
            <sz val="9"/>
            <color indexed="81"/>
            <rFont val="Tahoma"/>
            <family val="2"/>
          </rPr>
          <t xml:space="preserve">
Central bank policy rate, nominal
wiiw</t>
        </r>
      </text>
    </comment>
    <comment ref="U1" authorId="0" shapeId="0" xr:uid="{4DEA3F20-F5F7-44DE-89F0-D3626B7041EC}">
      <text>
        <r>
          <rPr>
            <b/>
            <sz val="9"/>
            <color indexed="81"/>
            <rFont val="Tahoma"/>
            <family val="2"/>
          </rPr>
          <t>BJ:</t>
        </r>
        <r>
          <rPr>
            <sz val="9"/>
            <color indexed="81"/>
            <rFont val="Tahoma"/>
            <family val="2"/>
          </rPr>
          <t xml:space="preserve">
Consumer prices index, monthly average, 2015 = 100
wiiw</t>
        </r>
      </text>
    </comment>
    <comment ref="V1" authorId="0" shapeId="0" xr:uid="{ABFB237E-1166-48F7-B906-EEC7281F6BD5}">
      <text>
        <r>
          <rPr>
            <b/>
            <sz val="9"/>
            <color indexed="81"/>
            <rFont val="Tahoma"/>
            <family val="2"/>
          </rPr>
          <t>BJ:</t>
        </r>
        <r>
          <rPr>
            <sz val="9"/>
            <color indexed="81"/>
            <rFont val="Tahoma"/>
            <family val="2"/>
          </rPr>
          <t xml:space="preserve">
Exchange rate nominal NCU/EUR, period average
wiiw</t>
        </r>
      </text>
    </comment>
    <comment ref="W1" authorId="0" shapeId="0" xr:uid="{AB9FE347-BCBD-469D-B1F2-65A8171498C1}">
      <text>
        <r>
          <rPr>
            <b/>
            <sz val="9"/>
            <color indexed="81"/>
            <rFont val="Tahoma"/>
            <family val="2"/>
          </rPr>
          <t>BJ:</t>
        </r>
        <r>
          <rPr>
            <sz val="9"/>
            <color indexed="81"/>
            <rFont val="Tahoma"/>
            <family val="2"/>
          </rPr>
          <t xml:space="preserve">
 Industrial output (BCD - NACE Rev. 2), index real, monthly average, 2015 = 100, yoy growth
wiiw</t>
        </r>
      </text>
    </comment>
    <comment ref="X1" authorId="0" shapeId="0" xr:uid="{C173195F-0EDE-45B9-97B3-BC304798C32D}">
      <text>
        <r>
          <rPr>
            <b/>
            <sz val="9"/>
            <color indexed="81"/>
            <rFont val="Tahoma"/>
            <family val="2"/>
          </rPr>
          <t>BJ:</t>
        </r>
        <r>
          <rPr>
            <sz val="9"/>
            <color indexed="81"/>
            <rFont val="Tahoma"/>
            <family val="2"/>
          </rPr>
          <t xml:space="preserve">
Exports total, fob EUR m, yoy growth
wiiw
Alexandra: changed to BOP: exports of goods and services</t>
        </r>
      </text>
    </comment>
    <comment ref="Y1" authorId="0" shapeId="0" xr:uid="{5FE8D9B0-1887-4F99-A915-A48AF7B55F36}">
      <text>
        <r>
          <rPr>
            <b/>
            <sz val="9"/>
            <color indexed="81"/>
            <rFont val="Tahoma"/>
            <family val="2"/>
          </rPr>
          <t>BJ:</t>
        </r>
        <r>
          <rPr>
            <sz val="9"/>
            <color indexed="81"/>
            <rFont val="Tahoma"/>
            <family val="2"/>
          </rPr>
          <t xml:space="preserve">
 Imports total, cif EUR m
wiiw
Alexandra: changed to BOP: imports of goods and services</t>
        </r>
      </text>
    </comment>
    <comment ref="Z1" authorId="0" shapeId="0" xr:uid="{27EA424C-20AE-4E87-9B44-B52F26F94FE6}">
      <text>
        <r>
          <rPr>
            <b/>
            <sz val="9"/>
            <color indexed="81"/>
            <rFont val="Tahoma"/>
            <family val="2"/>
          </rPr>
          <t>BJ:</t>
        </r>
        <r>
          <rPr>
            <sz val="9"/>
            <color indexed="81"/>
            <rFont val="Tahoma"/>
            <family val="2"/>
          </rPr>
          <t xml:space="preserve">
Current account in % of GDP
wiiw</t>
        </r>
      </text>
    </comment>
    <comment ref="AA1" authorId="0" shapeId="0" xr:uid="{0F0C1697-75AA-4863-AD85-D02B07B0F87C}">
      <text>
        <r>
          <rPr>
            <b/>
            <sz val="9"/>
            <color indexed="81"/>
            <rFont val="Tahoma"/>
            <family val="2"/>
          </rPr>
          <t>BJ:</t>
        </r>
        <r>
          <rPr>
            <sz val="9"/>
            <color indexed="81"/>
            <rFont val="Tahoma"/>
            <family val="2"/>
          </rPr>
          <t xml:space="preserve">
Households + NPISH</t>
        </r>
      </text>
    </comment>
    <comment ref="AC1" authorId="0" shapeId="0" xr:uid="{0E35E1B7-62F2-415C-9FA3-92F89AC4C470}">
      <text>
        <r>
          <rPr>
            <b/>
            <sz val="9"/>
            <color indexed="81"/>
            <rFont val="Tahoma"/>
            <family val="2"/>
          </rPr>
          <t>BJ:</t>
        </r>
        <r>
          <rPr>
            <sz val="9"/>
            <color indexed="81"/>
            <rFont val="Tahoma"/>
            <family val="2"/>
          </rPr>
          <t xml:space="preserve">
Gross capital formation</t>
        </r>
      </text>
    </comment>
    <comment ref="AF1" authorId="0" shapeId="0" xr:uid="{69AD9BB6-4620-4044-87EE-DB58813D83F2}">
      <text>
        <r>
          <rPr>
            <b/>
            <sz val="9"/>
            <color indexed="81"/>
            <rFont val="Tahoma"/>
            <family val="2"/>
          </rPr>
          <t>BJ:</t>
        </r>
        <r>
          <rPr>
            <sz val="9"/>
            <color indexed="81"/>
            <rFont val="Tahoma"/>
            <family val="2"/>
          </rPr>
          <t xml:space="preserve">
loans to households, nominal, yoy growth rates</t>
        </r>
      </text>
    </comment>
    <comment ref="B8" authorId="1" shapeId="0" xr:uid="{09528A51-D969-4D66-9A93-A2BA5744D415}">
      <text>
        <r>
          <rPr>
            <sz val="9"/>
            <color indexed="81"/>
            <rFont val="Segoe UI"/>
            <family val="2"/>
          </rPr>
          <t xml:space="preserve">ID: 144396
Label: eug11tscrx_q
Database: wiiw Monthly Database - Hidden
Status: active
Calculation: 
Calculation_M: SubScal(L_eug11tscx_q&gt;mdb,100)
Calculation_Q: SubScal(L_eug11tscx_q&gt;mdb,100)
Calculation_A: SubScal(L_eug11tscx_q&gt;mdb,100)
Periodicity: Q
Data available M: 1996m3 - 2023m9
Data available Q: 1996q1 - 2023q3
Data available A: 1996 - 2022
Text 99: 
Automatic update period: 1999|2015
Time shift: 
Note: 
Reporter: EU27_2020 - EU - 27 countries (from 2020)
Chapter 1: 02_NA - National accounts
Indicator: SC0201 - Gross domestic product total
Unit: 05_Ireal_36 - real growth rate to corresponding period of previous year in %
Footnote 1: FZZ05 - According to ESA'10.
Footnote 2:  - 
Footnote 3:  - 
Footnote 4:  - 
Source 1: Z_ESTAT - Eurostat
Source 2: Z_wiiw - wiiw
Source 3:  - 
</t>
        </r>
      </text>
    </comment>
    <comment ref="C8" authorId="1" shapeId="0" xr:uid="{2AF1D162-72BD-47AD-9E50-5BB7E7AE21AE}">
      <text>
        <r>
          <rPr>
            <sz val="9"/>
            <color indexed="81"/>
            <rFont val="Segoe UI"/>
            <family val="2"/>
          </rPr>
          <t xml:space="preserve">ID: 77811
Label: eup1p1tsa
Database: wiiw Monthly Database - Hidden
Status: active
Calculation: 
Calculation_M: 
Calculation_Q: m-&gt;q AVG(L_eup1p1tsa&gt;mdb)
Calculation_A: q-&gt;a AVG(L_eup1p1tsa&gt;mdb)
Periodicity: Q
Data available M: 1999m1 - 2023m12
Data available Q: 1999q1 - 2023q4
Data available A: 1999 - 2023
Text 99: 
Automatic update period: 1999|2015
Time shift: 
Note: 
Reporter: EU - European Union evolutionary
Chapter 1: 07_PRC - Prices
Indicator: SC0701 - Consumer prices
Unit: 03_I_1_085_15avg - index, monthly average, 2015 = 100
Footnote 1: FZZ40 - Based on HICP (Harmonized Index of Consumer Prices).
Footnote 2:  - 
Footnote 3:  - 
Footnote 4:  - 
Source 1: Z_ESTAT - Eurostat
Source 2:  - 
Source 3:  - 
</t>
        </r>
      </text>
    </comment>
    <comment ref="D8" authorId="1" shapeId="0" xr:uid="{1E0184E6-ED18-4336-BE68-EC785B0220CD}">
      <text>
        <r>
          <rPr>
            <sz val="9"/>
            <color indexed="81"/>
            <rFont val="Segoe UI"/>
            <family val="2"/>
          </rPr>
          <t xml:space="preserve">ID: 77812
Label: eup1p1tscx
Database: wiiw Monthly Database - Hidden
Status: active
Calculation: SubScal(L_eup1p1tscx&gt;mdb,100)
Calculation_M: CPPY=100(L_eup1p1tsa&gt;mdb)
Calculation_Q: CPPY=100(L_eup1p1tsa&gt;mdb)
Calculation_A: CPPY=100(L_eup1p1tsa&gt;mdb)
Periodicity: Q
Data available M: 1992m1 - 2023m12
Data available Q: 1992q1 - 2023q4
Data available A: 1992 - 2023
Text 99: 
Automatic update period: 1999|2015
Time shift: 
Note: 
Reporter: EU - European Union evolutionary
Chapter 1: 07_PRC - Prices
Indicator: SC0701 - Consumer prices
Unit: 03_I_32 - index, corresponding period of previous year = 100
Footnote 1: FZZ40 - Based on HICP (Harmonized Index of Consumer Prices).
Footnote 2:  - 
Footnote 3:  - 
Footnote 4:  - 
Source 1: Z_ESTAT - Eurostat
Source 2: Z_wiiw - wiiw
Source 3:  - 
</t>
        </r>
      </text>
    </comment>
    <comment ref="E8" authorId="1" shapeId="0" xr:uid="{B96BAAD5-1AA3-49B2-A64E-8C9E05C35CC8}">
      <text>
        <r>
          <rPr>
            <sz val="9"/>
            <color indexed="81"/>
            <rFont val="Segoe UI"/>
            <family val="2"/>
          </rPr>
          <t xml:space="preserve">ID: 144399
Label: eafrr1tp_help
Database: wiiw Monthly Database - Hidden
Status: active
Calculation: 
Calculation_M: L_eafrr1tp&gt;mdb
Calculation_Q: m-&gt;q AVG(L_eafrr1tp&gt;mdb)
Calculation_A: q-&gt;a AVG(L_eafrr1tp&gt;mdb)
Periodicity: Q
Data available M: 1999m1 - 2023m12
Data available Q: 1999q1 - 2023q4
Data available A: 1999 - 2023
Text 99: 
Automatic update period: 1999|2015
Time shift: 
Note: 
Reporter: EA - Euro area evolutionary
Chapter 1: 10_DF - Domestic finance
Indicator: SC1050 - Central bank policy rate
Unit: 06_IntR_6 - % p.a., period average
Footnote 1: FZZ50 - Official refinancing operation rates for euro area (ECB), rate in fixed rate tenders (between June 2000 and September 2008 the minimum bid rate in variable rate tenders was applied).
Footnote 2:  - 
Footnote 3:  - 
Footnote 4:  - 
Source 1: Z_ECB - European Central Bank
Source 2:  - 
Source 3:  - 
</t>
        </r>
      </text>
    </comment>
    <comment ref="F8" authorId="1" shapeId="0" xr:uid="{435B4B53-2DC9-4C2C-ADCE-8EB864E01516}">
      <text>
        <r>
          <rPr>
            <sz val="9"/>
            <color indexed="81"/>
            <rFont val="Segoe UI"/>
            <family val="2"/>
          </rPr>
          <t xml:space="preserve">ID: 101874
Label: usp2oila
Database: wiiw Monthly Database - Hidden
Status: active
Calculation: 
Calculation_M: 
Calculation_Q: M-&gt;Q AVG(L_usp2oila&gt;mdb)
Calculation_A: Q-&gt;A AVG(L_usp2oila&gt;mdb)
Periodicity: Q
Data available M: 1990m1 - 2023m12
Data available Q: 1990q1 - 2023q4
Data available A: 1990 - 2023
Text 99: 
Automatic update period: 1999|2015
Time shift: 
Note: Oil prices  &amp; Europe Brent Spot Price FOB (Dollars per Barrel) &amp; EIA (US) Source of the data. Gespeichert auf die EU&amp;US Karten.
Reporter: US - United States
Chapter 1: 11_FF - Foreign finance
Indicator:  - 
Unit:  - 
Footnote 1:  - 
Footnote 2:  - 
Footnote 3:  - 
Footnote 4:  - 
Source 1:  - 
Source 2:  - 
Source 3:  - 
</t>
        </r>
      </text>
    </comment>
    <comment ref="G8" authorId="1" shapeId="0" xr:uid="{CF6897FE-5CDE-4EAC-AC63-13E574F5DAA4}">
      <text>
        <r>
          <rPr>
            <sz val="9"/>
            <color indexed="81"/>
            <rFont val="Segoe UI"/>
            <family val="2"/>
          </rPr>
          <t xml:space="preserve">ID: 32797
Label: lvbg21n_q
Database: wiiw Monthly Database - Public
Status: active
Calculation: SubScal(CPPY=100(L_lvbg21n_q&gt;mdb),100)
Calculation_M: q-&gt;m EOP(L_lvbg21n_q&gt;mdb)
Calculation_Q: 
Calculation_A: Q-&gt;A CUMPER(L_lvbg21n_q&gt;mdb)
Periodicity: Q
Data available M: 1999m3 - 2023m9
Data available Q: 1999q1 - 2023q3
Data available A: 1999 - 2022
Text 99: 
Automatic update period: 1999|2015
Time shift: 
Note: 
Reporter: LV - Latvia
Chapter 1: 10_DF - Domestic finance
Indicator: SC1011 - General gov. budget (ESA'10, EDP) - expenditures
Unit: 01_Curr_12 - NCU m (incl. 'euro fixed' series)
Footnote 1: FZZ42 - According to ESA'10 excessive deficit procedure.
Footnote 2: FLV14 - Until December 2013 time series in LVL have been divided by the conversion factor 0.702804 (LVL per EUR) to EUR-LVL.
Footnote 3:  - 
Footnote 4:  - 
Source 1: Z_ESTAT - Eurostat
Source 2:  - 
Source 3:  - 
</t>
        </r>
      </text>
    </comment>
    <comment ref="H8" authorId="1" shapeId="0" xr:uid="{E2C78656-D663-4826-B2D2-279A11109C89}">
      <text>
        <r>
          <rPr>
            <sz val="9"/>
            <color indexed="81"/>
            <rFont val="Segoe UI"/>
            <family val="2"/>
          </rPr>
          <t xml:space="preserve">ID: 32796
Label: lvbg11n_q
Database: wiiw Monthly Database - Public
Status: active
Calculation: SubScal(CPPY=100(L_lvbg11n_q&gt;mdb),100)
Calculation_M: q-&gt;m EOP(L_lvbg11n_q&gt;mdb)
Calculation_Q: 
Calculation_A: Q-&gt;A CUMPER(L_lvbg11n_q&gt;mdb)
Periodicity: Q
Data available M: 1999m3 - 2023m9
Data available Q: 1999q1 - 2023q3
Data available A: 1999 - 2022
Text 99: 
Automatic update period: 1999|2015
Time shift: 
Note: 
Reporter: LV - Latvia
Chapter 1: 10_DF - Domestic finance
Indicator: SC1010 - General gov. budget (ESA'10, EDP) - revenues
Unit: 01_Curr_12 - NCU m (incl. 'euro fixed' series)
Footnote 1: FZZ42 - According to ESA'10 excessive deficit procedure.
Footnote 2: FLV14 - Until December 2013 time series in LVL have been divided by the conversion factor 0.702804 (LVL per EUR) to EUR-LVL.
Footnote 3:  - 
Footnote 4:  - 
Source 1: Z_ESTAT - Eurostat
Source 2:  - 
Source 3:  - 
</t>
        </r>
      </text>
    </comment>
    <comment ref="I8" authorId="1" shapeId="0" xr:uid="{3F76A77C-CC10-4679-A374-9A99AE3BC69B}">
      <text>
        <r>
          <rPr>
            <sz val="9"/>
            <color indexed="81"/>
            <rFont val="Segoe UI"/>
            <family val="2"/>
          </rPr>
          <t xml:space="preserve">ID: 89168
Label: lvbg31px_q
Database: wiiw Monthly Database - Public
Status: active
Calculation: 
Calculation_M: Q-&gt;M EOP(L_lvbg31px_q&gt;mdb)
Calculation_Q: Share(L_lvbg31nx_q&gt;mdb,L_lvg11tn_q&gt;mdb)
Calculation_A: Share(L_lvbg31nx_q&gt;mdb,L_lvg11tn_q&gt;mdb)
Periodicity: Q
Data available M: 1999m3 - 2023m9
Data available Q: 1999q1 - 2023q3
Data available A: 1999 - 2022
Text 99: 
Automatic update period: 1999|2015
Time shift: 
Note: 
Reporter: LV - Latvia
Chapter 1: 10_DF - Domestic finance
Indicator: SC1012 - General gov. budget (ESA'10, EDP) - balance
Unit: 09_Share_%gdp - in % of GDP
Footnote 1: FZZ42 - According to ESA'10 excessive deficit procedure.
Footnote 2:  - 
Footnote 3:  - 
Footnote 4:  - 
Source 1: Z_ESTAT - Eurostat
Source 2: Z_wiiw - wiiw
Source 3:  - 
</t>
        </r>
      </text>
    </comment>
    <comment ref="J8" authorId="1" shapeId="0" xr:uid="{26FE6874-8D08-4F24-AB95-77C4DBEFEE15}">
      <text>
        <r>
          <rPr>
            <sz val="9"/>
            <color indexed="81"/>
            <rFont val="Segoe UI"/>
            <family val="2"/>
          </rPr>
          <t xml:space="preserve">ID: 88648
Label: lvg11tr15_q
Database: wiiw Monthly Database - Public
Status: active
Calculation: SubScal(CPPY=100(L_lvg11tr15_q&gt;mdb),100)
Calculation_M: q-&gt;m EOP(L_lvg11tr15_q&gt;mdb)
Calculation_Q: 
Calculation_A: q-&gt;a CumPer(L_lvg11tr15_q&gt;mdb)
Periodicity: Q
Data available M: 1995m3 - 2023m9
Data available Q: 1995q1 - 2023q3
Data available A: 1995 - 2022
Text 99: 
Automatic update period: 1999|2015
Time shift: 
Note: 
Reporter: LV - Latvia
Chapter 1: 02_NA - National accounts
Indicator: SC0201 - Gross domestic product total
Unit: 01_Curr_15_085_15_r - NCU m, 2015 reference prices (prev. year prices, incl. 'euro fixed' series)
Footnote 1: FZZ05 - According to ESA'10.
Footnote 2:  - 
Footnote 3:  - 
Footnote 4:  - 
Source 1: Z_ESTAT - Eurostat
Source 2:  - 
Source 3:  - 
</t>
        </r>
      </text>
    </comment>
    <comment ref="K8" authorId="1" shapeId="0" xr:uid="{36B6691D-02A2-41EC-8975-3719CB256734}">
      <text>
        <r>
          <rPr>
            <sz val="9"/>
            <color indexed="81"/>
            <rFont val="Segoe UI"/>
            <family val="2"/>
          </rPr>
          <t xml:space="preserve">ID: 90872
Label: lvg222r15_q
Database: wiiw Monthly Database - Public
Status: active
Calculation: SubScal(CPPY=100(L_lvg222r15_q&gt;mdb),100)
Calculation_M: q-&gt;m EOP(L_lvg222r15_q&gt;mdb)
Calculation_Q: 
Calculation_A: q-&gt;a CumPer(L_lvg222r15_q&gt;mdb)
Periodicity: Q
Data available M: 1995m3 - 2023m9
Data available Q: 1995q1 - 2023q3
Data available A: 1995 - 2022
Text 99: 
Automatic update period: 1999|2015
Time shift: 
Note: 
Reporter: LV - Latvia
Chapter 1: 02_NA - National accounts
Indicator: SC0212 - Household final consumption expenditure
Unit: 01_Curr_15_085_15_r - NCU m, 2015 reference prices (prev. year prices, incl. 'euro fixed' series)
Footnote 1:  - 
Footnote 2:  - 
Footnote 3:  - 
Footnote 4:  - 
Source 1: Z_ESTAT - Eurostat
Source 2:  - 
Source 3:  - 
</t>
        </r>
      </text>
    </comment>
    <comment ref="L8" authorId="1" shapeId="0" xr:uid="{83FB9FBF-BABD-4502-A183-6FE8DECAFD38}">
      <text>
        <r>
          <rPr>
            <sz val="9"/>
            <color indexed="81"/>
            <rFont val="Segoe UI"/>
            <family val="2"/>
          </rPr>
          <t xml:space="preserve">ID: 90916
Label: lvg223r15_q
Database: wiiw Monthly Database - Public
Status: active
Calculation: SubScal(CPPY=100(L_lvg223r15_q&gt;mdb),100)
Calculation_M: q-&gt;m EOP(L_lvg223r15_q&gt;mdb)
Calculation_Q: 
Calculation_A: q-&gt;a CumPer(L_lvg223r15_q&gt;mdb)
Periodicity: Q
Data available M: 1995m3 - 2023m9
Data available Q: 1995q1 - 2023q3
Data available A: 1995 - 2022
Text 99: 
Automatic update period: 1999|2015
Time shift: 
Note: 
Reporter: LV - Latvia
Chapter 1: 02_NA - National accounts
Indicator: SC0214 - Government final consumption expenditure
Unit: 01_Curr_15_085_15_r - NCU m, 2015 reference prices (prev. year prices, incl. 'euro fixed' series)
Footnote 1:  - 
Footnote 2:  - 
Footnote 3:  - 
Footnote 4:  - 
Source 1: Z_ESTAT - Eurostat
Source 2:  - 
Source 3:  - 
</t>
        </r>
      </text>
    </comment>
    <comment ref="M8" authorId="1" shapeId="0" xr:uid="{29A37C7E-06EC-4446-BADA-47F13E6B7894}">
      <text>
        <r>
          <rPr>
            <sz val="9"/>
            <color indexed="81"/>
            <rFont val="Segoe UI"/>
            <family val="2"/>
          </rPr>
          <t xml:space="preserve">ID: 90938
Label: lvg224r15_q
Database: wiiw Monthly Database - Public
Status: active
Calculation: SubScal(CPPY=100(L_lvg224r15_q&gt;mdb),100)
Calculation_M: q-&gt;m EOP(L_lvg224r15_q&gt;mdb)
Calculation_Q: 
Calculation_A: q-&gt;a CumPer(L_lvg224r15_q&gt;mdb)
Periodicity: Q
Data available M: 1995m3 - 2023m9
Data available Q: 1995q1 - 2023q3
Data available A: 1995 - 2022
Text 99: 
Automatic update period: 1999|2015
Time shift: 
Note: 
Reporter: LV - Latvia
Chapter 1: 02_NA - National accounts
Indicator: SC0217 - Gross capital formation
Unit: 01_Curr_15_085_15_r - NCU m, 2015 reference prices (prev. year prices, incl. 'euro fixed' series)
Footnote 1:  - 
Footnote 2:  - 
Footnote 3:  - 
Footnote 4:  - 
Source 1: Z_ESTAT - Eurostat
Source 2:  - 
Source 3:  - 
</t>
        </r>
      </text>
    </comment>
    <comment ref="N8" authorId="1" shapeId="0" xr:uid="{6F147BF3-1C7D-4DAB-B28B-5B29A39221E4}">
      <text>
        <r>
          <rPr>
            <sz val="9"/>
            <color indexed="81"/>
            <rFont val="Segoe UI"/>
            <family val="2"/>
          </rPr>
          <t xml:space="preserve">ID: 90982
Label: lvg228r15_q
Database: wiiw Monthly Database - Public
Status: active
Calculation: SubScal(CPPY=100(L_lvg228r15_q&gt;mdb),100)
Calculation_M: q-&gt;m EOP(L_lvg228r15_q&gt;mdb)
Calculation_Q: 
Calculation_A: q-&gt;a CumPer(L_lvg228r15_q&gt;mdb)
Periodicity: Q
Data available M: 1995m3 - 2023m9
Data available Q: 1995q1 - 2023q3
Data available A: 1995 - 2022
Text 99: 
Automatic update period: 1999|2015
Time shift: 
Note: 
Reporter: LV - Latvia
Chapter 1: 02_NA - National accounts
Indicator: SC0221 - Exports of goods and services
Unit: 01_Curr_15_085_15_r - NCU m, 2015 reference prices (prev. year prices, incl. 'euro fixed' series)
Footnote 1:  - 
Footnote 2:  - 
Footnote 3:  - 
Footnote 4:  - 
Source 1: Z_ESTAT - Eurostat
Source 2:  - 
Source 3:  - 
</t>
        </r>
      </text>
    </comment>
    <comment ref="O8" authorId="1" shapeId="0" xr:uid="{82605793-211A-4516-AD9F-59E7C34CBF00}">
      <text>
        <r>
          <rPr>
            <sz val="9"/>
            <color indexed="81"/>
            <rFont val="Segoe UI"/>
            <family val="2"/>
          </rPr>
          <t xml:space="preserve">ID: 91004
Label: lvg229r15_q
Database: wiiw Monthly Database - Public
Status: active
Calculation: SubScal(CPPY=100(L_lvg229r15_q&gt;mdb),100)
Calculation_M: q-&gt;m EOP(L_lvg229r15_q&gt;mdb)
Calculation_Q: 
Calculation_A: q-&gt;a CumPer(L_lvg229r15_q&gt;mdb)
Periodicity: Q
Data available M: 1995m3 - 2023m9
Data available Q: 1995q1 - 2023q3
Data available A: 1995 - 2022
Text 99: 
Automatic update period: 1999|2015
Time shift: 
Note: 
Reporter: LV - Latvia
Chapter 1: 02_NA - National accounts
Indicator: SC0222 - Imports of goods and services
Unit: 01_Curr_15_085_15_r - NCU m, 2015 reference prices (prev. year prices, incl. 'euro fixed' series)
Footnote 1:  - 
Footnote 2:  - 
Footnote 3:  - 
Footnote 4:  - 
Source 1: Z_ESTAT - Eurostat
Source 2:  - 
Source 3:  - 
</t>
        </r>
      </text>
    </comment>
    <comment ref="P8" authorId="1" shapeId="0" xr:uid="{46816DFF-F094-478D-9C8C-2066B1494508}">
      <text>
        <r>
          <rPr>
            <sz val="9"/>
            <color indexed="81"/>
            <rFont val="Segoe UI"/>
            <family val="2"/>
          </rPr>
          <t xml:space="preserve">ID: 32648
Label: lve51_ta_q
Database: wiiw Monthly Database - Public
Status: active
Calculation: 
Calculation_M: q-&gt;m EOP(L_lve51_ta_q&gt;mdb)
Calculation_Q: 
Calculation_A: q-&gt;a AVG(L_lve51_ta_q&gt;mdb)
Periodicity: Q
Data available M: 1998m6 - 2023m9
Data available Q: 1998q2 - 2023q3
Data available A: 1998 - 2022
Text 99: 
Automatic update period: 1999|2015
Time shift: 
Note: -1995-2002: national nur Jahresdaten verfügbar;2. Erhebung (s. LV-1) konnte nicht gefunden werden! &amp; -1998-2002: Halbjahresdaten EUROSTAT &amp; -2002-2004: Nationaldaten = EUROSTAT &amp; -2011 national kein Census (nicht Estat übernemen).  Laut Estat acc. to Census  &amp; 2011 Q1=835,9, Q2=858,5, Q3=875,2, Q4=876,7 &amp; Annually Grüne Werte als Durchsschnitte von verfügbaren Quartalsdaten gerechnet (AL).
Reporter: LV - Latvia
Chapter 1: 05_LAB - Labour market
Indicator: SC0501 - Employment, LFS
Unit: 02_Pers_11 - th persons, period average
Footnote 1: FZZ09 - From 2021 new methodology in line with the Integrated European Social Statistics Regulation (IESS).
Footnote 2: FLV08 - From 2012 according to census March 2011.
Footnote 3:  - 
Footnote 4:  - 
Source 1: Z_ESTAT - Eurostat
Source 2: QLV1 - Central Statistical Bureau of Latvia
Source 3:  - 
</t>
        </r>
      </text>
    </comment>
    <comment ref="Q8" authorId="1" shapeId="0" xr:uid="{DC2A1437-42C1-40AE-B241-623E8203B36E}">
      <text>
        <r>
          <rPr>
            <sz val="9"/>
            <color indexed="81"/>
            <rFont val="Segoe UI"/>
            <family val="2"/>
          </rPr>
          <t xml:space="preserve">ID: 32678
Label: lve5u_ta_q
Database: wiiw Monthly Database - Public
Status: active
Calculation: 
Calculation_M: q-&gt;m EOP(L_lve5u_ta_q&gt;mdb)
Calculation_Q: 
Calculation_A: q-&gt;a AVG(L_lve5u_ta_q&gt;mdb)
Periodicity: Q
Data available M: 1998m6 - 2023m9
Data available Q: 1998q2 - 2023q3
Data available A: 1998 - 2022
Text 99: 
Automatic update period: 1999|2015
Time shift: 
Note: -1995-2002: national nur Jahresdaten verfügbar;2. Erhebung (s. LV-1) konnte nicht gefunden werden! &amp; -1998-2002: Halbjahresdaten EUROSTAT &amp; -2002-2004: Nationaldaten = EUROSTAT &amp; -2011 national kein Census (nicht Estat übernemen). Laut Census Estat  Q1=178,9, Q2=177,3, Q3=155,4, Q4=155 &amp; Annually Grüne Werte als Durchsschnitte von verfügbaren Quartalsdaten gerechnet (AL).
Reporter: LV - Latvia
Chapter 1: 05_LAB - Labour market
Indicator: SC0507 - Unemployment, LFS
Unit: 02_Pers_11 - th persons, period average
Footnote 1: FZZ09 - From 2021 new methodology in line with the Integrated European Social Statistics Regulation (IESS).
Footnote 2: FLV08 - From 2012 according to census March 2011.
Footnote 3:  - 
Footnote 4:  - 
Source 1: Z_ESTAT - Eurostat
Source 2:  - 
Source 3:  - 
</t>
        </r>
      </text>
    </comment>
    <comment ref="R8" authorId="1" shapeId="0" xr:uid="{B5E6B20F-B6EE-4F2A-A21F-DE566175A9B2}">
      <text>
        <r>
          <rPr>
            <sz val="9"/>
            <color indexed="81"/>
            <rFont val="Segoe UI"/>
            <family val="2"/>
          </rPr>
          <t xml:space="preserve">ID: 32694
Label: lve5u_tp_q
Database: wiiw Monthly Database - Public
Status: active
Calculation: 
Calculation_M: q-&gt;m EOP(L_lve5u_tp_q&gt;mdb)
Calculation_Q: 
Calculation_A: MulScal(Div(L_lve5u_ta_q&gt;mdb,Add(L_lve5u_ta_q&gt;mdb,L_lve51_ta_q&gt;mdb)),100)
Periodicity: Q
Data available M: 1998m6 - 2023m9
Data available Q: 1998q2 - 2023q3
Data available A: 1998 - 2022
Text 99: 
Automatic update period: 1999|2015
Time shift: 
Note: -1995-2002: national nur Jahresdaten verfügbar;2. Erhebung (s. LV-1) konnte nicht gefunden werden! &amp; -1998-2002: Halbjahresdaten EUROSTAT &amp; -2002-2004: Nationaldaten = EUROSTAT &amp; 2011 national kein Census (nicht Estat übernemen). Laut Census Estat 2011 Q1=17,6, Q2=17,1, Q3=15,1, Q4=15.0
Reporter: LV - Latvia
Chapter 1: 05_LAB - Labour market
Indicator: SC0508 - Unemployment rate, LFS
Unit: 02_Pers_21 - in %, period average
Footnote 1: FZZ09 - From 2021 new methodology in line with the Integrated European Social Statistics Regulation (IESS).
Footnote 2: FLV08 - From 2012 according to census March 2011.
Footnote 3:  - 
Footnote 4:  - 
Source 1: Z_ESTAT - Eurostat
Source 2:  - 
Source 3:  - 
</t>
        </r>
      </text>
    </comment>
    <comment ref="S8" authorId="1" shapeId="0" xr:uid="{82A506E6-17A6-45C1-BFF6-8771BFD08040}">
      <text>
        <r>
          <rPr>
            <sz val="9"/>
            <color indexed="81"/>
            <rFont val="Segoe UI"/>
            <family val="2"/>
          </rPr>
          <t xml:space="preserve">ID: 58144
Label: lvw11_tccx
Database: wiiw Monthly Database - Public
Status: active
Calculation: SubScal(L_lvw11_tccx&gt;mdb,100)
Calculation_M: CPPY=100(L_lvw11_tn&gt;mdb)
Calculation_Q: CPPY=100(L_lvw11_tn&gt;mdb)
Calculation_A: CPPY=100(L_lvw11_tn&gt;mdb)
Periodicity: Q
Data available M: 1998m1 - 2023m9
Data available Q: 1994q1 - 2023q3
Data available A: 1998 - 2022
Text 99: 
Automatic update period: 1999|2015
Time shift: 
Note: In 2009: NACE 1 = NACE 2 - no impact on growth rates.
Reporter: LV - Latvia
Chapter 1: 06_WS - Wages
Indicator: SC0601 - Average monthly gross wages total
Unit: 04_Inom_32 - index nominal, corresponding period of previous year = 100
Footnote 1:  - 
Footnote 2:  - 
Footnote 3:  - 
Footnote 4:  - 
Source 1: QLV1 - Central Statistical Bureau of Latvia
Source 2: Z_wiiw - wiiw
Source 3:  - 
</t>
        </r>
      </text>
    </comment>
    <comment ref="T8" authorId="1" shapeId="0" xr:uid="{66523450-1321-436D-B41B-4A6440F6E959}">
      <text>
        <r>
          <rPr>
            <sz val="9"/>
            <color indexed="81"/>
            <rFont val="Segoe UI"/>
            <family val="2"/>
          </rPr>
          <t xml:space="preserve">ID: 764
Label: lvfrr1tp
Database: wiiw Monthly Database - Public
Status: active
Calculation: 
Calculation_M: TimeSpan(L_eafrr1tp&gt;mdb,2014-)
Calculation_Q: m-&gt;q EOP(L_lvfrr1tp&gt;mdb)
Calculation_A: q-&gt;a EOP(L_lvfrr1tp&gt;mdb)
Periodicity: Q
Data available M: 1992m1 - 2023m12
Data available Q: 1992q1 - 2023q4
Data available A: 1992 - 2023
Text 99: 
Automatic update period: 1999|2015
Time shift: 
Note: ab 2000 lt. E-Stat 'off.refinan.operation rates' = refinancing rate = Refinancing rate lt. LVNB
Reporter: LV - Latvia
Chapter 1: 10_DF - Domestic finance
Indicator: SC1050 - Central bank policy rate
Unit: 06_IntR_1 - % p.a., end of period
Footnote 1: FLV03 - From January 2014 euro area official refinancing operation rate, national refinancing rate before.
Footnote 2:  - 
Footnote 3:  - 
Footnote 4:  - 
Source 1: Z_ECB - European Central Bank
Source 2: QLV2 - Bank of Latvia
Source 3:  - 
</t>
        </r>
      </text>
    </comment>
    <comment ref="U8" authorId="1" shapeId="0" xr:uid="{A0078910-FD02-4643-9A0F-D84F26910E66}">
      <text>
        <r>
          <rPr>
            <sz val="9"/>
            <color indexed="81"/>
            <rFont val="Segoe UI"/>
            <family val="2"/>
          </rPr>
          <t xml:space="preserve">ID: 577
Label: lvp1p1tsa
Database: wiiw Monthly Database - Public
Status: active
Calculation: 
Calculation_M: 
Calculation_Q: m-&gt;q AVG(L_lvp1p1tsa&gt;mdb)
Calculation_A: q-&gt;a AVG(L_lvp1p1tsa&gt;mdb)
Periodicity: Q
Data available M: 1999m1 - 2023m12
Data available Q: 1999q1 - 2023q4
Data available A: 1999 - 2023
Text 99: 
Automatic update period: 1999|2015
Time shift: 
Note: 
Reporter: LV - Latvia
Chapter 1: 07_PRC - Prices
Indicator: SC0701 - Consumer prices
Unit: 03_I_1_085_15avg - index, monthly average, 2015 = 100
Footnote 1: FZZ40 - Based on HICP (Harmonized Index of Consumer Prices).
Footnote 2:  - 
Footnote 3:  - 
Footnote 4:  - 
Source 1: Z_ESTAT - Eurostat
Source 2:  - 
Source 3:  - 
</t>
        </r>
      </text>
    </comment>
    <comment ref="V8" authorId="1" shapeId="0" xr:uid="{FAB338AE-23DE-48B5-A67B-C47022B3C5E9}">
      <text>
        <r>
          <rPr>
            <sz val="9"/>
            <color indexed="81"/>
            <rFont val="Segoe UI"/>
            <family val="2"/>
          </rPr>
          <t xml:space="preserve">ID: 970
Label: lvp2xea
Database: wiiw Monthly Database - Public
Status: active
Calculation: 
Calculation_M: TimeSpan(L_mep2xea&gt;mdb,2020-)
Calculation_Q: m-&gt;q AVG(L_lvp2xea&gt;mdb)
Calculation_A: q-&gt;a AVG(L_lvp2xea&gt;mdb)
Periodicity: Q
Data available M: 1992m4 - 2024m1
Data available Q: 1992q2 - 2023q4
Data available A: 1993 - 2023
Text 99: 
Automatic update period: 1999|2015
Time shift: 
Note: 
Reporter: LV - Latvia
Chapter 1: 11_FF - Foreign finance
Indicator: SC1107 - Exchange rate nominal
Unit: 07_Exch_12 - NCU/EUR, period average
Footnote 1: FZZ21 - Up to December 1998 ECU.
Footnote 2: FLV15 - Until December 2013 EUR-LVL per EUR.
Footnote 3:  - 
Footnote 4:  - 
Source 1: Z_ESTAT - Eurostat
Source 2: QLV2 - Bank of Latvia
Source 3:  - 
</t>
        </r>
      </text>
    </comment>
    <comment ref="W8" authorId="1" shapeId="0" xr:uid="{B2058CCC-B4F5-4E8C-A58D-1C553667D363}">
      <text>
        <r>
          <rPr>
            <sz val="9"/>
            <color indexed="81"/>
            <rFont val="Segoe UI"/>
            <family val="2"/>
          </rPr>
          <t xml:space="preserve">ID: 32214
Label: lva1211tscx
Database: wiiw Monthly Database - Public
Status: active
Calculation: SubScal(L_lva1211tscx&gt;mdb,100)
Calculation_M: CPPY=100(L_lva1211tsa&gt;mdb)
Calculation_Q: CPPY=100(L_lva1211tsa&gt;mdb)
Calculation_A: CPPY=100(L_lva1211tsa&gt;mdb)
Periodicity: Q
Data available M: 2001m1 - 2023m11
Data available Q: 2001q1 - 2023q3
Data available A: 2001 - 2022
Text 99: 
Automatic update period: 1999|2015
Time shift: 
Note: 
Reporter: LV - Latvia
Chapter 1: 04_PROD - Production
Indicator: SC0401 - Industrial output (BCD - NACE Rev. 2)
Unit: 05_Ireal_32 - index real, corresponding period of previous year = 100
Footnote 1: FZZ13 - Enterprises with 20 and more employees and smaller enterprises with additional criteria.
Footnote 2:  - 
Footnote 3:  - 
Footnote 4:  - 
Source 1: Z_ESTAT - Eurostat
Source 2: Z_wiiw - wiiw
Source 3:  - 
</t>
        </r>
      </text>
    </comment>
    <comment ref="X8" authorId="1" shapeId="0" xr:uid="{5D74EE83-D292-428E-AA3F-6C978F55514B}">
      <text>
        <r>
          <rPr>
            <sz val="9"/>
            <color indexed="81"/>
            <rFont val="Segoe UI"/>
            <family val="2"/>
          </rPr>
          <t xml:space="preserve">ID: 87267
Label: lvlago2e_q
Database: wiiw Monthly Database - Hidden
Status: active
Calculation: SubScal(CPPY=100(AddNull(L_lvlago2e_q&gt;mdb,L_lvlase2e_q&gt;mdb)),100)
Calculation_M: q-&gt;m EOP(L_lvlago2e_q&gt;mdb)
Calculation_Q: 
Calculation_A: Q-&gt;A CUMPER(L_lvlago2e_q&gt;mdb)
Periodicity: Q
Data available M: 2008m3 - 2023m9
Data available Q: 2008q1 - 2023q3
Data available A: 2008 - 2022
Text 99: 
Automatic update period: 1999|2015
Time shift: 
Note: 
Reporter: LV - Latvia
Chapter 1: 11_FF - Foreign finance
Indicator: SC1111 - 1.A.a. Goods exports, fob, credit
Unit: 01_Curr_23 - EUR m
Footnote 1: FZZ80 - Based on BPM6.
Footnote 2:  - 
Footnote 3:  - 
Footnote 4:  - 
Source 1: Z_ESTAT - Eurostat
Source 2: QLV2 - Bank of Latvia
Source 3:  - 
</t>
        </r>
      </text>
    </comment>
    <comment ref="Y8" authorId="1" shapeId="0" xr:uid="{9CB18782-DB95-43A3-868F-DCBE8889A669}">
      <text>
        <r>
          <rPr>
            <sz val="9"/>
            <color indexed="81"/>
            <rFont val="Segoe UI"/>
            <family val="2"/>
          </rPr>
          <t xml:space="preserve">ID: 87304
Label: lvlago3e_q
Database: wiiw Monthly Database - Hidden
Status: active
Calculation: SubScal(CPPY=100(AddNull(L_lvlago3e_q&gt;mdb,L_lvlase3e_q&gt;mdb)),100)
Calculation_M: q-&gt;m EOP(L_lvlago3e_q&gt;mdb)
Calculation_Q: 
Calculation_A: Q-&gt;A CUMPER(L_lvlago3e_q&gt;mdb)
Periodicity: Q
Data available M: 2008m3 - 2023m9
Data available Q: 2008q1 - 2023q3
Data available A: 2008 - 2022
Text 99: 
Automatic update period: 1999|2015
Time shift: 
Note: 
Reporter: LV - Latvia
Chapter 1: 11_FF - Foreign finance
Indicator: SC1112 - 1.A.a. Goods imports, fob, debit
Unit: 01_Curr_23 - EUR m
Footnote 1: FZZ80 - Based on BPM6.
Footnote 2:  - 
Footnote 3:  - 
Footnote 4:  - 
Source 1: Z_ESTAT - Eurostat
Source 2: QLV2 - Bank of Latvia
Source 3:  - 
</t>
        </r>
      </text>
    </comment>
    <comment ref="Z8" authorId="1" shapeId="0" xr:uid="{CF7186BF-0446-4DD9-A768-CEEAB0C13A8D}">
      <text>
        <r>
          <rPr>
            <sz val="9"/>
            <color indexed="81"/>
            <rFont val="Segoe UI"/>
            <family val="2"/>
          </rPr>
          <t xml:space="preserve">ID: 88738
Label: lvlacaepx_q
Database: wiiw Monthly Database - Public
Status: active
Calculation: 
Calculation_M: Q-&gt;M EOP(L_lvlacaepx_q&gt;mdb)
Calculation_Q: Share(L_lvlacaen_q&gt;mdb,Div(L_lvg11tn_q&gt;mdb,L_lvp2xea&gt;mdb))
Calculation_A: Share(L_lvlacaen_q&gt;mdb,Div(L_lvg11tn_q&gt;mdb,L_lvp2xea&gt;mdb))
Periodicity: Q
Data available M: 1995m3 - 2023m9
Data available Q: 1995q1 - 2023q3
Data available A: 1995 - 2022
Text 99: 
Automatic update period: 1999|2015
Time shift: 
Note: 
Reporter: LV - Latvia
Chapter 1: 11_FF - Foreign finance
Indicator: SC1101 - Current account
Unit: 09_Share_%gdp - in % of GDP
Footnote 1: FZZ55 - From 2008 based on BPM6.
Footnote 2:  - 
Footnote 3:  - 
Footnote 4:  - 
Source 1: Z_ESTAT - Eurostat
Source 2: QLV2 - Bank of Latvia
Source 3: Z_wiiw - wiiw
</t>
        </r>
      </text>
    </comment>
    <comment ref="AA8" authorId="1" shapeId="0" xr:uid="{EB7A3896-8098-4BA5-9607-E6C922F1F099}">
      <text>
        <r>
          <rPr>
            <sz val="9"/>
            <color indexed="81"/>
            <rFont val="Segoe UI"/>
            <family val="2"/>
          </rPr>
          <t xml:space="preserve">ID: 90344
Label: lvg222px_q
Database: wiiw Monthly Database - Public
Status: active
Calculation: AddNull(L_lvg222px_q&gt;mdb,L_lvg22zpx_q&gt;mdb)
Calculation_M: Q-&gt;M EOP(L_lvg222px_q&gt;mdb)
Calculation_Q: Share(L_lvg222n_q&gt;mdb,L_lvg11tzn_q&gt;mdb)
Calculation_A: Share(L_lvg222n_q&gt;mdb,L_lvg11tzn_q&gt;mdb)
Periodicity: Q
Data available M: 1995m3 - 2023m9
Data available Q: 1995q1 - 2023q3
Data available A: 1995 - 2022
Text 99: 
Automatic update period: 1999|2015
Time shift: 
Note: 
Reporter: LV - Latvia
Chapter 1: 02_NA - National accounts
Indicator: SC0212 - Household final consumption expenditure
Unit: 09_Share_%gdp - in % of GDP
Footnote 1:  - 
Footnote 2:  - 
Footnote 3:  - 
Footnote 4:  - 
Source 1: Z_ESTAT - Eurostat
Source 2: Z_wiiw - wiiw
Source 3:  - 
</t>
        </r>
      </text>
    </comment>
    <comment ref="AB8" authorId="1" shapeId="0" xr:uid="{145F8723-36EC-40CD-B992-7BE97B241FE9}">
      <text>
        <r>
          <rPr>
            <sz val="9"/>
            <color indexed="81"/>
            <rFont val="Segoe UI"/>
            <family val="2"/>
          </rPr>
          <t xml:space="preserve">ID: 90388
Label: lvg223px_q
Database: wiiw Monthly Database - Public
Status: active
Calculation: 
Calculation_M: Q-&gt;M EOP(L_lvg223px_q&gt;mdb)
Calculation_Q: Share(L_lvg223n_q&gt;mdb,L_lvg11tzn_q&gt;mdb)
Calculation_A: Share(L_lvg223n_q&gt;mdb,L_lvg11tzn_q&gt;mdb)
Periodicity: Q
Data available M: 1995m3 - 2023m9
Data available Q: 1995q1 - 2023q3
Data available A: 1995 - 2022
Text 99: 
Automatic update period: 1999|2015
Time shift: 
Note: 
Reporter: LV - Latvia
Chapter 1: 02_NA - National accounts
Indicator: SC0214 - Government final consumption expenditure
Unit: 09_Share_%gdp - in % of GDP
Footnote 1:  - 
Footnote 2:  - 
Footnote 3:  - 
Footnote 4:  - 
Source 1: Z_ESTAT - Eurostat
Source 2: Z_wiiw - wiiw
Source 3:  - 
</t>
        </r>
      </text>
    </comment>
    <comment ref="AC8" authorId="1" shapeId="0" xr:uid="{D3989FCC-D520-4E82-8F2E-ED46CCC25903}">
      <text>
        <r>
          <rPr>
            <sz val="9"/>
            <color indexed="81"/>
            <rFont val="Segoe UI"/>
            <family val="2"/>
          </rPr>
          <t xml:space="preserve">ID: 90410
Label: lvg224px_q
Database: wiiw Monthly Database - Public
Status: active
Calculation: 
Calculation_M: Q-&gt;M EOP(L_lvg224px_q&gt;mdb)
Calculation_Q: Share(L_lvg224n_q&gt;mdb,L_lvg11tzn_q&gt;mdb)
Calculation_A: Share(L_lvg224n_q&gt;mdb,L_lvg11tzn_q&gt;mdb)
Periodicity: Q
Data available M: 1995m3 - 2023m9
Data available Q: 1995q1 - 2023q3
Data available A: 1995 - 2022
Text 99: 
Automatic update period: 1999|2015
Time shift: 
Note: 
Reporter: LV - Latvia
Chapter 1: 02_NA - National accounts
Indicator: SC0217 - Gross capital formation
Unit: 09_Share_%gdp - in % of GDP
Footnote 1:  - 
Footnote 2:  - 
Footnote 3:  - 
Footnote 4:  - 
Source 1: Z_ESTAT - Eurostat
Source 2: Z_wiiw - wiiw
Source 3:  - 
</t>
        </r>
      </text>
    </comment>
    <comment ref="AD8" authorId="1" shapeId="0" xr:uid="{D1A8FC10-ABE7-41C5-8845-CC84BD07B1DA}">
      <text>
        <r>
          <rPr>
            <sz val="9"/>
            <color indexed="81"/>
            <rFont val="Segoe UI"/>
            <family val="2"/>
          </rPr>
          <t xml:space="preserve">ID: 90498
Label: lvg228px_q
Database: wiiw Monthly Database - Public
Status: active
Calculation: 
Calculation_M: Q-&gt;M EOP(L_lvg228px_q&gt;mdb)
Calculation_Q: Share(L_lvg228n_q&gt;mdb,L_lvg11tzn_q&gt;mdb)
Calculation_A: Share(L_lvg228n_q&gt;mdb,L_lvg11tzn_q&gt;mdb)
Periodicity: Q
Data available M: 1995m3 - 2023m9
Data available Q: 1995q1 - 2023q3
Data available A: 1995 - 2022
Text 99: 
Automatic update period: 1999|2015
Time shift: 
Note: 
Reporter: LV - Latvia
Chapter 1: 02_NA - National accounts
Indicator: SC0221 - Exports of goods and services
Unit: 09_Share_%gdp - in % of GDP
Footnote 1:  - 
Footnote 2:  - 
Footnote 3:  - 
Footnote 4:  - 
Source 1: Z_ESTAT - Eurostat
Source 2: Z_wiiw - wiiw
Source 3:  - 
</t>
        </r>
      </text>
    </comment>
    <comment ref="AE8" authorId="1" shapeId="0" xr:uid="{9A44EBB9-700A-427C-9430-D851659D57BB}">
      <text>
        <r>
          <rPr>
            <sz val="9"/>
            <color indexed="81"/>
            <rFont val="Segoe UI"/>
            <family val="2"/>
          </rPr>
          <t xml:space="preserve">ID: 90520
Label: lvg229px_q
Database: wiiw Monthly Database - Public
Status: active
Calculation: 
Calculation_M: Q-&gt;M EOP(L_lvg229px_q&gt;mdb)
Calculation_Q: Share(L_lvg229n_q&gt;mdb,L_lvg11tzn_q&gt;mdb)
Calculation_A: Share(L_lvg229n_q&gt;mdb,L_lvg11tzn_q&gt;mdb)
Periodicity: Q
Data available M: 1995m3 - 2023m9
Data available Q: 1995q1 - 2023q3
Data available A: 1995 - 2022
Text 99: 
Automatic update period: 1999|2015
Time shift: 
Note: 
Reporter: LV - Latvia
Chapter 1: 02_NA - National accounts
Indicator: SC0222 - Imports of goods and services
Unit: 09_Share_%gdp - in % of GDP
Footnote 1:  - 
Footnote 2:  - 
Footnote 3:  - 
Footnote 4:  - 
Source 1: Z_ESTAT - Eurostat
Source 2: Z_wiiw - wiiw
Source 3:  - 
</t>
        </r>
      </text>
    </comment>
    <comment ref="AF8" authorId="1" shapeId="0" xr:uid="{4A16307D-4ACD-4051-AE32-F9F8B1DECAF9}">
      <text>
        <r>
          <rPr>
            <sz val="9"/>
            <color indexed="81"/>
            <rFont val="Segoe UI"/>
            <family val="2"/>
          </rPr>
          <t xml:space="preserve">ID: 89618
Label: lvfls14scx
Database: wiiw Monthly Database - Public
Status: active
Calculation: SubScal(L_lvfls14scx&gt;mdb,100)
Calculation_M: CPPY=100(L_lvfls14e&gt;mdb)
Calculation_Q: M-&gt;Q EOP(L_lvfls14scx&gt;mdb)
Calculation_A: Q-&gt;A EOP(L_lvfls14scx&gt;mdb)
Periodicity: Q
Data available M: 2004m7 - 2023m11
Data available Q: 2004q3 - 2023q3
Data available A: 2004 - 2022
Text 99: 
Automatic update period: 1999|2015
Time shift: 
Note: 
Reporter: LV - Latvia
Chapter 1: 10_DF - Domestic finance
Indicator: SC1066 - Loans households (S14)
Unit: 04_Inom_32 - index nominal, corresponding period of previous year = 100
Footnote 1:  - 
Footnote 2:  - 
Footnote 3:  - 
Footnote 4:  - 
Source 1: QLV2 - Bank of Latvia
Source 2: Z_wiiw - wiiw
Source 3:  - 
</t>
        </r>
      </text>
    </comment>
    <comment ref="AG8" authorId="1" shapeId="0" xr:uid="{E5D70E68-A689-4139-BE36-F953011CF60E}">
      <text>
        <r>
          <rPr>
            <sz val="9"/>
            <color indexed="81"/>
            <rFont val="Segoe UI"/>
            <family val="2"/>
          </rPr>
          <t xml:space="preserve">ID: 144767
Label: lvbgdtpx_help_q
Database: wiiw Monthly Database - Hidden
Status: active
Calculation: 
Calculation_M: q-&gt;m EOP(L_lvbgdtpx_help_q&gt;mdb)
Calculation_Q: Share(L_lvbgdtn_help_q&gt;mdb,L_lvg11tnx_help_q&gt;mdb)
Calculation_A: q-&gt;a EOP(L_lvbgdtpx_help_q&gt;mdb)
Periodicity: Q
Data available M: 2000m3 - 2023m9
Data available Q: 2000q1 - 2023q3
Data available A: 2000 - 2022
Text 99: 
Automatic update period: 1999|2015
Time shift: 
Note: 
Reporter: LV - Latvia
Chapter 1: 10_DF - Domestic finance
Indicator: SC1009 - General government gross debt, total
Unit: 09_Share_%gdp - in % of GDP
Footnote 1:  - 
Footnote 2:  - 
Footnote 3:  - 
Footnote 4:  - 
Source 1: Z_ESTAT - Eurostat
Source 2: Z_wiiw - wiiw
Source 3:  - 
</t>
        </r>
      </text>
    </comment>
    <comment ref="G101" authorId="0" shapeId="0" xr:uid="{32A762DA-AD85-4C55-B5E4-A00B61B918A5}">
      <text>
        <r>
          <rPr>
            <b/>
            <sz val="9"/>
            <color indexed="81"/>
            <rFont val="Tahoma"/>
            <family val="2"/>
          </rPr>
          <t>BJ:</t>
        </r>
        <r>
          <rPr>
            <sz val="9"/>
            <color indexed="81"/>
            <rFont val="Tahoma"/>
            <family val="2"/>
          </rPr>
          <t xml:space="preserve">
from the budget for 2022</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BJ</author>
    <author>Alexandra Bykova</author>
  </authors>
  <commentList>
    <comment ref="B1" authorId="0" shapeId="0" xr:uid="{E34AEAB1-7216-4747-9224-A95790B23E91}">
      <text>
        <r>
          <rPr>
            <b/>
            <sz val="9"/>
            <color indexed="81"/>
            <rFont val="Tahoma"/>
            <family val="2"/>
          </rPr>
          <t>BJ:</t>
        </r>
        <r>
          <rPr>
            <sz val="9"/>
            <color indexed="81"/>
            <rFont val="Tahoma"/>
            <family val="2"/>
          </rPr>
          <t xml:space="preserve">
EU 27, seasonally and calendar adjusted
Eurostat</t>
        </r>
      </text>
    </comment>
    <comment ref="C1" authorId="0" shapeId="0" xr:uid="{E8E89B8E-4BAF-40C0-83B0-1143A2FF8350}">
      <text>
        <r>
          <rPr>
            <b/>
            <sz val="9"/>
            <color indexed="81"/>
            <rFont val="Tahoma"/>
            <family val="2"/>
          </rPr>
          <t>BJ:</t>
        </r>
        <r>
          <rPr>
            <sz val="9"/>
            <color indexed="81"/>
            <rFont val="Tahoma"/>
            <family val="2"/>
          </rPr>
          <t xml:space="preserve">
Eurostat</t>
        </r>
      </text>
    </comment>
    <comment ref="D1" authorId="0" shapeId="0" xr:uid="{43AE656E-B21E-477B-BDC5-985D33095031}">
      <text>
        <r>
          <rPr>
            <b/>
            <sz val="9"/>
            <color indexed="81"/>
            <rFont val="Tahoma"/>
            <family val="2"/>
          </rPr>
          <t>BJ:</t>
        </r>
        <r>
          <rPr>
            <sz val="9"/>
            <color indexed="81"/>
            <rFont val="Tahoma"/>
            <family val="2"/>
          </rPr>
          <t xml:space="preserve">
EU changing composition
Eurostat</t>
        </r>
      </text>
    </comment>
    <comment ref="E1" authorId="0" shapeId="0" xr:uid="{22B7FE5A-86E0-4E3D-9C51-1080973533DC}">
      <text>
        <r>
          <rPr>
            <b/>
            <sz val="9"/>
            <color indexed="81"/>
            <rFont val="Tahoma"/>
            <family val="2"/>
          </rPr>
          <t>BJ:</t>
        </r>
        <r>
          <rPr>
            <sz val="9"/>
            <color indexed="81"/>
            <rFont val="Tahoma"/>
            <family val="2"/>
          </rPr>
          <t xml:space="preserve">
ECB</t>
        </r>
      </text>
    </comment>
    <comment ref="F1" authorId="0" shapeId="0" xr:uid="{7684D8F8-09D3-4919-96A9-1FAD9DDC2491}">
      <text>
        <r>
          <rPr>
            <b/>
            <sz val="9"/>
            <color indexed="81"/>
            <rFont val="Tahoma"/>
            <family val="2"/>
          </rPr>
          <t>BJ:</t>
        </r>
        <r>
          <rPr>
            <sz val="9"/>
            <color indexed="81"/>
            <rFont val="Tahoma"/>
            <family val="2"/>
          </rPr>
          <t xml:space="preserve">
Crude oil, average, from WB pink sheets</t>
        </r>
      </text>
    </comment>
    <comment ref="G1" authorId="0" shapeId="0" xr:uid="{063D3DD9-EB18-45C3-9346-D1BDFB029041}">
      <text>
        <r>
          <rPr>
            <sz val="9"/>
            <color indexed="81"/>
            <rFont val="Tahoma"/>
            <family val="2"/>
          </rPr>
          <t>General gov, nominal yoy growth, in NCU
wiiw</t>
        </r>
      </text>
    </comment>
    <comment ref="H1" authorId="0" shapeId="0" xr:uid="{A366290A-10EF-46BA-9205-8F69F881F6AB}">
      <text>
        <r>
          <rPr>
            <b/>
            <sz val="9"/>
            <color indexed="81"/>
            <rFont val="Tahoma"/>
            <family val="2"/>
          </rPr>
          <t>BJ:</t>
        </r>
        <r>
          <rPr>
            <sz val="9"/>
            <color indexed="81"/>
            <rFont val="Tahoma"/>
            <family val="2"/>
          </rPr>
          <t xml:space="preserve">
General gov. budget - revenues NCU m (incl. 'euro fixed' series)
wiiw</t>
        </r>
      </text>
    </comment>
    <comment ref="I1" authorId="0" shapeId="0" xr:uid="{B1011726-73E6-4F0F-AADC-237D16344FB0}">
      <text>
        <r>
          <rPr>
            <b/>
            <sz val="9"/>
            <color indexed="81"/>
            <rFont val="Tahoma"/>
            <family val="2"/>
          </rPr>
          <t>BJ:</t>
        </r>
        <r>
          <rPr>
            <sz val="9"/>
            <color indexed="81"/>
            <rFont val="Tahoma"/>
            <family val="2"/>
          </rPr>
          <t xml:space="preserve">
General gov. budget - balance
 in % of GDP
wiiw</t>
        </r>
      </text>
    </comment>
    <comment ref="J1" authorId="0" shapeId="0" xr:uid="{2C06897B-648F-40D0-A8D4-B1B665EC8EA7}">
      <text>
        <r>
          <rPr>
            <b/>
            <sz val="9"/>
            <color indexed="81"/>
            <rFont val="Tahoma"/>
            <family val="2"/>
          </rPr>
          <t>BJ:</t>
        </r>
        <r>
          <rPr>
            <sz val="9"/>
            <color indexed="81"/>
            <rFont val="Tahoma"/>
            <family val="2"/>
          </rPr>
          <t xml:space="preserve">
For all GDP: 
NCU m, 2015 reference prices (prev. year prices, incl. 'euro fixed' series)
wiiw</t>
        </r>
      </text>
    </comment>
    <comment ref="K1" authorId="0" shapeId="0" xr:uid="{89B4719D-6E5F-4F92-86E1-9F66CED5E34C}">
      <text>
        <r>
          <rPr>
            <b/>
            <sz val="9"/>
            <color indexed="81"/>
            <rFont val="Tahoma"/>
            <family val="2"/>
          </rPr>
          <t>BJ:</t>
        </r>
        <r>
          <rPr>
            <sz val="9"/>
            <color indexed="81"/>
            <rFont val="Tahoma"/>
            <family val="2"/>
          </rPr>
          <t xml:space="preserve">
Households + NPISH
Only Households</t>
        </r>
      </text>
    </comment>
    <comment ref="M1" authorId="0" shapeId="0" xr:uid="{DAF1C37F-FE65-482A-87D3-EA029D17C489}">
      <text>
        <r>
          <rPr>
            <b/>
            <sz val="9"/>
            <color indexed="81"/>
            <rFont val="Tahoma"/>
            <family val="2"/>
          </rPr>
          <t>BJ:</t>
        </r>
        <r>
          <rPr>
            <sz val="9"/>
            <color indexed="81"/>
            <rFont val="Tahoma"/>
            <family val="2"/>
          </rPr>
          <t xml:space="preserve">
Gross capital formation</t>
        </r>
      </text>
    </comment>
    <comment ref="P1" authorId="0" shapeId="0" xr:uid="{1CE342CA-1D11-4A2D-8449-FFAA417671A5}">
      <text>
        <r>
          <rPr>
            <b/>
            <sz val="9"/>
            <color indexed="81"/>
            <rFont val="Tahoma"/>
            <family val="2"/>
          </rPr>
          <t>Employment, LFS, thousand persons
wiiw</t>
        </r>
      </text>
    </comment>
    <comment ref="Q1" authorId="0" shapeId="0" xr:uid="{B41D5CEE-0607-465E-A1ED-4A91B6DE6DE4}">
      <text>
        <r>
          <rPr>
            <b/>
            <sz val="9"/>
            <color indexed="81"/>
            <rFont val="Tahoma"/>
            <family val="2"/>
          </rPr>
          <t>Unemployment, LFS, thousand persons
wiiw</t>
        </r>
      </text>
    </comment>
    <comment ref="R1" authorId="0" shapeId="0" xr:uid="{13E16A1F-F313-4871-99BE-F1F3FA1523B3}">
      <text>
        <r>
          <rPr>
            <b/>
            <sz val="9"/>
            <color indexed="81"/>
            <rFont val="Tahoma"/>
            <family val="2"/>
          </rPr>
          <t>Unemployment, LFS, in %
wiiw</t>
        </r>
      </text>
    </comment>
    <comment ref="S1" authorId="0" shapeId="0" xr:uid="{D2F28560-A729-4E25-8BFB-CF9D2FC821DD}">
      <text>
        <r>
          <rPr>
            <sz val="9"/>
            <color indexed="81"/>
            <rFont val="Tahoma"/>
            <family val="2"/>
          </rPr>
          <t>Average monthly gross wages total, 
national currency (incl. 'euro fixed' series), yoy growth
wiiw</t>
        </r>
      </text>
    </comment>
    <comment ref="T1" authorId="0" shapeId="0" xr:uid="{78A24183-245A-4FE3-B7BE-3BA022F8E8EC}">
      <text>
        <r>
          <rPr>
            <b/>
            <sz val="9"/>
            <color indexed="81"/>
            <rFont val="Tahoma"/>
            <family val="2"/>
          </rPr>
          <t>BJ:</t>
        </r>
        <r>
          <rPr>
            <sz val="9"/>
            <color indexed="81"/>
            <rFont val="Tahoma"/>
            <family val="2"/>
          </rPr>
          <t xml:space="preserve">
Central bank policy rate, nominal
wiiw</t>
        </r>
      </text>
    </comment>
    <comment ref="U1" authorId="0" shapeId="0" xr:uid="{90D9FF21-8767-4178-9D3D-4AE373961E2B}">
      <text>
        <r>
          <rPr>
            <b/>
            <sz val="9"/>
            <color indexed="81"/>
            <rFont val="Tahoma"/>
            <family val="2"/>
          </rPr>
          <t>BJ:</t>
        </r>
        <r>
          <rPr>
            <sz val="9"/>
            <color indexed="81"/>
            <rFont val="Tahoma"/>
            <family val="2"/>
          </rPr>
          <t xml:space="preserve">
Consumer prices index, monthly average, 2015 = 100
wiiw</t>
        </r>
      </text>
    </comment>
    <comment ref="V1" authorId="0" shapeId="0" xr:uid="{ECDC73EF-02DA-4426-8790-F47D8DA9C879}">
      <text>
        <r>
          <rPr>
            <b/>
            <sz val="9"/>
            <color indexed="81"/>
            <rFont val="Tahoma"/>
            <family val="2"/>
          </rPr>
          <t>BJ:</t>
        </r>
        <r>
          <rPr>
            <sz val="9"/>
            <color indexed="81"/>
            <rFont val="Tahoma"/>
            <family val="2"/>
          </rPr>
          <t xml:space="preserve">
Exchange rate nominal NCU/EUR, period average
wiiw</t>
        </r>
      </text>
    </comment>
    <comment ref="W1" authorId="0" shapeId="0" xr:uid="{6995BA6E-FC1A-4AAD-A442-2EE03E7BC496}">
      <text>
        <r>
          <rPr>
            <b/>
            <sz val="9"/>
            <color indexed="81"/>
            <rFont val="Tahoma"/>
            <family val="2"/>
          </rPr>
          <t>BJ:</t>
        </r>
        <r>
          <rPr>
            <sz val="9"/>
            <color indexed="81"/>
            <rFont val="Tahoma"/>
            <family val="2"/>
          </rPr>
          <t xml:space="preserve">
 Industrial output (BCD - NACE Rev. 2), index real, monthly average, 2015 = 100, yoy growth
wiiw</t>
        </r>
      </text>
    </comment>
    <comment ref="X1" authorId="0" shapeId="0" xr:uid="{0246232E-055F-4761-ABD4-7B7500B9101A}">
      <text>
        <r>
          <rPr>
            <b/>
            <sz val="9"/>
            <color indexed="81"/>
            <rFont val="Tahoma"/>
            <family val="2"/>
          </rPr>
          <t>BJ:</t>
        </r>
        <r>
          <rPr>
            <sz val="9"/>
            <color indexed="81"/>
            <rFont val="Tahoma"/>
            <family val="2"/>
          </rPr>
          <t xml:space="preserve">
Exports total, fob EUR m, yoy growth
wiiw
Alexandra: changed to BOP: exports of goods and services</t>
        </r>
      </text>
    </comment>
    <comment ref="Y1" authorId="0" shapeId="0" xr:uid="{3F9977FE-FC99-40CC-AF04-59A7FD1E74E6}">
      <text>
        <r>
          <rPr>
            <b/>
            <sz val="9"/>
            <color indexed="81"/>
            <rFont val="Tahoma"/>
            <family val="2"/>
          </rPr>
          <t>BJ:</t>
        </r>
        <r>
          <rPr>
            <sz val="9"/>
            <color indexed="81"/>
            <rFont val="Tahoma"/>
            <family val="2"/>
          </rPr>
          <t xml:space="preserve">
 Imports total, cif EUR m
wiiw
Alexandra: changed to BOP: imports of goods and services</t>
        </r>
      </text>
    </comment>
    <comment ref="Z1" authorId="0" shapeId="0" xr:uid="{CB3A26D3-0AA4-4817-87CD-9D074BAB07D6}">
      <text>
        <r>
          <rPr>
            <b/>
            <sz val="9"/>
            <color indexed="81"/>
            <rFont val="Tahoma"/>
            <family val="2"/>
          </rPr>
          <t>BJ:</t>
        </r>
        <r>
          <rPr>
            <sz val="9"/>
            <color indexed="81"/>
            <rFont val="Tahoma"/>
            <family val="2"/>
          </rPr>
          <t xml:space="preserve">
Current account in % of GDP
wiiw</t>
        </r>
      </text>
    </comment>
    <comment ref="AA1" authorId="0" shapeId="0" xr:uid="{D9707BF6-E52B-457E-92A9-8B666CF1318F}">
      <text>
        <r>
          <rPr>
            <b/>
            <sz val="9"/>
            <color indexed="81"/>
            <rFont val="Tahoma"/>
            <family val="2"/>
          </rPr>
          <t>BJ:</t>
        </r>
        <r>
          <rPr>
            <sz val="9"/>
            <color indexed="81"/>
            <rFont val="Tahoma"/>
            <family val="2"/>
          </rPr>
          <t xml:space="preserve">
Households + NPISH</t>
        </r>
      </text>
    </comment>
    <comment ref="AC1" authorId="0" shapeId="0" xr:uid="{F90429AF-C106-47F8-9AB4-5CA6791E7FA2}">
      <text>
        <r>
          <rPr>
            <b/>
            <sz val="9"/>
            <color indexed="81"/>
            <rFont val="Tahoma"/>
            <family val="2"/>
          </rPr>
          <t>BJ:</t>
        </r>
        <r>
          <rPr>
            <sz val="9"/>
            <color indexed="81"/>
            <rFont val="Tahoma"/>
            <family val="2"/>
          </rPr>
          <t xml:space="preserve">
Gross capital formation</t>
        </r>
      </text>
    </comment>
    <comment ref="AF1" authorId="0" shapeId="0" xr:uid="{5B1C5BC2-8DE9-434A-9536-7B7104A52E99}">
      <text>
        <r>
          <rPr>
            <b/>
            <sz val="9"/>
            <color indexed="81"/>
            <rFont val="Tahoma"/>
            <family val="2"/>
          </rPr>
          <t>BJ:</t>
        </r>
        <r>
          <rPr>
            <sz val="9"/>
            <color indexed="81"/>
            <rFont val="Tahoma"/>
            <family val="2"/>
          </rPr>
          <t xml:space="preserve">
loans to households, nominal, yoy growth rates</t>
        </r>
      </text>
    </comment>
    <comment ref="B8" authorId="1" shapeId="0" xr:uid="{936C863C-8086-49F5-92AC-B00E753BC27E}">
      <text>
        <r>
          <rPr>
            <sz val="9"/>
            <color indexed="81"/>
            <rFont val="Segoe UI"/>
            <family val="2"/>
          </rPr>
          <t xml:space="preserve">ID: 144396
Label: eug11tscrx_q
Database: wiiw Monthly Database - Hidden
Status: active
Calculation: 
Calculation_M: SubScal(L_eug11tscx_q&gt;mdb,100)
Calculation_Q: SubScal(L_eug11tscx_q&gt;mdb,100)
Calculation_A: SubScal(L_eug11tscx_q&gt;mdb,100)
Periodicity: Q
Data available M: 1996m3 - 2023m9
Data available Q: 1996q1 - 2023q3
Data available A: 1996 - 2022
Text 99: 
Automatic update period: 1999|2015
Time shift: 
Note: 
Reporter: EU27_2020 - EU - 27 countries (from 2020)
Chapter 1: 02_NA - National accounts
Indicator: SC0201 - Gross domestic product total
Unit: 05_Ireal_36 - real growth rate to corresponding period of previous year in %
Footnote 1: FZZ05 - According to ESA'10.
Footnote 2:  - 
Footnote 3:  - 
Footnote 4:  - 
Source 1: Z_ESTAT - Eurostat
Source 2: Z_wiiw - wiiw
Source 3:  - 
</t>
        </r>
      </text>
    </comment>
    <comment ref="C8" authorId="1" shapeId="0" xr:uid="{067855E7-63C7-4D68-AA46-140D57BDD8C0}">
      <text>
        <r>
          <rPr>
            <sz val="9"/>
            <color indexed="81"/>
            <rFont val="Segoe UI"/>
            <family val="2"/>
          </rPr>
          <t xml:space="preserve">ID: 77811
Label: eup1p1tsa
Database: wiiw Monthly Database - Hidden
Status: active
Calculation: 
Calculation_M: 
Calculation_Q: m-&gt;q AVG(L_eup1p1tsa&gt;mdb)
Calculation_A: q-&gt;a AVG(L_eup1p1tsa&gt;mdb)
Periodicity: Q
Data available M: 1999m1 - 2023m12
Data available Q: 1999q1 - 2023q4
Data available A: 1999 - 2023
Text 99: 
Automatic update period: 1999|2015
Time shift: 
Note: 
Reporter: EU - European Union evolutionary
Chapter 1: 07_PRC - Prices
Indicator: SC0701 - Consumer prices
Unit: 03_I_1_085_15avg - index, monthly average, 2015 = 100
Footnote 1: FZZ40 - Based on HICP (Harmonized Index of Consumer Prices).
Footnote 2:  - 
Footnote 3:  - 
Footnote 4:  - 
Source 1: Z_ESTAT - Eurostat
Source 2:  - 
Source 3:  - 
</t>
        </r>
      </text>
    </comment>
    <comment ref="D8" authorId="1" shapeId="0" xr:uid="{568931A7-E508-4F84-A846-4EF915DBD984}">
      <text>
        <r>
          <rPr>
            <sz val="9"/>
            <color indexed="81"/>
            <rFont val="Segoe UI"/>
            <family val="2"/>
          </rPr>
          <t xml:space="preserve">ID: 77812
Label: eup1p1tscx
Database: wiiw Monthly Database - Hidden
Status: active
Calculation: SubScal(L_eup1p1tscx&gt;mdb,100)
Calculation_M: CPPY=100(L_eup1p1tsa&gt;mdb)
Calculation_Q: CPPY=100(L_eup1p1tsa&gt;mdb)
Calculation_A: CPPY=100(L_eup1p1tsa&gt;mdb)
Periodicity: Q
Data available M: 1992m1 - 2023m12
Data available Q: 1992q1 - 2023q4
Data available A: 1992 - 2023
Text 99: 
Automatic update period: 1999|2015
Time shift: 
Note: 
Reporter: EU - European Union evolutionary
Chapter 1: 07_PRC - Prices
Indicator: SC0701 - Consumer prices
Unit: 03_I_32 - index, corresponding period of previous year = 100
Footnote 1: FZZ40 - Based on HICP (Harmonized Index of Consumer Prices).
Footnote 2:  - 
Footnote 3:  - 
Footnote 4:  - 
Source 1: Z_ESTAT - Eurostat
Source 2: Z_wiiw - wiiw
Source 3:  - 
</t>
        </r>
      </text>
    </comment>
    <comment ref="E8" authorId="1" shapeId="0" xr:uid="{8614791F-D8C3-49DA-80C6-47B548AF24F1}">
      <text>
        <r>
          <rPr>
            <sz val="9"/>
            <color indexed="81"/>
            <rFont val="Segoe UI"/>
            <family val="2"/>
          </rPr>
          <t xml:space="preserve">ID: 144399
Label: eafrr1tp_help
Database: wiiw Monthly Database - Hidden
Status: active
Calculation: 
Calculation_M: L_eafrr1tp&gt;mdb
Calculation_Q: m-&gt;q AVG(L_eafrr1tp&gt;mdb)
Calculation_A: q-&gt;a AVG(L_eafrr1tp&gt;mdb)
Periodicity: Q
Data available M: 1999m1 - 2023m12
Data available Q: 1999q1 - 2023q4
Data available A: 1999 - 2023
Text 99: 
Automatic update period: 1999|2015
Time shift: 
Note: 
Reporter: EA - Euro area evolutionary
Chapter 1: 10_DF - Domestic finance
Indicator: SC1050 - Central bank policy rate
Unit: 06_IntR_6 - % p.a., period average
Footnote 1: FZZ50 - Official refinancing operation rates for euro area (ECB), rate in fixed rate tenders (between June 2000 and September 2008 the minimum bid rate in variable rate tenders was applied).
Footnote 2:  - 
Footnote 3:  - 
Footnote 4:  - 
Source 1: Z_ECB - European Central Bank
Source 2:  - 
Source 3:  - 
</t>
        </r>
      </text>
    </comment>
    <comment ref="F8" authorId="1" shapeId="0" xr:uid="{67918D05-07C8-44B3-B944-6F1659201F25}">
      <text>
        <r>
          <rPr>
            <sz val="9"/>
            <color indexed="81"/>
            <rFont val="Segoe UI"/>
            <family val="2"/>
          </rPr>
          <t xml:space="preserve">ID: 101874
Label: usp2oila
Database: wiiw Monthly Database - Hidden
Status: active
Calculation: 
Calculation_M: 
Calculation_Q: M-&gt;Q AVG(L_usp2oila&gt;mdb)
Calculation_A: Q-&gt;A AVG(L_usp2oila&gt;mdb)
Periodicity: Q
Data available M: 1990m1 - 2023m12
Data available Q: 1990q1 - 2023q4
Data available A: 1990 - 2023
Text 99: 
Automatic update period: 1999|2015
Time shift: 
Note: Oil prices  &amp; Europe Brent Spot Price FOB (Dollars per Barrel) &amp; EIA (US) Source of the data. Gespeichert auf die EU&amp;US Karten.
Reporter: US - United States
Chapter 1: 11_FF - Foreign finance
Indicator:  - 
Unit:  - 
Footnote 1:  - 
Footnote 2:  - 
Footnote 3:  - 
Footnote 4:  - 
Source 1:  - 
Source 2:  - 
Source 3:  - 
</t>
        </r>
      </text>
    </comment>
    <comment ref="G8" authorId="1" shapeId="0" xr:uid="{7B939653-0260-4099-B2F9-7FCF036D1DE0}">
      <text>
        <r>
          <rPr>
            <sz val="9"/>
            <color indexed="81"/>
            <rFont val="Segoe UI"/>
            <family val="2"/>
          </rPr>
          <t xml:space="preserve">ID: 32809
Label: skbg21n_q
Database: wiiw Monthly Database - Public
Status: active
Calculation: SubScal(CPPY=100(L_skbg21n_q&gt;mdb),100)
Calculation_M: q-&gt;m EOP(L_skbg21n_q&gt;mdb)
Calculation_Q: 
Calculation_A: Q-&gt;A CUMPER(L_skbg21n_q&gt;mdb)
Periodicity: Q
Data available M: 1999m3 - 2023m9
Data available Q: 1999q1 - 2023q3
Data available A: 1999 - 2022
Text 99: 
Automatic update period: 1999|2015
Time shift: 
Note: 
Reporter: SK - Slovakia
Chapter 1: 10_DF - Domestic finance
Indicator: SC1011 - General gov. budget (ESA'10, EDP) - expenditures
Unit: 01_Curr_12 - NCU m (incl. 'euro fixed' series)
Footnote 1: FZZ42 - According to ESA'10 excessive deficit procedure.
Footnote 2: FSK44 - Until December 2008 time serie in SKK have been divided by the conversion factor 30.126 (SKK per EUR) to EUR-SKK.
Footnote 3:  - 
Footnote 4:  - 
Source 1: Z_ESTAT - Eurostat
Source 2:  - 
Source 3:  - 
</t>
        </r>
      </text>
    </comment>
    <comment ref="H8" authorId="1" shapeId="0" xr:uid="{3A6F7541-5D7F-4919-BC56-0CE18EEC82DD}">
      <text>
        <r>
          <rPr>
            <sz val="9"/>
            <color indexed="81"/>
            <rFont val="Segoe UI"/>
            <family val="2"/>
          </rPr>
          <t xml:space="preserve">ID: 32808
Label: skbg11n_q
Database: wiiw Monthly Database - Public
Status: active
Calculation: SubScal(CPPY=100(L_skbg11n_q&gt;mdb),100)
Calculation_M: q-&gt;m EOP(L_skbg11n_q&gt;mdb)
Calculation_Q: 
Calculation_A: Q-&gt;A CUMPER(L_skbg11n_q&gt;mdb)
Periodicity: Q
Data available M: 1999m3 - 2023m9
Data available Q: 1999q1 - 2023q3
Data available A: 1999 - 2022
Text 99: 
Automatic update period: 1999|2015
Time shift: 
Note: 
Reporter: SK - Slovakia
Chapter 1: 10_DF - Domestic finance
Indicator: SC1010 - General gov. budget (ESA'10, EDP) - revenues
Unit: 01_Curr_12 - NCU m (incl. 'euro fixed' series)
Footnote 1: FZZ42 - According to ESA'10 excessive deficit procedure.
Footnote 2: FSK44 - Until December 2008 time serie in SKK have been divided by the conversion factor 30.126 (SKK per EUR) to EUR-SKK.
Footnote 3:  - 
Footnote 4:  - 
Source 1: Z_ESTAT - Eurostat
Source 2:  - 
Source 3:  - 
</t>
        </r>
      </text>
    </comment>
    <comment ref="I8" authorId="1" shapeId="0" xr:uid="{D4BF1E9B-0025-4B52-A01A-BFDB7607296F}">
      <text>
        <r>
          <rPr>
            <sz val="9"/>
            <color indexed="81"/>
            <rFont val="Segoe UI"/>
            <family val="2"/>
          </rPr>
          <t xml:space="preserve">ID: 89172
Label: skbg31px_q
Database: wiiw Monthly Database - Public
Status: active
Calculation: 
Calculation_M: Q-&gt;M EOP(L_skbg31px_q&gt;mdb)
Calculation_Q: Share(L_skbg31nx_q&gt;mdb,L_skg11tn_q&gt;mdb)
Calculation_A: Share(L_skbg31nx_q&gt;mdb,L_skg11tn_q&gt;mdb)
Periodicity: Q
Data available M: 1999m3 - 2023m9
Data available Q: 1999q1 - 2023q3
Data available A: 1999 - 2022
Text 99: 
Automatic update period: 1999|2015
Time shift: 
Note: 
Reporter: SK - Slovakia
Chapter 1: 10_DF - Domestic finance
Indicator: SC1012 - General gov. budget (ESA'10, EDP) - balance
Unit: 09_Share_%gdp - in % of GDP
Footnote 1: FZZ42 - According to ESA'10 excessive deficit procedure.
Footnote 2:  - 
Footnote 3:  - 
Footnote 4:  - 
Source 1: Z_ESTAT - Eurostat
Source 2: Z_wiiw - wiiw
Source 3:  - 
</t>
        </r>
      </text>
    </comment>
    <comment ref="J8" authorId="1" shapeId="0" xr:uid="{BB541D2B-B709-4079-ADDC-4CC1848CABE8}">
      <text>
        <r>
          <rPr>
            <sz val="9"/>
            <color indexed="81"/>
            <rFont val="Segoe UI"/>
            <family val="2"/>
          </rPr>
          <t xml:space="preserve">ID: 88680
Label: skg11tr15_q
Database: wiiw Monthly Database - Public
Status: active
Calculation: SubScal(CPPY=100(L_skg11tr15_q&gt;mdb),100)
Calculation_M: q-&gt;m EOP(L_skg11tr15_q&gt;mdb)
Calculation_Q: 
Calculation_A: q-&gt;a CumPer(L_skg11tr15_q&gt;mdb)
Periodicity: Q
Data available M: 1995m3 - 2023m9
Data available Q: 1995q1 - 2023q3
Data available A: 1995 - 2022
Text 99: 
Automatic update period: 1999|2015
Time shift: 
Note: 
Reporter: SK - Slovakia
Chapter 1: 02_NA - National accounts
Indicator: SC0201 - Gross domestic product total
Unit: 01_Curr_15_085_15_r - NCU m, 2015 reference prices (prev. year prices, incl. 'euro fixed' series)
Footnote 1: FZZ05 - According to ESA'10.
Footnote 2:  - 
Footnote 3:  - 
Footnote 4:  - 
Source 1: Z_ESTAT - Eurostat
Source 2:  - 
Source 3:  - 
</t>
        </r>
      </text>
    </comment>
    <comment ref="K8" authorId="1" shapeId="0" xr:uid="{37B5A162-517A-41B4-B5F7-21CAF50BFE56}">
      <text>
        <r>
          <rPr>
            <sz val="9"/>
            <color indexed="81"/>
            <rFont val="Segoe UI"/>
            <family val="2"/>
          </rPr>
          <t xml:space="preserve">ID: 90880
Label: skg222r15_q
Database: wiiw Monthly Database - Public
Status: active
Calculation: SubScal(CPPY=100(L_skg222r15_q&gt;mdb),100)
Calculation_M: q-&gt;m EOP(L_skg222r15_q&gt;mdb)
Calculation_Q: 
Calculation_A: q-&gt;a CumPer(L_skg222r15_q&gt;mdb)
Periodicity: Q
Data available M: 1995m3 - 2023m9
Data available Q: 1995q1 - 2023q3
Data available A: 1995 - 2022
Text 99: 
Automatic update period: 1999|2015
Time shift: 
Note: 
Reporter: SK - Slovakia
Chapter 1: 02_NA - National accounts
Indicator: SC0212 - Household final consumption expenditure
Unit: 01_Curr_15_085_15_r - NCU m, 2015 reference prices (prev. year prices, incl. 'euro fixed' series)
Footnote 1:  - 
Footnote 2:  - 
Footnote 3:  - 
Footnote 4:  - 
Source 1: Z_ESTAT - Eurostat
Source 2:  - 
Source 3:  - 
</t>
        </r>
      </text>
    </comment>
    <comment ref="L8" authorId="1" shapeId="0" xr:uid="{12134576-2983-45E0-9AFC-6784B5C1E7AF}">
      <text>
        <r>
          <rPr>
            <sz val="9"/>
            <color indexed="81"/>
            <rFont val="Segoe UI"/>
            <family val="2"/>
          </rPr>
          <t xml:space="preserve">ID: 90924
Label: skg223r15_q
Database: wiiw Monthly Database - Public
Status: active
Calculation: SubScal(CPPY=100(L_skg223r15_q&gt;mdb),100)
Calculation_M: q-&gt;m EOP(L_skg223r15_q&gt;mdb)
Calculation_Q: 
Calculation_A: q-&gt;a CumPer(L_skg223r15_q&gt;mdb)
Periodicity: Q
Data available M: 1995m3 - 2023m9
Data available Q: 1995q1 - 2023q3
Data available A: 1995 - 2022
Text 99: 
Automatic update period: 1999|2015
Time shift: 
Note: 
Reporter: SK - Slovakia
Chapter 1: 02_NA - National accounts
Indicator: SC0214 - Government final consumption expenditure
Unit: 01_Curr_15_085_15_r - NCU m, 2015 reference prices (prev. year prices, incl. 'euro fixed' series)
Footnote 1:  - 
Footnote 2:  - 
Footnote 3:  - 
Footnote 4:  - 
Source 1: Z_ESTAT - Eurostat
Source 2:  - 
Source 3:  - 
</t>
        </r>
      </text>
    </comment>
    <comment ref="M8" authorId="1" shapeId="0" xr:uid="{F44F8ADE-4BBD-4BC2-8BC4-DFDDCD108A6A}">
      <text>
        <r>
          <rPr>
            <sz val="9"/>
            <color indexed="81"/>
            <rFont val="Segoe UI"/>
            <family val="2"/>
          </rPr>
          <t xml:space="preserve">ID: 90946
Label: skg224r15_q
Database: wiiw Monthly Database - Public
Status: active
Calculation: SubScal(CPPY=100(L_skg224r15_q&gt;mdb),100)
Calculation_M: q-&gt;m EOP(L_skg224r15_q&gt;mdb)
Calculation_Q: 
Calculation_A: q-&gt;a CumPer(L_skg224r15_q&gt;mdb)
Periodicity: Q
Data available M: 1995m3 - 2023m9
Data available Q: 1995q1 - 2023q3
Data available A: 1995 - 2022
Text 99: 
Automatic update period: 1999|2015
Time shift: 
Note: 
Reporter: SK - Slovakia
Chapter 1: 02_NA - National accounts
Indicator: SC0217 - Gross capital formation
Unit: 01_Curr_15_085_15_r - NCU m, 2015 reference prices (prev. year prices, incl. 'euro fixed' series)
Footnote 1:  - 
Footnote 2:  - 
Footnote 3:  - 
Footnote 4:  - 
Source 1: Z_ESTAT - Eurostat
Source 2:  - 
Source 3:  - 
</t>
        </r>
      </text>
    </comment>
    <comment ref="N8" authorId="1" shapeId="0" xr:uid="{FAFEED16-C151-498A-991B-CCAEAEEB1429}">
      <text>
        <r>
          <rPr>
            <sz val="9"/>
            <color indexed="81"/>
            <rFont val="Segoe UI"/>
            <family val="2"/>
          </rPr>
          <t xml:space="preserve">ID: 90990
Label: skg228r15_q
Database: wiiw Monthly Database - Public
Status: active
Calculation: SubScal(CPPY=100(L_skg228r15_q&gt;mdb),100)
Calculation_M: q-&gt;m EOP(L_skg228r15_q&gt;mdb)
Calculation_Q: 
Calculation_A: q-&gt;a CumPer(L_skg228r15_q&gt;mdb)
Periodicity: Q
Data available M: 1995m3 - 2023m9
Data available Q: 1995q1 - 2023q3
Data available A: 1995 - 2022
Text 99: 
Automatic update period: 1999|2015
Time shift: 
Note: 
Reporter: SK - Slovakia
Chapter 1: 02_NA - National accounts
Indicator: SC0221 - Exports of goods and services
Unit: 01_Curr_15_085_15_r - NCU m, 2015 reference prices (prev. year prices, incl. 'euro fixed' series)
Footnote 1:  - 
Footnote 2:  - 
Footnote 3:  - 
Footnote 4:  - 
Source 1: Z_ESTAT - Eurostat
Source 2:  - 
Source 3:  - 
</t>
        </r>
      </text>
    </comment>
    <comment ref="O8" authorId="1" shapeId="0" xr:uid="{F7754CF1-0CC4-4C33-A39C-6E2AEE0C847F}">
      <text>
        <r>
          <rPr>
            <sz val="9"/>
            <color indexed="81"/>
            <rFont val="Segoe UI"/>
            <family val="2"/>
          </rPr>
          <t xml:space="preserve">ID: 91012
Label: skg229r15_q
Database: wiiw Monthly Database - Public
Status: active
Calculation: SubScal(CPPY=100(L_skg229r15_q&gt;mdb),100)
Calculation_M: q-&gt;m EOP(L_skg229r15_q&gt;mdb)
Calculation_Q: 
Calculation_A: q-&gt;a CumPer(L_skg229r15_q&gt;mdb)
Periodicity: Q
Data available M: 1995m3 - 2023m9
Data available Q: 1995q1 - 2023q3
Data available A: 1995 - 2022
Text 99: 
Automatic update period: 1999|2015
Time shift: 
Note: 
Reporter: SK - Slovakia
Chapter 1: 02_NA - National accounts
Indicator: SC0222 - Imports of goods and services
Unit: 01_Curr_15_085_15_r - NCU m, 2015 reference prices (prev. year prices, incl. 'euro fixed' series)
Footnote 1:  - 
Footnote 2:  - 
Footnote 3:  - 
Footnote 4:  - 
Source 1: Z_ESTAT - Eurostat
Source 2:  - 
Source 3:  - 
</t>
        </r>
      </text>
    </comment>
    <comment ref="P8" authorId="1" shapeId="0" xr:uid="{E973C6BA-374C-454F-B4A4-40118B64C98E}">
      <text>
        <r>
          <rPr>
            <sz val="9"/>
            <color indexed="81"/>
            <rFont val="Segoe UI"/>
            <family val="2"/>
          </rPr>
          <t xml:space="preserve">ID: 32652
Label: ske51_ta_q
Database: wiiw Monthly Database - Public
Status: active
Calculation: 
Calculation_M: q-&gt;m EOP(L_ske51_ta_q&gt;mdb)
Calculation_Q: 
Calculation_A: q-&gt;a AVG(L_ske51_ta_q&gt;mdb)
Periodicity: Q
Data available M: 1994m3 - 2023m9
Data available Q: 1994q1 - 2023q3
Data available A: 1994 - 2022
Text 99: 
Automatic update period: 1999|2015
Time shift: 
Note: 
Reporter: SK - Slovakia
Chapter 1: 05_LAB - Labour market
Indicator: SC0501 - Employment, LFS
Unit: 02_Pers_11 - th persons, period average
Footnote 1: FZZ09 - From 2021 new methodology in line with the Integrated European Social Statistics Regulation (IESS).
Footnote 2: FSK48 - From 2012 according to census May 2011.
Footnote 3:  - 
Footnote 4:  - 
Source 1: Z_ESTAT - Eurostat
Source 2: QSK1 - Statistical Office of Slovakia
Source 3:  - 
</t>
        </r>
      </text>
    </comment>
    <comment ref="Q8" authorId="1" shapeId="0" xr:uid="{C437917F-52B5-45AC-AF64-CAC80951C24E}">
      <text>
        <r>
          <rPr>
            <sz val="9"/>
            <color indexed="81"/>
            <rFont val="Segoe UI"/>
            <family val="2"/>
          </rPr>
          <t xml:space="preserve">ID: 32682
Label: ske5u_ta_q
Database: wiiw Monthly Database - Public
Status: active
Calculation: 
Calculation_M: q-&gt;m EOP(L_ske5u_ta_q&gt;mdb)
Calculation_Q: 
Calculation_A: q-&gt;a AVG(L_ske5u_ta_q&gt;mdb)
Periodicity: Q
Data available M: 1994m3 - 2023m9
Data available Q: 1994q1 - 2023q3
Data available A: 1994 - 2022
Text 99: 
Automatic update period: 1999|2015
Time shift: 
Note: 
Reporter: SK - Slovakia
Chapter 1: 05_LAB - Labour market
Indicator: SC0507 - Unemployment, LFS
Unit: 02_Pers_11 - th persons, period average
Footnote 1: FZZ09 - From 2021 new methodology in line with the Integrated European Social Statistics Regulation (IESS).
Footnote 2: FSK48 - From 2012 according to census May 2011.
Footnote 3:  - 
Footnote 4:  - 
Source 1: Z_ESTAT - Eurostat
Source 2: QSK1 - Statistical Office of Slovakia
Source 3:  - 
</t>
        </r>
      </text>
    </comment>
    <comment ref="R8" authorId="1" shapeId="0" xr:uid="{50C9ABED-3DA6-4301-98EC-9CC642B841B8}">
      <text>
        <r>
          <rPr>
            <sz val="9"/>
            <color indexed="81"/>
            <rFont val="Segoe UI"/>
            <family val="2"/>
          </rPr>
          <t xml:space="preserve">ID: 32699
Label: ske5u_tp_q
Database: wiiw Monthly Database - Public
Status: active
Calculation: 
Calculation_M: q-&gt;m EOP(L_ske5u_tp_q&gt;mdb)
Calculation_Q: 
Calculation_A: MulScal(Div(L_ske5u_ta_q&gt;mdb,Add(L_ske5u_ta_q&gt;mdb,L_ske51_ta_q&gt;mdb)),100)
Periodicity: Q
Data available M: 1994m3 - 2023m9
Data available Q: 1994q1 - 2023q3
Data available A: 1994 - 2022
Text 99: 
Automatic update period: 1999|2015
Time shift: 
Note: 
Reporter: SK - Slovakia
Chapter 1: 05_LAB - Labour market
Indicator: SC0508 - Unemployment rate, LFS
Unit: 02_Pers_21 - in %, period average
Footnote 1: FZZ09 - From 2021 new methodology in line with the Integrated European Social Statistics Regulation (IESS).
Footnote 2: FSK48 - From 2012 according to census May 2011.
Footnote 3:  - 
Footnote 4:  - 
Source 1: Z_ESTAT - Eurostat
Source 2:  - 
Source 3:  - 
</t>
        </r>
      </text>
    </comment>
    <comment ref="S8" authorId="1" shapeId="0" xr:uid="{43E11D72-7D1C-4342-AB28-0E06A171917B}">
      <text>
        <r>
          <rPr>
            <sz val="9"/>
            <color indexed="81"/>
            <rFont val="Segoe UI"/>
            <family val="2"/>
          </rPr>
          <t xml:space="preserve">ID: 53413
Label: skw11_tccx_q
Database: wiiw Monthly Database - Public
Status: active
Calculation: SubScal(L_skw11_tccx_q&gt;mdb,100)
Calculation_M: q-&gt;m EOP(L_skw11_tccx_q&gt;mdb)
Calculation_Q: CPPY=100(L_skw11_tn_q&gt;mdb)
Calculation_A: CPPY=100(L_skw11_tn_q&gt;mdb)
Periodicity: Q
Data available M: 1992m3 - 2023m9
Data available Q: 1992q1 - 2023q3
Data available A: 1992 - 2022
Text 99: 
Automatic update period: 1999|2015
Time shift: 
Note: zusätzl. fixe Werte für 1998 und 2007, weil dies orig.WR lt. Slovstat-DB (ZA) sind -  Erklärung in orig. "from 1996, resp.1998 excl. bonuses, payments for working overtime, the night work, work during Saturdays and Sundays, ...."
Reporter: SK - Slovakia
Chapter 1: 06_WS - Wages
Indicator: SC0601 - Average monthly gross wages total
Unit: 04_Inom_32 - index nominal, corresponding period of previous year = 100
Footnote 1: FSK53 - From 2006 including wages of armed forces.
Footnote 2:  - 
Footnote 3:  - 
Footnote 4:  - 
Source 1: QSK1 - Statistical Office of Slovakia
Source 2: Z_wiiw - wiiw
Source 3:  - 
</t>
        </r>
      </text>
    </comment>
    <comment ref="T8" authorId="1" shapeId="0" xr:uid="{13D4460D-5E07-4671-AEE5-C792F7BF379E}">
      <text>
        <r>
          <rPr>
            <sz val="9"/>
            <color indexed="81"/>
            <rFont val="Segoe UI"/>
            <family val="2"/>
          </rPr>
          <t xml:space="preserve">ID: 785
Label: skfrr1tp
Database: wiiw Monthly Database - Public
Status: active
Calculation: 
Calculation_M: TimeSpan(L_eafrr1tp&gt;mdb,2009-)
Calculation_Q: m-&gt;q EOP(L_skfrr1tp&gt;mdb)
Calculation_A: q-&gt;a EOP(L_skfrr1tp&gt;mdb)
Periodicity: Q
Data available M: 1991m1 - 2023m12
Data available Q: 1991q1 - 2023q4
Data available A: 1991 - 2023
Text 99: 
Automatic update period: 1999|2015
Time shift: 
Note: ab 2000 lt. E-Stat 'off.refin.operation rates' = 2-week repo rate = lt NBS: * - 12/2002: discount rate, 2002: discount rate ident 2-week repo rate, ab 1M2003 2-week repo rate = off. basic interest rat of NBS &amp;  &amp; from 2009 euro area off.refinan.operation rate!
Reporter: SK - Slovakia
Chapter 1: 10_DF - Domestic finance
Indicator: SC1050 - Central bank policy rate
Unit: 06_IntR_1 - % p.a., end of period
Footnote 1: FSK45 - From January 2009 euro area official refinancing operation rate, 2003-2008 two-week repo rate, discount rate before.
Footnote 2: FSK21 - Data 1991-1992 refer to Czechoslovakia.
Footnote 3:  - 
Footnote 4:  - 
Source 1: Z_ECB - European Central Bank
Source 2: QSK2 - National Bank of Slovakia
Source 3:  - 
</t>
        </r>
      </text>
    </comment>
    <comment ref="U8" authorId="1" shapeId="0" xr:uid="{8A3940F4-890E-4D83-A9FE-84FE0818868D}">
      <text>
        <r>
          <rPr>
            <sz val="9"/>
            <color indexed="81"/>
            <rFont val="Segoe UI"/>
            <family val="2"/>
          </rPr>
          <t xml:space="preserve">ID: 574
Label: skp1p1tsa
Database: wiiw Monthly Database - Public
Status: active
Calculation: 
Calculation_M: 
Calculation_Q: m-&gt;q AVG(L_skp1p1tsa&gt;mdb)
Calculation_A: q-&gt;a AVG(L_skp1p1tsa&gt;mdb)
Periodicity: Q
Data available M: 1999m1 - 2023m12
Data available Q: 1999q1 - 2023q4
Data available A: 1999 - 2023
Text 99: 
Automatic update period: 1999|2015
Time shift: 
Note: 
Reporter: SK - Slovakia
Chapter 1: 07_PRC - Prices
Indicator: SC0701 - Consumer prices
Unit: 03_I_1_085_15avg - index, monthly average, 2015 = 100
Footnote 1: FZZ40 - Based on HICP (Harmonized Index of Consumer Prices).
Footnote 2:  - 
Footnote 3:  - 
Footnote 4:  - 
Source 1: Z_ESTAT - Eurostat
Source 2:  - 
Source 3:  - 
</t>
        </r>
      </text>
    </comment>
    <comment ref="V8" authorId="1" shapeId="0" xr:uid="{4669D67D-49F6-4912-9853-BA98383875E2}">
      <text>
        <r>
          <rPr>
            <sz val="9"/>
            <color indexed="81"/>
            <rFont val="Segoe UI"/>
            <family val="2"/>
          </rPr>
          <t xml:space="preserve">ID: 966
Label: skp2xea
Database: wiiw Monthly Database - Public
Status: active
Calculation: 
Calculation_M: TimeSpan(L_mep2xea&gt;mdb,2020-)
Calculation_Q: m-&gt;q AVG(L_skp2xea&gt;mdb)
Calculation_A: q-&gt;a AVG(L_skp2xea&gt;mdb)
Periodicity: Q
Data available M: 1993m1 - 2024m1
Data available Q: 1993q1 - 2023q4
Data available A: 1993 - 2023
Text 99: 
Automatic update period: 1999|2015
Time shift: 
Note: 
Reporter: SK - Slovakia
Chapter 1: 11_FF - Foreign finance
Indicator: SC1107 - Exchange rate nominal
Unit: 07_Exch_12 - NCU/EUR, period average
Footnote 1: FZZ21 - Up to December 1998 ECU.
Footnote 2: FSK55 - Until December 2008 EUR-SKK per EUR.
Footnote 3:  - 
Footnote 4:  - 
Source 1: Z_ESTAT - Eurostat
Source 2: QSK2 - National Bank of Slovakia
Source 3:  - 
</t>
        </r>
      </text>
    </comment>
    <comment ref="W8" authorId="1" shapeId="0" xr:uid="{98DAB9FC-A05A-4606-88F9-10960C1FEF34}">
      <text>
        <r>
          <rPr>
            <sz val="9"/>
            <color indexed="81"/>
            <rFont val="Segoe UI"/>
            <family val="2"/>
          </rPr>
          <t xml:space="preserve">ID: 32211
Label: ska1211tscx
Database: wiiw Monthly Database - Public
Status: active
Calculation: SubScal(L_ska1211tscx&gt;mdb,100)
Calculation_M: CPPY=100(L_ska1211tsa&gt;mdb)
Calculation_Q: CPPY=100(L_ska1211tsa&gt;mdb)
Calculation_A: CPPY=100(L_ska1211tsa&gt;mdb)
Periodicity: Q
Data available M: 2001m1 - 2023m11
Data available Q: 2001q1 - 2023q3
Data available A: 2001 - 2022
Text 99: 
Automatic update period: 1999|2015
Time shift: 
Note: 
Reporter: SK - Slovakia
Chapter 1: 04_PROD - Production
Indicator: SC0401 - Industrial output (BCD - NACE Rev. 2)
Unit: 05_Ireal_32 - index real, corresponding period of previous year = 100
Footnote 1:  - 
Footnote 2:  - 
Footnote 3:  - 
Footnote 4:  - 
Source 1: Z_ESTAT - Eurostat
Source 2: Z_wiiw - wiiw
Source 3:  - 
</t>
        </r>
      </text>
    </comment>
    <comment ref="X8" authorId="1" shapeId="0" xr:uid="{3A01C5C4-7ABE-4AEB-A8B8-BA07ECC75BE3}">
      <text>
        <r>
          <rPr>
            <sz val="9"/>
            <color indexed="81"/>
            <rFont val="Segoe UI"/>
            <family val="2"/>
          </rPr>
          <t xml:space="preserve">ID: 87281
Label: sklago2e_q
Database: wiiw Monthly Database - Hidden
Status: active
Calculation: SubScal(CPPY=100(AddNull(L_sklago2e_q&gt;mdb,L_sklase2e_q&gt;mdb)),100)
Calculation_M: q-&gt;m EOP(L_sklago2e_q&gt;mdb)
Calculation_Q: 
Calculation_A: Q-&gt;A CUMPER(L_sklago2e_q&gt;mdb)
Periodicity: Q
Data available M: 2008m3 - 2023m9
Data available Q: 2008q1 - 2023q3
Data available A: 2008 - 2022
Text 99: 
Automatic update period: 1999|2015
Time shift: 
Note: 
Reporter: SK - Slovakia
Chapter 1: 11_FF - Foreign finance
Indicator: SC1111 - 1.A.a. Goods exports, fob, credit
Unit: 01_Curr_23 - EUR m
Footnote 1: FZZ80 - Based on BPM6.
Footnote 2:  - 
Footnote 3:  - 
Footnote 4:  - 
Source 1: Z_ESTAT - Eurostat
Source 2: QSK2 - National Bank of Slovakia
Source 3:  - 
</t>
        </r>
      </text>
    </comment>
    <comment ref="Y8" authorId="1" shapeId="0" xr:uid="{E8608A6B-0010-4F03-B8E3-4DA0ED1E0607}">
      <text>
        <r>
          <rPr>
            <sz val="9"/>
            <color indexed="81"/>
            <rFont val="Segoe UI"/>
            <family val="2"/>
          </rPr>
          <t xml:space="preserve">ID: 87318
Label: sklago3e_q
Database: wiiw Monthly Database - Hidden
Status: active
Calculation: SubScal(CPPY=100(AddNull(L_sklago3e_q&gt;mdb,L_sklase3e_q&gt;mdb)),100)
Calculation_M: q-&gt;m EOP(L_sklago3e_q&gt;mdb)
Calculation_Q: 
Calculation_A: Q-&gt;A CUMPER(L_sklago3e_q&gt;mdb)
Periodicity: Q
Data available M: 2008m3 - 2023m9
Data available Q: 2008q1 - 2023q3
Data available A: 2008 - 2022
Text 99: 
Automatic update period: 1999|2015
Time shift: 
Note: 
Reporter: SK - Slovakia
Chapter 1: 11_FF - Foreign finance
Indicator: SC1112 - 1.A.a. Goods imports, fob, debit
Unit: 01_Curr_23 - EUR m
Footnote 1: FZZ80 - Based on BPM6.
Footnote 2:  - 
Footnote 3:  - 
Footnote 4:  - 
Source 1: Z_ESTAT - Eurostat
Source 2: QSK2 - National Bank of Slovakia
Source 3:  - 
</t>
        </r>
      </text>
    </comment>
    <comment ref="Z8" authorId="1" shapeId="0" xr:uid="{539E6811-3300-43F3-9636-AC40B4265E4A}">
      <text>
        <r>
          <rPr>
            <sz val="9"/>
            <color indexed="81"/>
            <rFont val="Segoe UI"/>
            <family val="2"/>
          </rPr>
          <t xml:space="preserve">ID: 88753
Label: sklacaepx_q
Database: wiiw Monthly Database - Public
Status: active
Calculation: 
Calculation_M: Q-&gt;M EOP(L_sklacaepx_q&gt;mdb)
Calculation_Q: Share(L_sklacaen_q&gt;mdb,Div(L_skg11tn_q&gt;mdb,L_skp2xea&gt;mdb))
Calculation_A: Share(L_sklacaen_q&gt;mdb,Div(L_skg11tn_q&gt;mdb,L_skp2xea&gt;mdb))
Periodicity: Q
Data available M: 1997m3 - 2023m9
Data available Q: 1997q1 - 2023q3
Data available A: 1997 - 2022
Text 99: 
Automatic update period: 1999|2015
Time shift: 
Note: 
Reporter: SK - Slovakia
Chapter 1: 11_FF - Foreign finance
Indicator: SC1101 - Current account
Unit: 09_Share_%gdp - in % of GDP
Footnote 1: FZZ55 - From 2008 based on BPM6.
Footnote 2:  - 
Footnote 3:  - 
Footnote 4:  - 
Source 1: Z_ESTAT - Eurostat
Source 2: QSK2 - National Bank of Slovakia
Source 3: Z_wiiw - wiiw
</t>
        </r>
      </text>
    </comment>
    <comment ref="AA8" authorId="1" shapeId="0" xr:uid="{2DF4D091-FD49-43FE-8D60-52E64F1FC7FF}">
      <text>
        <r>
          <rPr>
            <sz val="9"/>
            <color indexed="81"/>
            <rFont val="Segoe UI"/>
            <family val="2"/>
          </rPr>
          <t xml:space="preserve">ID: 90352
Label: skg222px_q
Database: wiiw Monthly Database - Public
Status: active
Calculation: AddNull(L_skg222px_q&gt;mdb,L_skg22zpx_q&gt;mdb)
Calculation_M: Q-&gt;M EOP(L_skg222px_q&gt;mdb)
Calculation_Q: Share(L_skg222n_q&gt;mdb,L_skg11tzn_q&gt;mdb)
Calculation_A: Share(L_skg222n_q&gt;mdb,L_skg11tzn_q&gt;mdb)
Periodicity: Q
Data available M: 1995m3 - 2023m9
Data available Q: 1995q1 - 2023q3
Data available A: 1995 - 2022
Text 99: 
Automatic update period: 1999|2015
Time shift: 
Note: 
Reporter: SK - Slovakia
Chapter 1: 02_NA - National accounts
Indicator: SC0212 - Household final consumption expenditure
Unit: 09_Share_%gdp - in % of GDP
Footnote 1:  - 
Footnote 2:  - 
Footnote 3:  - 
Footnote 4:  - 
Source 1: Z_ESTAT - Eurostat
Source 2: Z_wiiw - wiiw
Source 3:  - 
</t>
        </r>
      </text>
    </comment>
    <comment ref="AB8" authorId="1" shapeId="0" xr:uid="{C4879650-15CD-4688-BB22-87BA036486EE}">
      <text>
        <r>
          <rPr>
            <sz val="9"/>
            <color indexed="81"/>
            <rFont val="Segoe UI"/>
            <family val="2"/>
          </rPr>
          <t xml:space="preserve">ID: 90396
Label: skg223px_q
Database: wiiw Monthly Database - Public
Status: active
Calculation: 
Calculation_M: Q-&gt;M EOP(L_skg223px_q&gt;mdb)
Calculation_Q: Share(L_skg223n_q&gt;mdb,L_skg11tzn_q&gt;mdb)
Calculation_A: Share(L_skg223n_q&gt;mdb,L_skg11tzn_q&gt;mdb)
Periodicity: Q
Data available M: 1995m3 - 2023m9
Data available Q: 1995q1 - 2023q3
Data available A: 1995 - 2022
Text 99: 
Automatic update period: 1999|2015
Time shift: 
Note: 
Reporter: SK - Slovakia
Chapter 1: 02_NA - National accounts
Indicator: SC0214 - Government final consumption expenditure
Unit: 09_Share_%gdp - in % of GDP
Footnote 1:  - 
Footnote 2:  - 
Footnote 3:  - 
Footnote 4:  - 
Source 1: Z_ESTAT - Eurostat
Source 2: Z_wiiw - wiiw
Source 3:  - 
</t>
        </r>
      </text>
    </comment>
    <comment ref="AC8" authorId="1" shapeId="0" xr:uid="{D0E851F7-AB76-4020-B989-5B7A26C1A1E3}">
      <text>
        <r>
          <rPr>
            <sz val="9"/>
            <color indexed="81"/>
            <rFont val="Segoe UI"/>
            <family val="2"/>
          </rPr>
          <t xml:space="preserve">ID: 90418
Label: skg224px_q
Database: wiiw Monthly Database - Public
Status: active
Calculation: 
Calculation_M: Q-&gt;M EOP(L_skg224px_q&gt;mdb)
Calculation_Q: Share(L_skg224n_q&gt;mdb,L_skg11tzn_q&gt;mdb)
Calculation_A: Share(L_skg224n_q&gt;mdb,L_skg11tzn_q&gt;mdb)
Periodicity: Q
Data available M: 1995m3 - 2023m9
Data available Q: 1995q1 - 2023q3
Data available A: 1995 - 2022
Text 99: 
Automatic update period: 1999|2015
Time shift: 
Note: 
Reporter: SK - Slovakia
Chapter 1: 02_NA - National accounts
Indicator: SC0217 - Gross capital formation
Unit: 09_Share_%gdp - in % of GDP
Footnote 1:  - 
Footnote 2:  - 
Footnote 3:  - 
Footnote 4:  - 
Source 1: Z_ESTAT - Eurostat
Source 2: Z_wiiw - wiiw
Source 3:  - 
</t>
        </r>
      </text>
    </comment>
    <comment ref="AD8" authorId="1" shapeId="0" xr:uid="{2879C82B-8898-49F6-BCBD-E3230A650661}">
      <text>
        <r>
          <rPr>
            <sz val="9"/>
            <color indexed="81"/>
            <rFont val="Segoe UI"/>
            <family val="2"/>
          </rPr>
          <t xml:space="preserve">ID: 90506
Label: skg228px_q
Database: wiiw Monthly Database - Public
Status: active
Calculation: 
Calculation_M: Q-&gt;M EOP(L_skg228px_q&gt;mdb)
Calculation_Q: Share(L_skg228n_q&gt;mdb,L_skg11tzn_q&gt;mdb)
Calculation_A: Share(L_skg228n_q&gt;mdb,L_skg11tzn_q&gt;mdb)
Periodicity: Q
Data available M: 1995m3 - 2023m9
Data available Q: 1995q1 - 2023q3
Data available A: 1995 - 2022
Text 99: 
Automatic update period: 1999|2015
Time shift: 
Note: 
Reporter: SK - Slovakia
Chapter 1: 02_NA - National accounts
Indicator: SC0221 - Exports of goods and services
Unit: 09_Share_%gdp - in % of GDP
Footnote 1:  - 
Footnote 2:  - 
Footnote 3:  - 
Footnote 4:  - 
Source 1: Z_ESTAT - Eurostat
Source 2: Z_wiiw - wiiw
Source 3:  - 
</t>
        </r>
      </text>
    </comment>
    <comment ref="AE8" authorId="1" shapeId="0" xr:uid="{B82D3919-9B9B-4152-BB7F-06EBAABEB5D3}">
      <text>
        <r>
          <rPr>
            <sz val="9"/>
            <color indexed="81"/>
            <rFont val="Segoe UI"/>
            <family val="2"/>
          </rPr>
          <t xml:space="preserve">ID: 90528
Label: skg229px_q
Database: wiiw Monthly Database - Public
Status: active
Calculation: 
Calculation_M: Q-&gt;M EOP(L_skg229px_q&gt;mdb)
Calculation_Q: Share(L_skg229n_q&gt;mdb,L_skg11tzn_q&gt;mdb)
Calculation_A: Share(L_skg229n_q&gt;mdb,L_skg11tzn_q&gt;mdb)
Periodicity: Q
Data available M: 1995m3 - 2023m9
Data available Q: 1995q1 - 2023q3
Data available A: 1995 - 2022
Text 99: 
Automatic update period: 1999|2015
Time shift: 
Note: 
Reporter: SK - Slovakia
Chapter 1: 02_NA - National accounts
Indicator: SC0222 - Imports of goods and services
Unit: 09_Share_%gdp - in % of GDP
Footnote 1:  - 
Footnote 2:  - 
Footnote 3:  - 
Footnote 4:  - 
Source 1: Z_ESTAT - Eurostat
Source 2: Z_wiiw - wiiw
Source 3:  - 
</t>
        </r>
      </text>
    </comment>
    <comment ref="AF8" authorId="1" shapeId="0" xr:uid="{6879CC28-99D2-4A3A-A0A9-08F933F75E5F}">
      <text>
        <r>
          <rPr>
            <sz val="9"/>
            <color indexed="81"/>
            <rFont val="Segoe UI"/>
            <family val="2"/>
          </rPr>
          <t xml:space="preserve">ID: 89626
Label: skfls14scx
Database: wiiw Monthly Database - Public
Status: active
Calculation: SubScal(L_skfls14scx&gt;mdb,100)
Calculation_M: CPPY=100(L_skfls14e&gt;mdb)
Calculation_Q: M-&gt;Q EOP(L_skfls14scx&gt;mdb)
Calculation_A: Q-&gt;A EOP(L_skfls14scx&gt;mdb)
Periodicity: Q
Data available M: 2004m1 - 2023m10
Data available Q: 2004q1 - 2023q3
Data available A: 2004 - 2022
Text 99: 
Automatic update period: 1999|2015
Time shift: 
Note: 
Reporter: SK - Slovakia
Chapter 1: 10_DF - Domestic finance
Indicator: SC1066 - Loans households (S14)
Unit: 04_Inom_32 - index nominal, corresponding period of previous year = 100
Footnote 1: FZZ70 - Including NPISHs (S15).
Footnote 2:  - 
Footnote 3:  - 
Footnote 4:  - 
Source 1: QSK2 - National Bank of Slovakia
Source 2: Z_wiiw - wiiw
Source 3:  - 
</t>
        </r>
      </text>
    </comment>
    <comment ref="AG8" authorId="1" shapeId="0" xr:uid="{06094851-2C4A-4631-BD73-709B2B01A7D7}">
      <text>
        <r>
          <rPr>
            <sz val="9"/>
            <color indexed="81"/>
            <rFont val="Segoe UI"/>
            <family val="2"/>
          </rPr>
          <t xml:space="preserve">ID: 144771
Label: skbgdtpx_help_q
Database: wiiw Monthly Database - Hidden
Status: active
Calculation: 
Calculation_M: q-&gt;m EOP(L_skbgdtpx_help_q&gt;mdb)
Calculation_Q: Share(L_skbgdtn_help_q&gt;mdb,L_skg11tnx_help_q&gt;mdb)
Calculation_A: q-&gt;a EOP(L_skbgdtpx_help_q&gt;mdb)
Periodicity: Q
Data available M: 2000m3 - 2023m9
Data available Q: 2000q1 - 2023q3
Data available A: 2000 - 2022
Text 99: 
Automatic update period: 1999|2015
Time shift: 
Note: 
Reporter: SK - Slovakia
Chapter 1: 10_DF - Domestic finance
Indicator: SC1009 - General government gross debt, total
Unit: 09_Share_%gdp - in % of GDP
Footnote 1:  - 
Footnote 2:  - 
Footnote 3:  - 
Footnote 4:  - 
Source 1: Z_ESTAT - Eurostat
Source 2: Z_wiiw - wiiw
Source 3:  - 
</t>
        </r>
      </text>
    </comment>
    <comment ref="G101" authorId="0" shapeId="0" xr:uid="{4DA3D2FC-6A99-4A20-AF10-3D59E37B846E}">
      <text>
        <r>
          <rPr>
            <b/>
            <sz val="9"/>
            <color indexed="81"/>
            <rFont val="Tahoma"/>
            <family val="2"/>
          </rPr>
          <t>BJ:</t>
        </r>
        <r>
          <rPr>
            <sz val="9"/>
            <color indexed="81"/>
            <rFont val="Tahoma"/>
            <family val="2"/>
          </rPr>
          <t xml:space="preserve">
from the budget for 2022</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BJ</author>
    <author>Alexandra Bykova</author>
  </authors>
  <commentList>
    <comment ref="B1" authorId="0" shapeId="0" xr:uid="{0D02D895-9CCB-4426-9A76-1BA3A161C2C0}">
      <text>
        <r>
          <rPr>
            <b/>
            <sz val="9"/>
            <color indexed="81"/>
            <rFont val="Tahoma"/>
            <family val="2"/>
          </rPr>
          <t>BJ:</t>
        </r>
        <r>
          <rPr>
            <sz val="9"/>
            <color indexed="81"/>
            <rFont val="Tahoma"/>
            <family val="2"/>
          </rPr>
          <t xml:space="preserve">
EU 27, seasonally and calendar adjusted
Eurostat</t>
        </r>
      </text>
    </comment>
    <comment ref="C1" authorId="0" shapeId="0" xr:uid="{9E702E9E-3BE1-4378-94A8-0E8AC5449A47}">
      <text>
        <r>
          <rPr>
            <b/>
            <sz val="9"/>
            <color indexed="81"/>
            <rFont val="Tahoma"/>
            <family val="2"/>
          </rPr>
          <t>BJ:</t>
        </r>
        <r>
          <rPr>
            <sz val="9"/>
            <color indexed="81"/>
            <rFont val="Tahoma"/>
            <family val="2"/>
          </rPr>
          <t xml:space="preserve">
Eurostat</t>
        </r>
      </text>
    </comment>
    <comment ref="D1" authorId="0" shapeId="0" xr:uid="{1723B424-252E-4A25-8ECF-6EABFFC08B48}">
      <text>
        <r>
          <rPr>
            <b/>
            <sz val="9"/>
            <color indexed="81"/>
            <rFont val="Tahoma"/>
            <family val="2"/>
          </rPr>
          <t>BJ:</t>
        </r>
        <r>
          <rPr>
            <sz val="9"/>
            <color indexed="81"/>
            <rFont val="Tahoma"/>
            <family val="2"/>
          </rPr>
          <t xml:space="preserve">
EU changing composition
Eurostat</t>
        </r>
      </text>
    </comment>
    <comment ref="E1" authorId="0" shapeId="0" xr:uid="{C43DD68F-AF5F-4365-88F0-AEB7D6B0C184}">
      <text>
        <r>
          <rPr>
            <b/>
            <sz val="9"/>
            <color indexed="81"/>
            <rFont val="Tahoma"/>
            <family val="2"/>
          </rPr>
          <t>BJ:</t>
        </r>
        <r>
          <rPr>
            <sz val="9"/>
            <color indexed="81"/>
            <rFont val="Tahoma"/>
            <family val="2"/>
          </rPr>
          <t xml:space="preserve">
ECB</t>
        </r>
      </text>
    </comment>
    <comment ref="F1" authorId="0" shapeId="0" xr:uid="{1904F935-9554-4983-8DA1-1D047828EA7C}">
      <text>
        <r>
          <rPr>
            <b/>
            <sz val="9"/>
            <color indexed="81"/>
            <rFont val="Tahoma"/>
            <family val="2"/>
          </rPr>
          <t>BJ:</t>
        </r>
        <r>
          <rPr>
            <sz val="9"/>
            <color indexed="81"/>
            <rFont val="Tahoma"/>
            <family val="2"/>
          </rPr>
          <t xml:space="preserve">
Crude oil, average, from WB pink sheets</t>
        </r>
      </text>
    </comment>
    <comment ref="G1" authorId="0" shapeId="0" xr:uid="{0CEACB89-CD6A-48EB-A286-D854D8673FA5}">
      <text>
        <r>
          <rPr>
            <sz val="9"/>
            <color indexed="81"/>
            <rFont val="Tahoma"/>
            <family val="2"/>
          </rPr>
          <t>General gov, nominal yoy growth, in NCU
wiiw</t>
        </r>
      </text>
    </comment>
    <comment ref="H1" authorId="0" shapeId="0" xr:uid="{27185A32-2471-45E3-9BD1-26ACCF320F8B}">
      <text>
        <r>
          <rPr>
            <b/>
            <sz val="9"/>
            <color indexed="81"/>
            <rFont val="Tahoma"/>
            <family val="2"/>
          </rPr>
          <t>BJ:</t>
        </r>
        <r>
          <rPr>
            <sz val="9"/>
            <color indexed="81"/>
            <rFont val="Tahoma"/>
            <family val="2"/>
          </rPr>
          <t xml:space="preserve">
General gov. budget - revenues NCU m (incl. 'euro fixed' series)
wiiw</t>
        </r>
      </text>
    </comment>
    <comment ref="I1" authorId="0" shapeId="0" xr:uid="{DE7F575D-B986-48AB-BB22-B7FC8D0862BB}">
      <text>
        <r>
          <rPr>
            <b/>
            <sz val="9"/>
            <color indexed="81"/>
            <rFont val="Tahoma"/>
            <family val="2"/>
          </rPr>
          <t>BJ:</t>
        </r>
        <r>
          <rPr>
            <sz val="9"/>
            <color indexed="81"/>
            <rFont val="Tahoma"/>
            <family val="2"/>
          </rPr>
          <t xml:space="preserve">
General gov. budget - balance
 in % of GDP
wiiw</t>
        </r>
      </text>
    </comment>
    <comment ref="J1" authorId="0" shapeId="0" xr:uid="{A62DF2EC-3292-44FB-9ACC-3C58F883FB1B}">
      <text>
        <r>
          <rPr>
            <b/>
            <sz val="9"/>
            <color indexed="81"/>
            <rFont val="Tahoma"/>
            <family val="2"/>
          </rPr>
          <t>BJ:</t>
        </r>
        <r>
          <rPr>
            <sz val="9"/>
            <color indexed="81"/>
            <rFont val="Tahoma"/>
            <family val="2"/>
          </rPr>
          <t xml:space="preserve">
For all GDP: 
NCU m, 2015 reference prices (prev. year prices, incl. 'euro fixed' series)
wiiw</t>
        </r>
      </text>
    </comment>
    <comment ref="K1" authorId="0" shapeId="0" xr:uid="{9A2CDDDA-43E0-41EF-A899-08BEA10D02E8}">
      <text>
        <r>
          <rPr>
            <b/>
            <sz val="9"/>
            <color indexed="81"/>
            <rFont val="Tahoma"/>
            <family val="2"/>
          </rPr>
          <t>BJ:</t>
        </r>
        <r>
          <rPr>
            <sz val="9"/>
            <color indexed="81"/>
            <rFont val="Tahoma"/>
            <family val="2"/>
          </rPr>
          <t xml:space="preserve">
Households + NPISH
Only Households</t>
        </r>
      </text>
    </comment>
    <comment ref="M1" authorId="0" shapeId="0" xr:uid="{621D7275-F070-41A1-8B6B-7F03F0A59A6F}">
      <text>
        <r>
          <rPr>
            <b/>
            <sz val="9"/>
            <color indexed="81"/>
            <rFont val="Tahoma"/>
            <family val="2"/>
          </rPr>
          <t>BJ:</t>
        </r>
        <r>
          <rPr>
            <sz val="9"/>
            <color indexed="81"/>
            <rFont val="Tahoma"/>
            <family val="2"/>
          </rPr>
          <t xml:space="preserve">
Gross capital formation</t>
        </r>
      </text>
    </comment>
    <comment ref="P1" authorId="0" shapeId="0" xr:uid="{1F0767D0-1042-465F-8895-E87E2217249B}">
      <text>
        <r>
          <rPr>
            <b/>
            <sz val="9"/>
            <color indexed="81"/>
            <rFont val="Tahoma"/>
            <family val="2"/>
          </rPr>
          <t>Employment, LFS, thousand persons
wiiw</t>
        </r>
      </text>
    </comment>
    <comment ref="Q1" authorId="0" shapeId="0" xr:uid="{3BCE129F-1BB9-4A55-9442-71E60CDF59BC}">
      <text>
        <r>
          <rPr>
            <b/>
            <sz val="9"/>
            <color indexed="81"/>
            <rFont val="Tahoma"/>
            <family val="2"/>
          </rPr>
          <t>Unemployment, LFS, thousand persons
wiiw</t>
        </r>
      </text>
    </comment>
    <comment ref="R1" authorId="0" shapeId="0" xr:uid="{0780723E-4167-4D2D-A389-AFB6C5D63A55}">
      <text>
        <r>
          <rPr>
            <b/>
            <sz val="9"/>
            <color indexed="81"/>
            <rFont val="Tahoma"/>
            <family val="2"/>
          </rPr>
          <t>Unemployment, LFS, in %
wiiw</t>
        </r>
      </text>
    </comment>
    <comment ref="S1" authorId="0" shapeId="0" xr:uid="{DBC60ED7-153A-4850-A72D-796E670B61AF}">
      <text>
        <r>
          <rPr>
            <sz val="9"/>
            <color indexed="81"/>
            <rFont val="Tahoma"/>
            <family val="2"/>
          </rPr>
          <t>Average monthly gross wages total, 
national currency (incl. 'euro fixed' series), yoy growth
wiiw</t>
        </r>
      </text>
    </comment>
    <comment ref="T1" authorId="0" shapeId="0" xr:uid="{B7123EEA-79C4-418C-AE77-53C8674BFE25}">
      <text>
        <r>
          <rPr>
            <b/>
            <sz val="9"/>
            <color indexed="81"/>
            <rFont val="Tahoma"/>
            <family val="2"/>
          </rPr>
          <t>BJ:</t>
        </r>
        <r>
          <rPr>
            <sz val="9"/>
            <color indexed="81"/>
            <rFont val="Tahoma"/>
            <family val="2"/>
          </rPr>
          <t xml:space="preserve">
Central bank policy rate, nominal
wiiw</t>
        </r>
      </text>
    </comment>
    <comment ref="U1" authorId="0" shapeId="0" xr:uid="{8CDBF131-09E2-4D85-9EA0-1EBDE42D94D0}">
      <text>
        <r>
          <rPr>
            <b/>
            <sz val="9"/>
            <color indexed="81"/>
            <rFont val="Tahoma"/>
            <family val="2"/>
          </rPr>
          <t>BJ:</t>
        </r>
        <r>
          <rPr>
            <sz val="9"/>
            <color indexed="81"/>
            <rFont val="Tahoma"/>
            <family val="2"/>
          </rPr>
          <t xml:space="preserve">
Consumer prices index, monthly average, 2015 = 100
wiiw</t>
        </r>
      </text>
    </comment>
    <comment ref="V1" authorId="0" shapeId="0" xr:uid="{7B57C893-DA04-4F0E-89E0-332B17F11C12}">
      <text>
        <r>
          <rPr>
            <b/>
            <sz val="9"/>
            <color indexed="81"/>
            <rFont val="Tahoma"/>
            <family val="2"/>
          </rPr>
          <t>BJ:</t>
        </r>
        <r>
          <rPr>
            <sz val="9"/>
            <color indexed="81"/>
            <rFont val="Tahoma"/>
            <family val="2"/>
          </rPr>
          <t xml:space="preserve">
Exchange rate nominal NCU/EUR, period average
wiiw</t>
        </r>
      </text>
    </comment>
    <comment ref="W1" authorId="0" shapeId="0" xr:uid="{8C121E4E-5A00-4F87-8C92-191A9863E80F}">
      <text>
        <r>
          <rPr>
            <b/>
            <sz val="9"/>
            <color indexed="81"/>
            <rFont val="Tahoma"/>
            <family val="2"/>
          </rPr>
          <t>BJ:</t>
        </r>
        <r>
          <rPr>
            <sz val="9"/>
            <color indexed="81"/>
            <rFont val="Tahoma"/>
            <family val="2"/>
          </rPr>
          <t xml:space="preserve">
 Industrial output (BCD - NACE Rev. 2), index real, monthly average, 2015 = 100, yoy growth
wiiw</t>
        </r>
      </text>
    </comment>
    <comment ref="X1" authorId="0" shapeId="0" xr:uid="{692F18EE-29C9-42CD-B017-3D53F1432F18}">
      <text>
        <r>
          <rPr>
            <b/>
            <sz val="9"/>
            <color indexed="81"/>
            <rFont val="Tahoma"/>
            <family val="2"/>
          </rPr>
          <t>BJ:</t>
        </r>
        <r>
          <rPr>
            <sz val="9"/>
            <color indexed="81"/>
            <rFont val="Tahoma"/>
            <family val="2"/>
          </rPr>
          <t xml:space="preserve">
Exports total, fob EUR m, yoy growth
wiiw
Alexandra: changed to BOP: exports of goods and services</t>
        </r>
      </text>
    </comment>
    <comment ref="Y1" authorId="0" shapeId="0" xr:uid="{461EF3F6-7E1C-4913-871E-36B498F18E8C}">
      <text>
        <r>
          <rPr>
            <b/>
            <sz val="9"/>
            <color indexed="81"/>
            <rFont val="Tahoma"/>
            <family val="2"/>
          </rPr>
          <t>BJ:</t>
        </r>
        <r>
          <rPr>
            <sz val="9"/>
            <color indexed="81"/>
            <rFont val="Tahoma"/>
            <family val="2"/>
          </rPr>
          <t xml:space="preserve">
 Imports total, cif EUR m
wiiw
Alexandra: changed to BOP: imports of goods and services</t>
        </r>
      </text>
    </comment>
    <comment ref="Z1" authorId="0" shapeId="0" xr:uid="{CB5CDEEB-51AF-41E9-A27C-3BE90D5159DB}">
      <text>
        <r>
          <rPr>
            <b/>
            <sz val="9"/>
            <color indexed="81"/>
            <rFont val="Tahoma"/>
            <family val="2"/>
          </rPr>
          <t>BJ:</t>
        </r>
        <r>
          <rPr>
            <sz val="9"/>
            <color indexed="81"/>
            <rFont val="Tahoma"/>
            <family val="2"/>
          </rPr>
          <t xml:space="preserve">
Current account in % of GDP
wiiw</t>
        </r>
      </text>
    </comment>
    <comment ref="AA1" authorId="0" shapeId="0" xr:uid="{2D18D713-EC48-4E36-87B2-15AADB69F80A}">
      <text>
        <r>
          <rPr>
            <b/>
            <sz val="9"/>
            <color indexed="81"/>
            <rFont val="Tahoma"/>
            <family val="2"/>
          </rPr>
          <t>BJ:</t>
        </r>
        <r>
          <rPr>
            <sz val="9"/>
            <color indexed="81"/>
            <rFont val="Tahoma"/>
            <family val="2"/>
          </rPr>
          <t xml:space="preserve">
Households + NPISH</t>
        </r>
      </text>
    </comment>
    <comment ref="AC1" authorId="0" shapeId="0" xr:uid="{0DFF96EC-E27E-42D0-9456-027F3C49818C}">
      <text>
        <r>
          <rPr>
            <b/>
            <sz val="9"/>
            <color indexed="81"/>
            <rFont val="Tahoma"/>
            <family val="2"/>
          </rPr>
          <t>BJ:</t>
        </r>
        <r>
          <rPr>
            <sz val="9"/>
            <color indexed="81"/>
            <rFont val="Tahoma"/>
            <family val="2"/>
          </rPr>
          <t xml:space="preserve">
Gross capital formation</t>
        </r>
      </text>
    </comment>
    <comment ref="AF1" authorId="0" shapeId="0" xr:uid="{188DDA05-93E3-4974-ACCC-EE182ED1F28C}">
      <text>
        <r>
          <rPr>
            <b/>
            <sz val="9"/>
            <color indexed="81"/>
            <rFont val="Tahoma"/>
            <family val="2"/>
          </rPr>
          <t>BJ:</t>
        </r>
        <r>
          <rPr>
            <sz val="9"/>
            <color indexed="81"/>
            <rFont val="Tahoma"/>
            <family val="2"/>
          </rPr>
          <t xml:space="preserve">
loans to households, nominal, yoy growth rates</t>
        </r>
      </text>
    </comment>
    <comment ref="B8" authorId="1" shapeId="0" xr:uid="{2DCB77E6-6CB8-4F54-8B2D-5C9BF8C1F31D}">
      <text>
        <r>
          <rPr>
            <sz val="9"/>
            <color indexed="81"/>
            <rFont val="Segoe UI"/>
            <family val="2"/>
          </rPr>
          <t xml:space="preserve">ID: 144396
Label: eug11tscrx_q
Database: wiiw Monthly Database - Hidden
Status: active
Calculation: 
Calculation_M: SubScal(L_eug11tscx_q&gt;mdb,100)
Calculation_Q: SubScal(L_eug11tscx_q&gt;mdb,100)
Calculation_A: SubScal(L_eug11tscx_q&gt;mdb,100)
Periodicity: Q
Data available M: 1996m3 - 2023m9
Data available Q: 1996q1 - 2023q3
Data available A: 1996 - 2022
Text 99: 
Automatic update period: 1999|2015
Time shift: 
Note: 
Reporter: EU27_2020 - EU - 27 countries (from 2020)
Chapter 1: 02_NA - National accounts
Indicator: SC0201 - Gross domestic product total
Unit: 05_Ireal_36 - real growth rate to corresponding period of previous year in %
Footnote 1: FZZ05 - According to ESA'10.
Footnote 2:  - 
Footnote 3:  - 
Footnote 4:  - 
Source 1: Z_ESTAT - Eurostat
Source 2: Z_wiiw - wiiw
Source 3:  - 
</t>
        </r>
      </text>
    </comment>
    <comment ref="C8" authorId="1" shapeId="0" xr:uid="{62480D72-F61A-452C-A95E-0EF9C8381E2C}">
      <text>
        <r>
          <rPr>
            <sz val="9"/>
            <color indexed="81"/>
            <rFont val="Segoe UI"/>
            <family val="2"/>
          </rPr>
          <t xml:space="preserve">ID: 77811
Label: eup1p1tsa
Database: wiiw Monthly Database - Hidden
Status: active
Calculation: 
Calculation_M: 
Calculation_Q: m-&gt;q AVG(L_eup1p1tsa&gt;mdb)
Calculation_A: q-&gt;a AVG(L_eup1p1tsa&gt;mdb)
Periodicity: Q
Data available M: 1999m1 - 2023m12
Data available Q: 1999q1 - 2023q4
Data available A: 1999 - 2023
Text 99: 
Automatic update period: 1999|2015
Time shift: 
Note: 
Reporter: EU - European Union evolutionary
Chapter 1: 07_PRC - Prices
Indicator: SC0701 - Consumer prices
Unit: 03_I_1_085_15avg - index, monthly average, 2015 = 100
Footnote 1: FZZ40 - Based on HICP (Harmonized Index of Consumer Prices).
Footnote 2:  - 
Footnote 3:  - 
Footnote 4:  - 
Source 1: Z_ESTAT - Eurostat
Source 2:  - 
Source 3:  - 
</t>
        </r>
      </text>
    </comment>
    <comment ref="D8" authorId="1" shapeId="0" xr:uid="{671CE80E-8828-443F-AC9F-60C1E1F3CBE4}">
      <text>
        <r>
          <rPr>
            <sz val="9"/>
            <color indexed="81"/>
            <rFont val="Segoe UI"/>
            <family val="2"/>
          </rPr>
          <t xml:space="preserve">ID: 77812
Label: eup1p1tscx
Database: wiiw Monthly Database - Hidden
Status: active
Calculation: SubScal(L_eup1p1tscx&gt;mdb,100)
Calculation_M: CPPY=100(L_eup1p1tsa&gt;mdb)
Calculation_Q: CPPY=100(L_eup1p1tsa&gt;mdb)
Calculation_A: CPPY=100(L_eup1p1tsa&gt;mdb)
Periodicity: Q
Data available M: 1992m1 - 2023m12
Data available Q: 1992q1 - 2023q4
Data available A: 1992 - 2023
Text 99: 
Automatic update period: 1999|2015
Time shift: 
Note: 
Reporter: EU - European Union evolutionary
Chapter 1: 07_PRC - Prices
Indicator: SC0701 - Consumer prices
Unit: 03_I_32 - index, corresponding period of previous year = 100
Footnote 1: FZZ40 - Based on HICP (Harmonized Index of Consumer Prices).
Footnote 2:  - 
Footnote 3:  - 
Footnote 4:  - 
Source 1: Z_ESTAT - Eurostat
Source 2: Z_wiiw - wiiw
Source 3:  - 
</t>
        </r>
      </text>
    </comment>
    <comment ref="E8" authorId="1" shapeId="0" xr:uid="{74DF5EA5-80CD-496B-AEF4-409A5F5D4D45}">
      <text>
        <r>
          <rPr>
            <sz val="9"/>
            <color indexed="81"/>
            <rFont val="Segoe UI"/>
            <family val="2"/>
          </rPr>
          <t xml:space="preserve">ID: 144399
Label: eafrr1tp_help
Database: wiiw Monthly Database - Hidden
Status: active
Calculation: 
Calculation_M: L_eafrr1tp&gt;mdb
Calculation_Q: m-&gt;q AVG(L_eafrr1tp&gt;mdb)
Calculation_A: q-&gt;a AVG(L_eafrr1tp&gt;mdb)
Periodicity: Q
Data available M: 1999m1 - 2023m12
Data available Q: 1999q1 - 2023q4
Data available A: 1999 - 2023
Text 99: 
Automatic update period: 1999|2015
Time shift: 
Note: 
Reporter: EA - Euro area evolutionary
Chapter 1: 10_DF - Domestic finance
Indicator: SC1050 - Central bank policy rate
Unit: 06_IntR_6 - % p.a., period average
Footnote 1: FZZ50 - Official refinancing operation rates for euro area (ECB), rate in fixed rate tenders (between June 2000 and September 2008 the minimum bid rate in variable rate tenders was applied).
Footnote 2:  - 
Footnote 3:  - 
Footnote 4:  - 
Source 1: Z_ECB - European Central Bank
Source 2:  - 
Source 3:  - 
</t>
        </r>
      </text>
    </comment>
    <comment ref="F8" authorId="1" shapeId="0" xr:uid="{AAEB82B8-9FCB-4909-A826-CA8F104EC38C}">
      <text>
        <r>
          <rPr>
            <sz val="9"/>
            <color indexed="81"/>
            <rFont val="Segoe UI"/>
            <family val="2"/>
          </rPr>
          <t xml:space="preserve">ID: 101874
Label: usp2oila
Database: wiiw Monthly Database - Hidden
Status: active
Calculation: 
Calculation_M: 
Calculation_Q: M-&gt;Q AVG(L_usp2oila&gt;mdb)
Calculation_A: Q-&gt;A AVG(L_usp2oila&gt;mdb)
Periodicity: Q
Data available M: 1990m1 - 2023m12
Data available Q: 1990q1 - 2023q4
Data available A: 1990 - 2023
Text 99: 
Automatic update period: 1999|2015
Time shift: 
Note: Oil prices  &amp; Europe Brent Spot Price FOB (Dollars per Barrel) &amp; EIA (US) Source of the data. Gespeichert auf die EU&amp;US Karten.
Reporter: US - United States
Chapter 1: 11_FF - Foreign finance
Indicator:  - 
Unit:  - 
Footnote 1:  - 
Footnote 2:  - 
Footnote 3:  - 
Footnote 4:  - 
Source 1:  - 
Source 2:  - 
Source 3:  - 
</t>
        </r>
      </text>
    </comment>
    <comment ref="G8" authorId="1" shapeId="0" xr:uid="{EA749F4D-17A0-4C7E-893C-192EDA417978}">
      <text>
        <r>
          <rPr>
            <sz val="9"/>
            <color indexed="81"/>
            <rFont val="Segoe UI"/>
            <family val="2"/>
          </rPr>
          <t xml:space="preserve">ID: 32812
Label: sibg21n_q
Database: wiiw Monthly Database - Public
Status: active
Calculation: SubScal(CPPY=100(L_sibg21n_q&gt;mdb),100)
Calculation_M: q-&gt;m EOP(L_sibg21n_q&gt;mdb)
Calculation_Q: 
Calculation_A: Q-&gt;A CUMPER(L_sibg21n_q&gt;mdb)
Periodicity: Q
Data available M: 1999m3 - 2023m9
Data available Q: 1999q1 - 2023q3
Data available A: 1999 - 2022
Text 99: 
Automatic update period: 1999|2015
Time shift: 
Note: 
Reporter: SI - Slovenia
Chapter 1: 10_DF - Domestic finance
Indicator: SC1011 - General gov. budget (ESA'10, EDP) - expenditures
Unit: 01_Curr_12 - NCU m (incl. 'euro fixed' series)
Footnote 1: FZZ42 - According to ESA'10 excessive deficit procedure.
Footnote 2: FSI28 - Until December 2006 time serie in SIT have been divided by the conversion factor 239.64 (SIT per EUR) to EUR-SIT.
Footnote 3:  - 
Footnote 4:  - 
Source 1: Z_ESTAT - Eurostat
Source 2:  - 
Source 3:  - 
</t>
        </r>
      </text>
    </comment>
    <comment ref="H8" authorId="1" shapeId="0" xr:uid="{548D83FD-09DB-4BAC-B735-1BE712CF67CF}">
      <text>
        <r>
          <rPr>
            <sz val="9"/>
            <color indexed="81"/>
            <rFont val="Segoe UI"/>
            <family val="2"/>
          </rPr>
          <t xml:space="preserve">ID: 32811
Label: sibg11n_q
Database: wiiw Monthly Database - Public
Status: active
Calculation: SubScal(CPPY=100(L_sibg11n_q&gt;mdb),100)
Calculation_M: q-&gt;m EOP(L_sibg11n_q&gt;mdb)
Calculation_Q: 
Calculation_A: Q-&gt;A CUMPER(L_sibg11n_q&gt;mdb)
Periodicity: Q
Data available M: 1999m3 - 2023m9
Data available Q: 1999q1 - 2023q3
Data available A: 1999 - 2022
Text 99: 
Automatic update period: 1999|2015
Time shift: 
Note: 
Reporter: SI - Slovenia
Chapter 1: 10_DF - Domestic finance
Indicator: SC1010 - General gov. budget (ESA'10, EDP) - revenues
Unit: 01_Curr_12 - NCU m (incl. 'euro fixed' series)
Footnote 1: FZZ42 - According to ESA'10 excessive deficit procedure.
Footnote 2: FSI28 - Until December 2006 time serie in SIT have been divided by the conversion factor 239.64 (SIT per EUR) to EUR-SIT.
Footnote 3:  - 
Footnote 4:  - 
Source 1: Z_ESTAT - Eurostat
Source 2:  - 
Source 3:  - 
</t>
        </r>
      </text>
    </comment>
    <comment ref="I8" authorId="1" shapeId="0" xr:uid="{1C107C8F-70CB-4154-B4F4-A8997B2DB5CA}">
      <text>
        <r>
          <rPr>
            <sz val="9"/>
            <color indexed="81"/>
            <rFont val="Segoe UI"/>
            <family val="2"/>
          </rPr>
          <t xml:space="preserve">ID: 89171
Label: sibg31px_q
Database: wiiw Monthly Database - Public
Status: active
Calculation: 
Calculation_M: Q-&gt;M EOP(L_sibg31px_q&gt;mdb)
Calculation_Q: Share(L_sibg31nx_q&gt;mdb,L_sig11tn_q&gt;mdb)
Calculation_A: Share(L_sibg31nx_q&gt;mdb,L_sig11tn_q&gt;mdb)
Periodicity: Q
Data available M: 1999m3 - 2023m9
Data available Q: 1999q1 - 2023q3
Data available A: 1999 - 2022
Text 99: 
Automatic update period: 1999|2015
Time shift: 
Note: 
Reporter: SI - Slovenia
Chapter 1: 10_DF - Domestic finance
Indicator: SC1012 - General gov. budget (ESA'10, EDP) - balance
Unit: 09_Share_%gdp - in % of GDP
Footnote 1: FZZ42 - According to ESA'10 excessive deficit procedure.
Footnote 2:  - 
Footnote 3:  - 
Footnote 4:  - 
Source 1: Z_ESTAT - Eurostat
Source 2: Z_wiiw - wiiw
Source 3:  - 
</t>
        </r>
      </text>
    </comment>
    <comment ref="J8" authorId="1" shapeId="0" xr:uid="{229C0C93-1955-443A-B382-BB21C77221BA}">
      <text>
        <r>
          <rPr>
            <sz val="9"/>
            <color indexed="81"/>
            <rFont val="Segoe UI"/>
            <family val="2"/>
          </rPr>
          <t xml:space="preserve">ID: 88684
Label: sig11tr15_q
Database: wiiw Monthly Database - Public
Status: active
Calculation: SubScal(CPPY=100(L_sig11tr15_q&gt;mdb),100)
Calculation_M: q-&gt;m EOP(L_sig11tr15_q&gt;mdb)
Calculation_Q: 
Calculation_A: q-&gt;a CumPer(L_sig11tr15_q&gt;mdb)
Periodicity: Q
Data available M: 1995m3 - 2023m9
Data available Q: 1995q1 - 2023q3
Data available A: 1995 - 2022
Text 99: 
Automatic update period: 1999|2015
Time shift: 
Note: 
Reporter: SI - Slovenia
Chapter 1: 02_NA - National accounts
Indicator: SC0201 - Gross domestic product total
Unit: 01_Curr_15_085_15_r - NCU m, 2015 reference prices (prev. year prices, incl. 'euro fixed' series)
Footnote 1: FZZ05 - According to ESA'10.
Footnote 2:  - 
Footnote 3:  - 
Footnote 4:  - 
Source 1: Z_ESTAT - Eurostat
Source 2:  - 
Source 3:  - 
</t>
        </r>
      </text>
    </comment>
    <comment ref="K8" authorId="1" shapeId="0" xr:uid="{868D9A61-24DE-445B-897A-039F6883D4B7}">
      <text>
        <r>
          <rPr>
            <sz val="9"/>
            <color indexed="81"/>
            <rFont val="Segoe UI"/>
            <family val="2"/>
          </rPr>
          <t xml:space="preserve">ID: 90879
Label: sig222r15_q
Database: wiiw Monthly Database - Public
Status: active
Calculation: SubScal(CPPY=100(L_sig222r15_q&gt;mdb),100)
Calculation_M: q-&gt;m EOP(L_sig222r15_q&gt;mdb)
Calculation_Q: 
Calculation_A: q-&gt;a CumPer(L_sig222r15_q&gt;mdb)
Periodicity: Q
Data available M: 1995m3 - 2023m9
Data available Q: 1995q1 - 2023q3
Data available A: 1995 - 2022
Text 99: 
Automatic update period: 1999|2015
Time shift: 
Note: 
Reporter: SI - Slovenia
Chapter 1: 02_NA - National accounts
Indicator: SC0212 - Household final consumption expenditure
Unit: 01_Curr_15_085_15_r - NCU m, 2015 reference prices (prev. year prices, incl. 'euro fixed' series)
Footnote 1:  - 
Footnote 2:  - 
Footnote 3:  - 
Footnote 4:  - 
Source 1: Z_ESTAT - Eurostat
Source 2:  - 
Source 3:  - 
</t>
        </r>
      </text>
    </comment>
    <comment ref="L8" authorId="1" shapeId="0" xr:uid="{B28C3FCE-6487-47DE-8F18-DEA680720472}">
      <text>
        <r>
          <rPr>
            <sz val="9"/>
            <color indexed="81"/>
            <rFont val="Segoe UI"/>
            <family val="2"/>
          </rPr>
          <t xml:space="preserve">ID: 90923
Label: sig223r15_q
Database: wiiw Monthly Database - Public
Status: active
Calculation: SubScal(CPPY=100(L_sig223r15_q&gt;mdb),100)
Calculation_M: q-&gt;m EOP(L_sig223r15_q&gt;mdb)
Calculation_Q: 
Calculation_A: q-&gt;a CumPer(L_sig223r15_q&gt;mdb)
Periodicity: Q
Data available M: 1995m3 - 2023m9
Data available Q: 1995q1 - 2023q3
Data available A: 1995 - 2022
Text 99: 
Automatic update period: 1999|2015
Time shift: 
Note: 
Reporter: SI - Slovenia
Chapter 1: 02_NA - National accounts
Indicator: SC0214 - Government final consumption expenditure
Unit: 01_Curr_15_085_15_r - NCU m, 2015 reference prices (prev. year prices, incl. 'euro fixed' series)
Footnote 1:  - 
Footnote 2:  - 
Footnote 3:  - 
Footnote 4:  - 
Source 1: Z_ESTAT - Eurostat
Source 2:  - 
Source 3:  - 
</t>
        </r>
      </text>
    </comment>
    <comment ref="M8" authorId="1" shapeId="0" xr:uid="{32B1D519-3033-430E-9CB7-BFFFE560C2EC}">
      <text>
        <r>
          <rPr>
            <sz val="9"/>
            <color indexed="81"/>
            <rFont val="Segoe UI"/>
            <family val="2"/>
          </rPr>
          <t xml:space="preserve">ID: 90945
Label: sig224r15_q
Database: wiiw Monthly Database - Public
Status: active
Calculation: SubScal(CPPY=100(L_sig224r15_q&gt;mdb),100)
Calculation_M: q-&gt;m EOP(L_sig224r15_q&gt;mdb)
Calculation_Q: 
Calculation_A: q-&gt;a CumPer(L_sig224r15_q&gt;mdb)
Periodicity: Q
Data available M: 1995m3 - 2023m9
Data available Q: 1995q1 - 2023q3
Data available A: 1995 - 2022
Text 99: 
Automatic update period: 1999|2015
Time shift: 
Note: 
Reporter: SI - Slovenia
Chapter 1: 02_NA - National accounts
Indicator: SC0217 - Gross capital formation
Unit: 01_Curr_15_085_15_r - NCU m, 2015 reference prices (prev. year prices, incl. 'euro fixed' series)
Footnote 1:  - 
Footnote 2:  - 
Footnote 3:  - 
Footnote 4:  - 
Source 1: Z_ESTAT - Eurostat
Source 2:  - 
Source 3:  - 
</t>
        </r>
      </text>
    </comment>
    <comment ref="N8" authorId="1" shapeId="0" xr:uid="{503CEE04-EBD7-4494-9632-A2F859F63A60}">
      <text>
        <r>
          <rPr>
            <sz val="9"/>
            <color indexed="81"/>
            <rFont val="Segoe UI"/>
            <family val="2"/>
          </rPr>
          <t xml:space="preserve">ID: 90989
Label: sig228r15_q
Database: wiiw Monthly Database - Public
Status: active
Calculation: SubScal(CPPY=100(L_sig228r15_q&gt;mdb),100)
Calculation_M: q-&gt;m EOP(L_sig228r15_q&gt;mdb)
Calculation_Q: 
Calculation_A: q-&gt;a CumPer(L_sig228r15_q&gt;mdb)
Periodicity: Q
Data available M: 1995m3 - 2023m9
Data available Q: 1995q1 - 2023q3
Data available A: 1995 - 2022
Text 99: 
Automatic update period: 1999|2015
Time shift: 
Note: 
Reporter: SI - Slovenia
Chapter 1: 02_NA - National accounts
Indicator: SC0221 - Exports of goods and services
Unit: 01_Curr_15_085_15_r - NCU m, 2015 reference prices (prev. year prices, incl. 'euro fixed' series)
Footnote 1:  - 
Footnote 2:  - 
Footnote 3:  - 
Footnote 4:  - 
Source 1: Z_ESTAT - Eurostat
Source 2:  - 
Source 3:  - 
</t>
        </r>
      </text>
    </comment>
    <comment ref="O8" authorId="1" shapeId="0" xr:uid="{91999BA9-735F-4EE1-8222-CC470CD0CB02}">
      <text>
        <r>
          <rPr>
            <sz val="9"/>
            <color indexed="81"/>
            <rFont val="Segoe UI"/>
            <family val="2"/>
          </rPr>
          <t xml:space="preserve">ID: 91011
Label: sig229r15_q
Database: wiiw Monthly Database - Public
Status: active
Calculation: SubScal(CPPY=100(L_sig229r15_q&gt;mdb),100)
Calculation_M: q-&gt;m EOP(L_sig229r15_q&gt;mdb)
Calculation_Q: 
Calculation_A: q-&gt;a CumPer(L_sig229r15_q&gt;mdb)
Periodicity: Q
Data available M: 1995m3 - 2023m9
Data available Q: 1995q1 - 2023q3
Data available A: 1995 - 2022
Text 99: 
Automatic update period: 1999|2015
Time shift: 
Note: 
Reporter: SI - Slovenia
Chapter 1: 02_NA - National accounts
Indicator: SC0222 - Imports of goods and services
Unit: 01_Curr_15_085_15_r - NCU m, 2015 reference prices (prev. year prices, incl. 'euro fixed' series)
Footnote 1:  - 
Footnote 2:  - 
Footnote 3:  - 
Footnote 4:  - 
Source 1: Z_ESTAT - Eurostat
Source 2:  - 
Source 3:  - 
</t>
        </r>
      </text>
    </comment>
    <comment ref="P8" authorId="1" shapeId="0" xr:uid="{416D8650-B52C-41C2-B68F-B346CAB8DBDA}">
      <text>
        <r>
          <rPr>
            <sz val="9"/>
            <color indexed="81"/>
            <rFont val="Segoe UI"/>
            <family val="2"/>
          </rPr>
          <t xml:space="preserve">ID: 32653
Label: sie51_ta_q
Database: wiiw Monthly Database - Public
Status: active
Calculation: 
Calculation_M: q-&gt;m EOP(L_sie51_ta_q&gt;mdb)
Calculation_Q: 
Calculation_A: q-&gt;a AVG(L_sie51_ta_q&gt;mdb)
Periodicity: Q
Data available M: 1993m6 - 2023m9
Data available Q: 1993q2 - 2023q3
Data available A: 1993 - 2022
Text 99: 
Automatic update period: 1999|2015
Time shift: 
Note: Annually Grüne Werte als Durchsschnitte von verfügbaren Quartalsdaten gerechnet (AL).
Reporter: SI - Slovenia
Chapter 1: 05_LAB - Labour market
Indicator: SC0501 - Employment, LFS
Unit: 02_Pers_11 - th persons, period average
Footnote 1: FZZ09 - From 2021 new methodology in line with the Integrated European Social Statistics Regulation (IESS).
Footnote 2: FSI14 - From 2002 according to census 2002.
Footnote 3:  - 
Footnote 4:  - 
Source 1: Z_ESTAT - Eurostat
Source 2: QSI1 - Statistical Office of Slovenia
Source 3:  - 
</t>
        </r>
      </text>
    </comment>
    <comment ref="Q8" authorId="1" shapeId="0" xr:uid="{39810438-F3B5-440C-B5BE-AB43525205E4}">
      <text>
        <r>
          <rPr>
            <sz val="9"/>
            <color indexed="81"/>
            <rFont val="Segoe UI"/>
            <family val="2"/>
          </rPr>
          <t xml:space="preserve">ID: 32683
Label: sie5u_ta_q
Database: wiiw Monthly Database - Public
Status: active
Calculation: 
Calculation_M: q-&gt;m EOP(L_sie5u_ta_q&gt;mdb)
Calculation_Q: 
Calculation_A: q-&gt;a AVG(L_sie5u_ta_q&gt;mdb)
Periodicity: Q
Data available M: 1993m6 - 2023m9
Data available Q: 1993q2 - 2023q3
Data available A: 1993 - 2022
Text 99: 
Automatic update period: 1999|2015
Time shift: 
Note: Annually Grüne Werte als Durchsschnitte von verfügbaren Quartalsdaten gerechnet (AL).
Reporter: SI - Slovenia
Chapter 1: 05_LAB - Labour market
Indicator: SC0507 - Unemployment, LFS
Unit: 02_Pers_11 - th persons, period average
Footnote 1: FZZ09 - From 2021 new methodology in line with the Integrated European Social Statistics Regulation (IESS).
Footnote 2: FSI14 - From 2002 according to census 2002.
Footnote 3:  - 
Footnote 4:  - 
Source 1: Z_ESTAT - Eurostat
Source 2: QSI1 - Statistical Office of Slovenia
Source 3:  - 
</t>
        </r>
      </text>
    </comment>
    <comment ref="R8" authorId="1" shapeId="0" xr:uid="{05ABA9EB-432A-40BB-AB24-1BF70352F278}">
      <text>
        <r>
          <rPr>
            <sz val="9"/>
            <color indexed="81"/>
            <rFont val="Segoe UI"/>
            <family val="2"/>
          </rPr>
          <t xml:space="preserve">ID: 32700
Label: sie5u_tp_q
Database: wiiw Monthly Database - Public
Status: active
Calculation: 
Calculation_M: q-&gt;m EOP(L_sie5u_tp_q&gt;mdb)
Calculation_Q: 
Calculation_A: MulScal(Div(L_sie5u_ta_q&gt;mdb,Add(L_sie5u_ta_q&gt;mdb,L_sie51_ta_q&gt;mdb)),100)
Periodicity: Q
Data available M: 1993m6 - 2023m9
Data available Q: 1993q2 - 2023q3
Data available A: 1993 - 2022
Text 99: 
Automatic update period: 1999|2015
Time shift: 
Note: 
Reporter: SI - Slovenia
Chapter 1: 05_LAB - Labour market
Indicator: SC0508 - Unemployment rate, LFS
Unit: 02_Pers_21 - in %, period average
Footnote 1: FZZ09 - From 2021 new methodology in line with the Integrated European Social Statistics Regulation (IESS).
Footnote 2: FSI14 - From 2002 according to census 2002.
Footnote 3:  - 
Footnote 4:  - 
Source 1: Z_ESTAT - Eurostat
Source 2: QSI1 - Statistical Office of Slovenia
Source 3:  - 
</t>
        </r>
      </text>
    </comment>
    <comment ref="S8" authorId="1" shapeId="0" xr:uid="{B499EB4E-62CA-4A84-BF26-026220985958}">
      <text>
        <r>
          <rPr>
            <sz val="9"/>
            <color indexed="81"/>
            <rFont val="Segoe UI"/>
            <family val="2"/>
          </rPr>
          <t xml:space="preserve">ID: 317
Label: siw11_tccx
Database: wiiw Monthly Database - Public
Status: active
Calculation: SubScal(L_siw11_tccx&gt;mdb,100)
Calculation_M: CPPY=100(L_siw11_tn&gt;mdb)
Calculation_Q: CPPY=100(L_siw11_tn&gt;mdb)
Calculation_A: CPPY=100(L_siw11_tn&gt;mdb)
Periodicity: Q
Data available M: 1993m1 - 2023m11
Data available Q: 1993q1 - 2023q3
Data available A: 1993 - 2022
Text 99: 
Automatic update period: 1999|2015
Time shift: 
Note: 2009 NACE2: no impact on growth rates.
Reporter: SI - Slovenia
Chapter 1: 06_WS - Wages
Indicator: SC0601 - Average monthly gross wages total
Unit: 04_Inom_32 - index nominal, corresponding period of previous year = 100
Footnote 1: FSI19 - Until Dec 2004 legal persons with 1 or 2 employees in private sector are not taken into account.
Footnote 2: FSI20 - From 2015 new data sources in public sector.
Footnote 3:  - 
Footnote 4:  - 
Source 1: QSI1 - Statistical Office of Slovenia
Source 2: Z_wiiw - wiiw
Source 3:  - 
</t>
        </r>
      </text>
    </comment>
    <comment ref="T8" authorId="1" shapeId="0" xr:uid="{877F5A88-1409-48A9-8E9E-5B5B92C06044}">
      <text>
        <r>
          <rPr>
            <sz val="9"/>
            <color indexed="81"/>
            <rFont val="Segoe UI"/>
            <family val="2"/>
          </rPr>
          <t xml:space="preserve">ID: 786
Label: sifrr1tp
Database: wiiw Monthly Database - Public
Status: active
Calculation: 
Calculation_M: TimeSpan(L_eafrr1tp&gt;mdb,2007-)
Calculation_Q: m-&gt;q EOP(L_sifrr1tp&gt;mdb)
Calculation_A: q-&gt;a EOP(L_sifrr1tp&gt;mdb)
Periodicity: Q
Data available M: 1992m1 - 2023m12
Data available Q: 1992q1 - 2023q4
Data available A: 1992 - 2023
Text 99: 
Automatic update period: 1999|2015
Time shift: 
Note: from 2007 Eurostat data! (wiiw Daten nicht durch E-Stat ersetzbar, es bleibt die main refinancing rate of BS!)
Reporter: SI - Slovenia
Chapter 1: 10_DF - Domestic finance
Indicator: SC1050 - Central bank policy rate
Unit: 06_IntR_1 - % p.a., end of period
Footnote 1: FSI26 - From January 2007 euro area official refinancing operation rate, Oct 2001-Dec 2006 main refinancing rate, discount rate before.
Footnote 2:  - 
Footnote 3:  - 
Footnote 4:  - 
Source 1: Z_ECB - European Central Bank
Source 2: QSI2 - Bank of Slovenia
Source 3:  - 
</t>
        </r>
      </text>
    </comment>
    <comment ref="U8" authorId="1" shapeId="0" xr:uid="{20C32569-5BB2-4A87-A33F-265396F6955E}">
      <text>
        <r>
          <rPr>
            <sz val="9"/>
            <color indexed="81"/>
            <rFont val="Segoe UI"/>
            <family val="2"/>
          </rPr>
          <t xml:space="preserve">ID: 575
Label: sip1p1tsa
Database: wiiw Monthly Database - Public
Status: active
Calculation: 
Calculation_M: 
Calculation_Q: m-&gt;q AVG(L_sip1p1tsa&gt;mdb)
Calculation_A: q-&gt;a AVG(L_sip1p1tsa&gt;mdb)
Periodicity: Q
Data available M: 1999m1 - 2023m12
Data available Q: 1999q1 - 2023q4
Data available A: 1999 - 2023
Text 99: 
Automatic update period: 1999|2015
Time shift: 
Note: 
Reporter: SI - Slovenia
Chapter 1: 07_PRC - Prices
Indicator: SC0701 - Consumer prices
Unit: 03_I_1_085_15avg - index, monthly average, 2015 = 100
Footnote 1: FZZ40 - Based on HICP (Harmonized Index of Consumer Prices).
Footnote 2:  - 
Footnote 3:  - 
Footnote 4:  - 
Source 1: Z_ESTAT - Eurostat
Source 2:  - 
Source 3:  - 
</t>
        </r>
      </text>
    </comment>
    <comment ref="V8" authorId="1" shapeId="0" xr:uid="{51399398-C505-4356-A1A3-AEEA3A5FADD8}">
      <text>
        <r>
          <rPr>
            <sz val="9"/>
            <color indexed="81"/>
            <rFont val="Segoe UI"/>
            <family val="2"/>
          </rPr>
          <t xml:space="preserve">ID: 967
Label: sip2xea
Database: wiiw Monthly Database - Public
Status: active
Calculation: 
Calculation_M: TimeSpan(L_mep2xea&gt;mdb,2020-)
Calculation_Q: m-&gt;q AVG(L_sip2xea&gt;mdb)
Calculation_A: q-&gt;a AVG(L_sip2xea&gt;mdb)
Periodicity: Q
Data available M: 1991m12 - 2024m1
Data available Q: 1992q1 - 2023q4
Data available A: 1992 - 2023
Text 99: 
Automatic update period: 1999|2015
Time shift: 
Note: 
Reporter: SI - Slovenia
Chapter 1: 11_FF - Foreign finance
Indicator: SC1107 - Exchange rate nominal
Unit: 07_Exch_12 - NCU/EUR, period average
Footnote 1: FZZ21 - Up to December 1998 ECU.
Footnote 2: FSI38 - Until December 2006 EUR-SIT per EUR.
Footnote 3:  - 
Footnote 4:  - 
Source 1: Z_ESTAT - Eurostat
Source 2: QSI2 - Bank of Slovenia
Source 3:  - 
</t>
        </r>
      </text>
    </comment>
    <comment ref="W8" authorId="1" shapeId="0" xr:uid="{72E13492-5EDB-4DA8-A57A-765B90648289}">
      <text>
        <r>
          <rPr>
            <sz val="9"/>
            <color indexed="81"/>
            <rFont val="Segoe UI"/>
            <family val="2"/>
          </rPr>
          <t xml:space="preserve">ID: 32212
Label: sia1211tscx
Database: wiiw Monthly Database - Public
Status: active
Calculation: SubScal(L_sia1211tscx&gt;mdb,100)
Calculation_M: CPPY=100(L_sia1211tsa&gt;mdb)
Calculation_Q: CPPY=100(L_sia1211tsa&gt;mdb)
Calculation_A: CPPY=100(L_sia1211tsa&gt;mdb)
Periodicity: Q
Data available M: 2001m1 - 2023m11
Data available Q: 2001q1 - 2023q3
Data available A: 2001 - 2022
Text 99: 
Automatic update period: 1999|2015
Time shift: 
Note: 
Reporter: SI - Slovenia
Chapter 1: 04_PROD - Production
Indicator: SC0401 - Industrial output (BCD - NACE Rev. 2)
Unit: 05_Ireal_32 - index real, corresponding period of previous year = 100
Footnote 1:  - 
Footnote 2:  - 
Footnote 3:  - 
Footnote 4:  - 
Source 1: Z_ESTAT - Eurostat
Source 2: Z_wiiw - wiiw
Source 3:  - 
</t>
        </r>
      </text>
    </comment>
    <comment ref="X8" authorId="1" shapeId="0" xr:uid="{503D1382-9989-4815-ABC8-3709E022D663}">
      <text>
        <r>
          <rPr>
            <sz val="9"/>
            <color indexed="81"/>
            <rFont val="Segoe UI"/>
            <family val="2"/>
          </rPr>
          <t xml:space="preserve">ID: 87279
Label: silago2e_q
Database: wiiw Monthly Database - Hidden
Status: active
Calculation: SubScal(CPPY=100(AddNull(L_silago2e_q&gt;mdb,L_silase2e_q&gt;mdb)),100)
Calculation_M: q-&gt;m EOP(L_silago2e_q&gt;mdb)
Calculation_Q: 
Calculation_A: Q-&gt;A CUMPER(L_silago2e_q&gt;mdb)
Periodicity: Q
Data available M: 2008m3 - 2023m9
Data available Q: 2008q1 - 2023q3
Data available A: 2008 - 2022
Text 99: 
Automatic update period: 1999|2015
Time shift: 
Note: 
Reporter: SI - Slovenia
Chapter 1: 11_FF - Foreign finance
Indicator: SC1111 - 1.A.a. Goods exports, fob, credit
Unit: 01_Curr_23 - EUR m
Footnote 1: FZZ80 - Based on BPM6.
Footnote 2:  - 
Footnote 3:  - 
Footnote 4:  - 
Source 1: Z_ESTAT - Eurostat
Source 2: QSI2 - Bank of Slovenia
Source 3:  - 
</t>
        </r>
      </text>
    </comment>
    <comment ref="Y8" authorId="1" shapeId="0" xr:uid="{7B5A55B5-B4FB-4E79-8E2F-8E8E1E777C9F}">
      <text>
        <r>
          <rPr>
            <sz val="9"/>
            <color indexed="81"/>
            <rFont val="Segoe UI"/>
            <family val="2"/>
          </rPr>
          <t xml:space="preserve">ID: 87316
Label: silago3e_q
Database: wiiw Monthly Database - Hidden
Status: active
Calculation: SubScal(CPPY=100(AddNull(L_silago3e_q&gt;mdb,L_silase3e_q&gt;mdb)),100)
Calculation_M: q-&gt;m EOP(L_silago3e_q&gt;mdb)
Calculation_Q: 
Calculation_A: Q-&gt;A CUMPER(L_silago3e_q&gt;mdb)
Periodicity: Q
Data available M: 2000m3 - 2023m9
Data available Q: 2000q1 - 2023q3
Data available A: 2000 - 2022
Text 99: 
Automatic update period: 1999|2015
Time shift: 
Note: 
Reporter: SI - Slovenia
Chapter 1: 11_FF - Foreign finance
Indicator: SC1112 - 1.A.a. Goods imports, fob, debit
Unit: 01_Curr_23 - EUR m
Footnote 1: FZZ80 - Based on BPM6.
Footnote 2:  - 
Footnote 3:  - 
Footnote 4:  - 
Source 1: Z_ESTAT - Eurostat
Source 2: QSI2 - Bank of Slovenia
Source 3:  - 
</t>
        </r>
      </text>
    </comment>
    <comment ref="Z8" authorId="1" shapeId="0" xr:uid="{54CD8480-F28A-4F45-9F00-90F206C84FEB}">
      <text>
        <r>
          <rPr>
            <sz val="9"/>
            <color indexed="81"/>
            <rFont val="Segoe UI"/>
            <family val="2"/>
          </rPr>
          <t xml:space="preserve">ID: 88751
Label: silacaepx_q
Database: wiiw Monthly Database - Public
Status: active
Calculation: 
Calculation_M: Q-&gt;M EOP(L_silacaepx_q&gt;mdb)
Calculation_Q: Share(L_silacaen_q&gt;mdb,Div(L_sig11tn_q&gt;mdb,L_sip2xea&gt;mdb))
Calculation_A: Share(L_silacaen_q&gt;mdb,Div(L_sig11tn_q&gt;mdb,L_sip2xea&gt;mdb))
Periodicity: Q
Data available M: 1996m3 - 2023m9
Data available Q: 1996q1 - 2023q3
Data available A: 1996 - 2022
Text 99: 
Automatic update period: 1999|2015
Time shift: 
Note: 
Reporter: SI - Slovenia
Chapter 1: 11_FF - Foreign finance
Indicator: SC1101 - Current account
Unit: 09_Share_%gdp - in % of GDP
Footnote 1: FZZ55 - From 2008 based on BPM6.
Footnote 2:  - 
Footnote 3:  - 
Footnote 4:  - 
Source 1: Z_ESTAT - Eurostat
Source 2: QSI2 - Bank of Slovenia
Source 3: Z_wiiw - wiiw
</t>
        </r>
      </text>
    </comment>
    <comment ref="AA8" authorId="1" shapeId="0" xr:uid="{59FA5BDC-F9AE-4F44-BE18-27DB56387940}">
      <text>
        <r>
          <rPr>
            <sz val="9"/>
            <color indexed="81"/>
            <rFont val="Segoe UI"/>
            <family val="2"/>
          </rPr>
          <t xml:space="preserve">ID: 90351
Label: sig222px_q
Database: wiiw Monthly Database - Public
Status: active
Calculation: AddNull(L_sig222px_q&gt;mdb,L_sig22zpx_q&gt;mdb)
Calculation_M: Q-&gt;M EOP(L_sig222px_q&gt;mdb)
Calculation_Q: Share(L_sig222n_q&gt;mdb,L_sig11tzn_q&gt;mdb)
Calculation_A: Share(L_sig222n_q&gt;mdb,L_sig11tzn_q&gt;mdb)
Periodicity: Q
Data available M: 1995m3 - 2023m9
Data available Q: 1995q1 - 2023q3
Data available A: 1995 - 2022
Text 99: 
Automatic update period: 1999|2015
Time shift: 
Note: 
Reporter: SI - Slovenia
Chapter 1: 02_NA - National accounts
Indicator: SC0212 - Household final consumption expenditure
Unit: 09_Share_%gdp - in % of GDP
Footnote 1:  - 
Footnote 2:  - 
Footnote 3:  - 
Footnote 4:  - 
Source 1: Z_ESTAT - Eurostat
Source 2: Z_wiiw - wiiw
Source 3:  - 
</t>
        </r>
      </text>
    </comment>
    <comment ref="AB8" authorId="1" shapeId="0" xr:uid="{E9DB42A3-F30A-49EB-9ECD-00F445A27166}">
      <text>
        <r>
          <rPr>
            <sz val="9"/>
            <color indexed="81"/>
            <rFont val="Segoe UI"/>
            <family val="2"/>
          </rPr>
          <t xml:space="preserve">ID: 90395
Label: sig223px_q
Database: wiiw Monthly Database - Public
Status: active
Calculation: 
Calculation_M: Q-&gt;M EOP(L_sig223px_q&gt;mdb)
Calculation_Q: Share(L_sig223n_q&gt;mdb,L_sig11tzn_q&gt;mdb)
Calculation_A: Share(L_sig223n_q&gt;mdb,L_sig11tzn_q&gt;mdb)
Periodicity: Q
Data available M: 1995m3 - 2023m9
Data available Q: 1995q1 - 2023q3
Data available A: 1995 - 2022
Text 99: 
Automatic update period: 1999|2015
Time shift: 
Note: 
Reporter: SI - Slovenia
Chapter 1: 02_NA - National accounts
Indicator: SC0214 - Government final consumption expenditure
Unit: 09_Share_%gdp - in % of GDP
Footnote 1:  - 
Footnote 2:  - 
Footnote 3:  - 
Footnote 4:  - 
Source 1: Z_ESTAT - Eurostat
Source 2: Z_wiiw - wiiw
Source 3:  - 
</t>
        </r>
      </text>
    </comment>
    <comment ref="AC8" authorId="1" shapeId="0" xr:uid="{7F903C6B-F981-4427-AA5D-D775F18627FA}">
      <text>
        <r>
          <rPr>
            <sz val="9"/>
            <color indexed="81"/>
            <rFont val="Segoe UI"/>
            <family val="2"/>
          </rPr>
          <t xml:space="preserve">ID: 90417
Label: sig224px_q
Database: wiiw Monthly Database - Public
Status: active
Calculation: 
Calculation_M: Q-&gt;M EOP(L_sig224px_q&gt;mdb)
Calculation_Q: Share(L_sig224n_q&gt;mdb,L_sig11tzn_q&gt;mdb)
Calculation_A: Share(L_sig224n_q&gt;mdb,L_sig11tzn_q&gt;mdb)
Periodicity: Q
Data available M: 1995m3 - 2023m9
Data available Q: 1995q1 - 2023q3
Data available A: 1995 - 2022
Text 99: 
Automatic update period: 1999|2015
Time shift: 
Note: 
Reporter: SI - Slovenia
Chapter 1: 02_NA - National accounts
Indicator: SC0217 - Gross capital formation
Unit: 09_Share_%gdp - in % of GDP
Footnote 1:  - 
Footnote 2:  - 
Footnote 3:  - 
Footnote 4:  - 
Source 1: Z_ESTAT - Eurostat
Source 2: Z_wiiw - wiiw
Source 3:  - 
</t>
        </r>
      </text>
    </comment>
    <comment ref="AD8" authorId="1" shapeId="0" xr:uid="{75859431-6E4D-4837-B695-1F6EAEF54CFE}">
      <text>
        <r>
          <rPr>
            <sz val="9"/>
            <color indexed="81"/>
            <rFont val="Segoe UI"/>
            <family val="2"/>
          </rPr>
          <t xml:space="preserve">ID: 90505
Label: sig228px_q
Database: wiiw Monthly Database - Public
Status: active
Calculation: 
Calculation_M: Q-&gt;M EOP(L_sig228px_q&gt;mdb)
Calculation_Q: Share(L_sig228n_q&gt;mdb,L_sig11tzn_q&gt;mdb)
Calculation_A: Share(L_sig228n_q&gt;mdb,L_sig11tzn_q&gt;mdb)
Periodicity: Q
Data available M: 1995m3 - 2023m9
Data available Q: 1995q1 - 2023q3
Data available A: 1995 - 2022
Text 99: 
Automatic update period: 1999|2015
Time shift: 
Note: 
Reporter: SI - Slovenia
Chapter 1: 02_NA - National accounts
Indicator: SC0221 - Exports of goods and services
Unit: 09_Share_%gdp - in % of GDP
Footnote 1:  - 
Footnote 2:  - 
Footnote 3:  - 
Footnote 4:  - 
Source 1: Z_ESTAT - Eurostat
Source 2: Z_wiiw - wiiw
Source 3:  - 
</t>
        </r>
      </text>
    </comment>
    <comment ref="AE8" authorId="1" shapeId="0" xr:uid="{9D38BBF4-D78A-4CBB-B0AE-E13580D534D7}">
      <text>
        <r>
          <rPr>
            <sz val="9"/>
            <color indexed="81"/>
            <rFont val="Segoe UI"/>
            <family val="2"/>
          </rPr>
          <t xml:space="preserve">ID: 90527
Label: sig229px_q
Database: wiiw Monthly Database - Public
Status: active
Calculation: 
Calculation_M: Q-&gt;M EOP(L_sig229px_q&gt;mdb)
Calculation_Q: Share(L_sig229n_q&gt;mdb,L_sig11tzn_q&gt;mdb)
Calculation_A: Share(L_sig229n_q&gt;mdb,L_sig11tzn_q&gt;mdb)
Periodicity: Q
Data available M: 1995m3 - 2023m9
Data available Q: 1995q1 - 2023q3
Data available A: 1995 - 2022
Text 99: 
Automatic update period: 1999|2015
Time shift: 
Note: 
Reporter: SI - Slovenia
Chapter 1: 02_NA - National accounts
Indicator: SC0222 - Imports of goods and services
Unit: 09_Share_%gdp - in % of GDP
Footnote 1:  - 
Footnote 2:  - 
Footnote 3:  - 
Footnote 4:  - 
Source 1: Z_ESTAT - Eurostat
Source 2: Z_wiiw - wiiw
Source 3:  - 
</t>
        </r>
      </text>
    </comment>
    <comment ref="AF8" authorId="1" shapeId="0" xr:uid="{589C40F9-1088-4144-95DA-24281CA0DE29}">
      <text>
        <r>
          <rPr>
            <sz val="9"/>
            <color indexed="81"/>
            <rFont val="Segoe UI"/>
            <family val="2"/>
          </rPr>
          <t xml:space="preserve">ID: 89625
Label: sifls14scx
Database: wiiw Monthly Database - Public
Status: active
Calculation: SubScal(L_sifls14scx&gt;mdb,100)
Calculation_M: CPPY=100(L_sifls14e&gt;mdb)
Calculation_Q: M-&gt;Q EOP(L_sifls14scx&gt;mdb)
Calculation_A: Q-&gt;A EOP(L_sifls14scx&gt;mdb)
Periodicity: Q
Data available M: 2005m12 - 2023m11
Data available Q: 2005q4 - 2023q3
Data available A: 2005 - 2022
Text 99: 
Automatic update period: 1999|2015
Time shift: 
Note: 
Reporter: SI - Slovenia
Chapter 1: 10_DF - Domestic finance
Indicator: SC1066 - Loans households (S14)
Unit: 04_Inom_32 - index nominal, corresponding period of previous year = 100
Footnote 1: FZZ70 - Including NPISHs (S15).
Footnote 2:  - 
Footnote 3:  - 
Footnote 4:  - 
Source 1: QSI2 - Bank of Slovenia
Source 2: Z_wiiw - wiiw
Source 3:  - 
</t>
        </r>
      </text>
    </comment>
    <comment ref="AG8" authorId="1" shapeId="0" xr:uid="{69011BD1-6238-4172-9B38-C24A054F043A}">
      <text>
        <r>
          <rPr>
            <sz val="9"/>
            <color indexed="81"/>
            <rFont val="Segoe UI"/>
            <family val="2"/>
          </rPr>
          <t xml:space="preserve">ID: 144772
Label: sibgdtpx_help_q
Database: wiiw Monthly Database - Hidden
Status: active
Calculation: 
Calculation_M: q-&gt;m EOP(L_sibgdtpx_help_q&gt;mdb)
Calculation_Q: Share(L_sibgdtn_help_q&gt;mdb,L_sig11tnx_help_q&gt;mdb)
Calculation_A: q-&gt;a EOP(L_sibgdtpx_help_q&gt;mdb)
Periodicity: Q
Data available M: 1995m12 - 2023m9
Data available Q: 1995q4 - 2023q3
Data available A: 1995 - 2022
Text 99: 
Automatic update period: 1999|2015
Time shift: 
Note: 
Reporter: SI - Slovenia
Chapter 1: 10_DF - Domestic finance
Indicator: SC1009 - General government gross debt, total
Unit: 09_Share_%gdp - in % of GDP
Footnote 1:  - 
Footnote 2:  - 
Footnote 3:  - 
Footnote 4:  - 
Source 1: Z_ESTAT - Eurostat
Source 2: Z_wiiw - wiiw
Source 3:  - 
</t>
        </r>
      </text>
    </comment>
    <comment ref="G101" authorId="0" shapeId="0" xr:uid="{32AF1F20-85BE-46EF-AD68-383EC04009FF}">
      <text>
        <r>
          <rPr>
            <b/>
            <sz val="9"/>
            <color indexed="81"/>
            <rFont val="Tahoma"/>
            <family val="2"/>
          </rPr>
          <t>BJ:</t>
        </r>
        <r>
          <rPr>
            <sz val="9"/>
            <color indexed="81"/>
            <rFont val="Tahoma"/>
            <family val="2"/>
          </rPr>
          <t xml:space="preserve">
from the budget for 2022</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BJ</author>
    <author>Alexandra Bykova</author>
  </authors>
  <commentList>
    <comment ref="B1" authorId="0" shapeId="0" xr:uid="{AF944CF6-86CF-45E6-9367-CD25782A7041}">
      <text>
        <r>
          <rPr>
            <b/>
            <sz val="9"/>
            <color indexed="81"/>
            <rFont val="Tahoma"/>
            <family val="2"/>
          </rPr>
          <t>BJ:</t>
        </r>
        <r>
          <rPr>
            <sz val="9"/>
            <color indexed="81"/>
            <rFont val="Tahoma"/>
            <family val="2"/>
          </rPr>
          <t xml:space="preserve">
EU 27, seasonally and calendar adjusted
Eurostat</t>
        </r>
      </text>
    </comment>
    <comment ref="C1" authorId="0" shapeId="0" xr:uid="{7FFB2949-AEA3-408A-85D0-012C1636D281}">
      <text>
        <r>
          <rPr>
            <b/>
            <sz val="9"/>
            <color indexed="81"/>
            <rFont val="Tahoma"/>
            <family val="2"/>
          </rPr>
          <t>BJ:</t>
        </r>
        <r>
          <rPr>
            <sz val="9"/>
            <color indexed="81"/>
            <rFont val="Tahoma"/>
            <family val="2"/>
          </rPr>
          <t xml:space="preserve">
Eurostat</t>
        </r>
      </text>
    </comment>
    <comment ref="D1" authorId="0" shapeId="0" xr:uid="{26C33876-0168-47FC-9174-ABFA4285BDBE}">
      <text>
        <r>
          <rPr>
            <b/>
            <sz val="9"/>
            <color indexed="81"/>
            <rFont val="Tahoma"/>
            <family val="2"/>
          </rPr>
          <t>BJ:</t>
        </r>
        <r>
          <rPr>
            <sz val="9"/>
            <color indexed="81"/>
            <rFont val="Tahoma"/>
            <family val="2"/>
          </rPr>
          <t xml:space="preserve">
EU changing composition
Eurostat</t>
        </r>
      </text>
    </comment>
    <comment ref="E1" authorId="0" shapeId="0" xr:uid="{0FC200F5-44E8-45A1-BB44-C4AD7A3CC9E6}">
      <text>
        <r>
          <rPr>
            <b/>
            <sz val="9"/>
            <color indexed="81"/>
            <rFont val="Tahoma"/>
            <family val="2"/>
          </rPr>
          <t>BJ:</t>
        </r>
        <r>
          <rPr>
            <sz val="9"/>
            <color indexed="81"/>
            <rFont val="Tahoma"/>
            <family val="2"/>
          </rPr>
          <t xml:space="preserve">
ECB</t>
        </r>
      </text>
    </comment>
    <comment ref="F1" authorId="0" shapeId="0" xr:uid="{5094F625-B000-4CF1-90BB-4C8E90232340}">
      <text>
        <r>
          <rPr>
            <b/>
            <sz val="9"/>
            <color indexed="81"/>
            <rFont val="Tahoma"/>
            <family val="2"/>
          </rPr>
          <t>BJ:</t>
        </r>
        <r>
          <rPr>
            <sz val="9"/>
            <color indexed="81"/>
            <rFont val="Tahoma"/>
            <family val="2"/>
          </rPr>
          <t xml:space="preserve">
Crude oil, average, from WB pink sheets</t>
        </r>
      </text>
    </comment>
    <comment ref="G1" authorId="0" shapeId="0" xr:uid="{58F97A09-5CDA-4FE2-8544-7F0AD38B90F4}">
      <text>
        <r>
          <rPr>
            <sz val="9"/>
            <color indexed="81"/>
            <rFont val="Tahoma"/>
            <family val="2"/>
          </rPr>
          <t>General gov, nominal yoy growth, in NCU
wiiw</t>
        </r>
      </text>
    </comment>
    <comment ref="H1" authorId="0" shapeId="0" xr:uid="{7BDF20C3-0F11-49C5-81F5-214587BFB4B2}">
      <text>
        <r>
          <rPr>
            <b/>
            <sz val="9"/>
            <color indexed="81"/>
            <rFont val="Tahoma"/>
            <family val="2"/>
          </rPr>
          <t>BJ:</t>
        </r>
        <r>
          <rPr>
            <sz val="9"/>
            <color indexed="81"/>
            <rFont val="Tahoma"/>
            <family val="2"/>
          </rPr>
          <t xml:space="preserve">
General gov. budget - revenues NCU m (incl. 'euro fixed' series)
wiiw</t>
        </r>
      </text>
    </comment>
    <comment ref="I1" authorId="0" shapeId="0" xr:uid="{35102296-A457-4EE7-9303-B25E699C3763}">
      <text>
        <r>
          <rPr>
            <b/>
            <sz val="9"/>
            <color indexed="81"/>
            <rFont val="Tahoma"/>
            <family val="2"/>
          </rPr>
          <t>BJ:</t>
        </r>
        <r>
          <rPr>
            <sz val="9"/>
            <color indexed="81"/>
            <rFont val="Tahoma"/>
            <family val="2"/>
          </rPr>
          <t xml:space="preserve">
General gov. budget - balance
 in % of GDP
wiiw</t>
        </r>
      </text>
    </comment>
    <comment ref="J1" authorId="0" shapeId="0" xr:uid="{30C81B32-AE1B-47CA-B813-C5F917DD327A}">
      <text>
        <r>
          <rPr>
            <b/>
            <sz val="9"/>
            <color indexed="81"/>
            <rFont val="Tahoma"/>
            <family val="2"/>
          </rPr>
          <t>BJ:</t>
        </r>
        <r>
          <rPr>
            <sz val="9"/>
            <color indexed="81"/>
            <rFont val="Tahoma"/>
            <family val="2"/>
          </rPr>
          <t xml:space="preserve">
For all GDP: 
NCU m, 2015 reference prices (prev. year prices, incl. 'euro fixed' series)
wiiw</t>
        </r>
      </text>
    </comment>
    <comment ref="K1" authorId="0" shapeId="0" xr:uid="{FC4C5E50-07B0-4ECF-87B8-E3369DED73B5}">
      <text>
        <r>
          <rPr>
            <b/>
            <sz val="9"/>
            <color indexed="81"/>
            <rFont val="Tahoma"/>
            <family val="2"/>
          </rPr>
          <t>BJ:</t>
        </r>
        <r>
          <rPr>
            <sz val="9"/>
            <color indexed="81"/>
            <rFont val="Tahoma"/>
            <family val="2"/>
          </rPr>
          <t xml:space="preserve">
Households + NPISH
Only Households</t>
        </r>
      </text>
    </comment>
    <comment ref="M1" authorId="0" shapeId="0" xr:uid="{4F48F7B1-E24F-4FBD-9D49-C8B03D1B9CB0}">
      <text>
        <r>
          <rPr>
            <b/>
            <sz val="9"/>
            <color indexed="81"/>
            <rFont val="Tahoma"/>
            <family val="2"/>
          </rPr>
          <t>BJ:</t>
        </r>
        <r>
          <rPr>
            <sz val="9"/>
            <color indexed="81"/>
            <rFont val="Tahoma"/>
            <family val="2"/>
          </rPr>
          <t xml:space="preserve">
Gross capital formation</t>
        </r>
      </text>
    </comment>
    <comment ref="P1" authorId="0" shapeId="0" xr:uid="{5BFE981A-07E5-4D89-B526-C5CF30883AB0}">
      <text>
        <r>
          <rPr>
            <b/>
            <sz val="9"/>
            <color indexed="81"/>
            <rFont val="Tahoma"/>
            <family val="2"/>
          </rPr>
          <t>Employment, LFS, thousand persons
wiiw</t>
        </r>
      </text>
    </comment>
    <comment ref="Q1" authorId="0" shapeId="0" xr:uid="{7DD781FC-39BD-4E62-8897-539C23AD0D27}">
      <text>
        <r>
          <rPr>
            <b/>
            <sz val="9"/>
            <color indexed="81"/>
            <rFont val="Tahoma"/>
            <family val="2"/>
          </rPr>
          <t>Unemployment, LFS, thousand persons
wiiw</t>
        </r>
      </text>
    </comment>
    <comment ref="R1" authorId="0" shapeId="0" xr:uid="{35472B64-96E5-4E9A-B485-7FC14262B349}">
      <text>
        <r>
          <rPr>
            <b/>
            <sz val="9"/>
            <color indexed="81"/>
            <rFont val="Tahoma"/>
            <family val="2"/>
          </rPr>
          <t>Unemployment, LFS, in %
wiiw</t>
        </r>
      </text>
    </comment>
    <comment ref="S1" authorId="0" shapeId="0" xr:uid="{5D2ECE3C-4CEC-4051-89B4-A82CFB5BFD69}">
      <text>
        <r>
          <rPr>
            <sz val="9"/>
            <color indexed="81"/>
            <rFont val="Tahoma"/>
            <family val="2"/>
          </rPr>
          <t>Average monthly gross wages total, 
national currency (incl. 'euro fixed' series), yoy growth
wiiw</t>
        </r>
      </text>
    </comment>
    <comment ref="T1" authorId="0" shapeId="0" xr:uid="{6528A0AD-8F7E-416C-BEEB-18B100131CF8}">
      <text>
        <r>
          <rPr>
            <b/>
            <sz val="9"/>
            <color indexed="81"/>
            <rFont val="Tahoma"/>
            <family val="2"/>
          </rPr>
          <t>BJ:</t>
        </r>
        <r>
          <rPr>
            <sz val="9"/>
            <color indexed="81"/>
            <rFont val="Tahoma"/>
            <family val="2"/>
          </rPr>
          <t xml:space="preserve">
Central bank policy rate, nominal
wiiw</t>
        </r>
      </text>
    </comment>
    <comment ref="U1" authorId="0" shapeId="0" xr:uid="{A319AA12-21E1-4461-9C86-03A238609759}">
      <text>
        <r>
          <rPr>
            <b/>
            <sz val="9"/>
            <color indexed="81"/>
            <rFont val="Tahoma"/>
            <family val="2"/>
          </rPr>
          <t>BJ:</t>
        </r>
        <r>
          <rPr>
            <sz val="9"/>
            <color indexed="81"/>
            <rFont val="Tahoma"/>
            <family val="2"/>
          </rPr>
          <t xml:space="preserve">
Consumer prices index, monthly average, 2015 = 100
wiiw</t>
        </r>
      </text>
    </comment>
    <comment ref="V1" authorId="0" shapeId="0" xr:uid="{B8CCED9F-C2C2-4E99-8C19-1147DE64D348}">
      <text>
        <r>
          <rPr>
            <b/>
            <sz val="9"/>
            <color indexed="81"/>
            <rFont val="Tahoma"/>
            <family val="2"/>
          </rPr>
          <t>BJ:</t>
        </r>
        <r>
          <rPr>
            <sz val="9"/>
            <color indexed="81"/>
            <rFont val="Tahoma"/>
            <family val="2"/>
          </rPr>
          <t xml:space="preserve">
Exchange rate nominal NCU/EUR, period average
wiiw</t>
        </r>
      </text>
    </comment>
    <comment ref="W1" authorId="0" shapeId="0" xr:uid="{DD88270E-D3EB-47EE-B3EF-AD5441BE056F}">
      <text>
        <r>
          <rPr>
            <b/>
            <sz val="9"/>
            <color indexed="81"/>
            <rFont val="Tahoma"/>
            <family val="2"/>
          </rPr>
          <t>BJ:</t>
        </r>
        <r>
          <rPr>
            <sz val="9"/>
            <color indexed="81"/>
            <rFont val="Tahoma"/>
            <family val="2"/>
          </rPr>
          <t xml:space="preserve">
 Industrial output (BCD - NACE Rev. 2), index real, monthly average, 2015 = 100, yoy growth
wiiw</t>
        </r>
      </text>
    </comment>
    <comment ref="X1" authorId="0" shapeId="0" xr:uid="{801A9AF6-5200-42C7-B4AC-5E7A35C46D64}">
      <text>
        <r>
          <rPr>
            <b/>
            <sz val="9"/>
            <color indexed="81"/>
            <rFont val="Tahoma"/>
            <family val="2"/>
          </rPr>
          <t>BJ:</t>
        </r>
        <r>
          <rPr>
            <sz val="9"/>
            <color indexed="81"/>
            <rFont val="Tahoma"/>
            <family val="2"/>
          </rPr>
          <t xml:space="preserve">
Exports total, fob EUR m, yoy growth
wiiw
Alexandra: changed to BOP: exports of goods and services</t>
        </r>
      </text>
    </comment>
    <comment ref="Y1" authorId="0" shapeId="0" xr:uid="{B3CBFC3F-A1E7-4961-8C0F-8894A0341B0B}">
      <text>
        <r>
          <rPr>
            <b/>
            <sz val="9"/>
            <color indexed="81"/>
            <rFont val="Tahoma"/>
            <family val="2"/>
          </rPr>
          <t>BJ:</t>
        </r>
        <r>
          <rPr>
            <sz val="9"/>
            <color indexed="81"/>
            <rFont val="Tahoma"/>
            <family val="2"/>
          </rPr>
          <t xml:space="preserve">
 Imports total, cif EUR m
wiiw
Alexandra: changed to BOP: imports of goods and services</t>
        </r>
      </text>
    </comment>
    <comment ref="Z1" authorId="0" shapeId="0" xr:uid="{D0609F5F-0326-4714-907F-E685624690DD}">
      <text>
        <r>
          <rPr>
            <b/>
            <sz val="9"/>
            <color indexed="81"/>
            <rFont val="Tahoma"/>
            <family val="2"/>
          </rPr>
          <t>BJ:</t>
        </r>
        <r>
          <rPr>
            <sz val="9"/>
            <color indexed="81"/>
            <rFont val="Tahoma"/>
            <family val="2"/>
          </rPr>
          <t xml:space="preserve">
Current account in % of GDP
wiiw</t>
        </r>
      </text>
    </comment>
    <comment ref="AA1" authorId="0" shapeId="0" xr:uid="{8A6580ED-ADB0-497C-8271-0D43A92C6EE7}">
      <text>
        <r>
          <rPr>
            <b/>
            <sz val="9"/>
            <color indexed="81"/>
            <rFont val="Tahoma"/>
            <family val="2"/>
          </rPr>
          <t>BJ:</t>
        </r>
        <r>
          <rPr>
            <sz val="9"/>
            <color indexed="81"/>
            <rFont val="Tahoma"/>
            <family val="2"/>
          </rPr>
          <t xml:space="preserve">
Households + NPISH</t>
        </r>
      </text>
    </comment>
    <comment ref="AC1" authorId="0" shapeId="0" xr:uid="{10B6CFAA-26C5-4782-9735-C608A17DFCFE}">
      <text>
        <r>
          <rPr>
            <b/>
            <sz val="9"/>
            <color indexed="81"/>
            <rFont val="Tahoma"/>
            <family val="2"/>
          </rPr>
          <t>BJ:</t>
        </r>
        <r>
          <rPr>
            <sz val="9"/>
            <color indexed="81"/>
            <rFont val="Tahoma"/>
            <family val="2"/>
          </rPr>
          <t xml:space="preserve">
Gross capital formation</t>
        </r>
      </text>
    </comment>
    <comment ref="AF1" authorId="0" shapeId="0" xr:uid="{F466BEE7-0E33-43DA-8F41-8FF197DEA19C}">
      <text>
        <r>
          <rPr>
            <b/>
            <sz val="9"/>
            <color indexed="81"/>
            <rFont val="Tahoma"/>
            <family val="2"/>
          </rPr>
          <t>BJ:</t>
        </r>
        <r>
          <rPr>
            <sz val="9"/>
            <color indexed="81"/>
            <rFont val="Tahoma"/>
            <family val="2"/>
          </rPr>
          <t xml:space="preserve">
loans to households, nominal, yoy growth rates</t>
        </r>
      </text>
    </comment>
    <comment ref="B8" authorId="1" shapeId="0" xr:uid="{D25E7199-2C07-4D86-AE5E-6FC4645CC1D3}">
      <text>
        <r>
          <rPr>
            <sz val="9"/>
            <color indexed="81"/>
            <rFont val="Segoe UI"/>
            <family val="2"/>
          </rPr>
          <t xml:space="preserve">ID: 144396
Label: eug11tscrx_q
Database: wiiw Monthly Database - Hidden
Status: active
Calculation: 
Calculation_M: SubScal(L_eug11tscx_q&gt;mdb,100)
Calculation_Q: SubScal(L_eug11tscx_q&gt;mdb,100)
Calculation_A: SubScal(L_eug11tscx_q&gt;mdb,100)
Periodicity: Q
Data available M: 1996m3 - 2023m9
Data available Q: 1996q1 - 2023q3
Data available A: 1996 - 2022
Text 99: 
Automatic update period: 1999|2015
Time shift: 
Note: 
Reporter: EU27_2020 - EU - 27 countries (from 2020)
Chapter 1: 02_NA - National accounts
Indicator: SC0201 - Gross domestic product total
Unit: 05_Ireal_36 - real growth rate to corresponding period of previous year in %
Footnote 1: FZZ05 - According to ESA'10.
Footnote 2:  - 
Footnote 3:  - 
Footnote 4:  - 
Source 1: Z_ESTAT - Eurostat
Source 2: Z_wiiw - wiiw
Source 3:  - 
</t>
        </r>
      </text>
    </comment>
    <comment ref="C8" authorId="1" shapeId="0" xr:uid="{ED148B22-01E1-461B-B045-7EF36F1852EA}">
      <text>
        <r>
          <rPr>
            <sz val="9"/>
            <color indexed="81"/>
            <rFont val="Segoe UI"/>
            <family val="2"/>
          </rPr>
          <t xml:space="preserve">ID: 77811
Label: eup1p1tsa
Database: wiiw Monthly Database - Hidden
Status: active
Calculation: 
Calculation_M: 
Calculation_Q: m-&gt;q AVG(L_eup1p1tsa&gt;mdb)
Calculation_A: q-&gt;a AVG(L_eup1p1tsa&gt;mdb)
Periodicity: Q
Data available M: 1999m1 - 2023m12
Data available Q: 1999q1 - 2023q4
Data available A: 1999 - 2023
Text 99: 
Automatic update period: 1999|2015
Time shift: 
Note: 
Reporter: EU - European Union evolutionary
Chapter 1: 07_PRC - Prices
Indicator: SC0701 - Consumer prices
Unit: 03_I_1_085_15avg - index, monthly average, 2015 = 100
Footnote 1: FZZ40 - Based on HICP (Harmonized Index of Consumer Prices).
Footnote 2:  - 
Footnote 3:  - 
Footnote 4:  - 
Source 1: Z_ESTAT - Eurostat
Source 2:  - 
Source 3:  - 
</t>
        </r>
      </text>
    </comment>
    <comment ref="D8" authorId="1" shapeId="0" xr:uid="{5CE5F87F-A971-48FB-B9A9-6A8D2C25752D}">
      <text>
        <r>
          <rPr>
            <sz val="9"/>
            <color indexed="81"/>
            <rFont val="Segoe UI"/>
            <family val="2"/>
          </rPr>
          <t xml:space="preserve">ID: 77812
Label: eup1p1tscx
Database: wiiw Monthly Database - Hidden
Status: active
Calculation: SubScal(L_eup1p1tscx&gt;mdb,100)
Calculation_M: CPPY=100(L_eup1p1tsa&gt;mdb)
Calculation_Q: CPPY=100(L_eup1p1tsa&gt;mdb)
Calculation_A: CPPY=100(L_eup1p1tsa&gt;mdb)
Periodicity: Q
Data available M: 1992m1 - 2023m12
Data available Q: 1992q1 - 2023q4
Data available A: 1992 - 2023
Text 99: 
Automatic update period: 1999|2015
Time shift: 
Note: 
Reporter: EU - European Union evolutionary
Chapter 1: 07_PRC - Prices
Indicator: SC0701 - Consumer prices
Unit: 03_I_32 - index, corresponding period of previous year = 100
Footnote 1: FZZ40 - Based on HICP (Harmonized Index of Consumer Prices).
Footnote 2:  - 
Footnote 3:  - 
Footnote 4:  - 
Source 1: Z_ESTAT - Eurostat
Source 2: Z_wiiw - wiiw
Source 3:  - 
</t>
        </r>
      </text>
    </comment>
    <comment ref="E8" authorId="1" shapeId="0" xr:uid="{E0A28848-3D64-4ADC-900A-E028ABF03FA2}">
      <text>
        <r>
          <rPr>
            <sz val="9"/>
            <color indexed="81"/>
            <rFont val="Segoe UI"/>
            <family val="2"/>
          </rPr>
          <t xml:space="preserve">ID: 91417
Label: eafrr1tp
Database: wiiw Monthly Database - Hidden
Status: active
Calculation: 
Calculation_M: 
Calculation_Q: m-&gt;q EOP(L_eafrr1tp&gt;mdb)
Calculation_A: q-&gt;a EOP(L_eafrr1tp&gt;mdb)
Periodicity: Q
Data available M: 1999m1 - 2023m12
Data available Q: 1999q1 - 2023q4
Data available A: 1999 - 2023
Text 99: 
Automatic update period: 1999|2015
Time shift: 
Note: 
Reporter: EA - Euro area evolutionary
Chapter 1: 10_DF - Domestic finance
Indicator: SC1050 - Central bank policy rate
Unit: 06_IntR_1 - % p.a., end of period
Footnote 1: FZZ50 - Official refinancing operation rates for euro area (ECB), rate in fixed rate tenders (between June 2000 and September 2008 the minimum bid rate in variable rate tenders was applied).
Footnote 2:  - 
Footnote 3:  - 
Footnote 4:  - 
Source 1: Z_ECB - European Central Bank
Source 2:  - 
Source 3:  - 
</t>
        </r>
      </text>
    </comment>
    <comment ref="F8" authorId="1" shapeId="0" xr:uid="{0AFF1D5A-C44A-43F6-A527-B5377B7589B2}">
      <text>
        <r>
          <rPr>
            <sz val="9"/>
            <color indexed="81"/>
            <rFont val="Segoe UI"/>
            <family val="2"/>
          </rPr>
          <t xml:space="preserve">ID: 101874
Label: usp2oila
Database: wiiw Monthly Database - Hidden
Status: active
Calculation: 
Calculation_M: 
Calculation_Q: M-&gt;Q AVG(L_usp2oila&gt;mdb)
Calculation_A: Q-&gt;A AVG(L_usp2oila&gt;mdb)
Periodicity: Q
Data available M: 1990m1 - 2023m12
Data available Q: 1990q1 - 2023q4
Data available A: 1990 - 2023
Text 99: 
Automatic update period: 1999|2015
Time shift: 
Note: Oil prices  &amp; Europe Brent Spot Price FOB (Dollars per Barrel) &amp; EIA (US) Source of the data. Gespeichert auf die EU&amp;US Karten.
Reporter: US - United States
Chapter 1: 11_FF - Foreign finance
Indicator:  - 
Unit:  - 
Footnote 1:  - 
Footnote 2:  - 
Footnote 3:  - 
Footnote 4:  - 
Source 1:  - 
Source 2:  - 
Source 3:  - 
</t>
        </r>
      </text>
    </comment>
    <comment ref="G8" authorId="1" shapeId="0" xr:uid="{791C2830-CD5E-48ED-B1BB-14197808360A}">
      <text>
        <r>
          <rPr>
            <sz val="9"/>
            <color indexed="81"/>
            <rFont val="Segoe UI"/>
            <family val="2"/>
          </rPr>
          <t xml:space="preserve">ID: 32785
Label: bgbg21n_q
Database: wiiw Monthly Database - Public
Status: active
Calculation: SubScal(CPPY=100(L_bgbg21n_q&gt;mdb),100)
Calculation_M: q-&gt;m EOP(L_bgbg21n_q&gt;mdb)
Calculation_Q: 
Calculation_A: Q-&gt;A CUMPER(L_bgbg21n_q&gt;mdb)
Periodicity: Q
Data available M: 1999m3 - 2023m9
Data available Q: 1999q1 - 2023q3
Data available A: 1999 - 2022
Text 99: 
Automatic update period: 1999|2015
Time shift: 
Note: 
Reporter: BG - Bulgaria
Chapter 1: 10_DF - Domestic finance
Indicator: SC1011 - General gov. budget (ESA'10, EDP) - expenditures
Unit: 01_Curr_12 - NCU m (incl. 'euro fixed' series)
Footnote 1: FZZ42 - According to ESA'10 excessive deficit procedure.
Footnote 2:  - 
Footnote 3:  - 
Footnote 4:  - 
Source 1: Z_ESTAT - Eurostat
Source 2:  - 
Source 3:  - 
</t>
        </r>
      </text>
    </comment>
    <comment ref="H8" authorId="1" shapeId="0" xr:uid="{5F7E89D6-D54D-49E2-982D-AF2882D9A0B8}">
      <text>
        <r>
          <rPr>
            <sz val="9"/>
            <color indexed="81"/>
            <rFont val="Segoe UI"/>
            <family val="2"/>
          </rPr>
          <t xml:space="preserve">ID: 32784
Label: bgbg11n_q
Database: wiiw Monthly Database - Public
Status: active
Calculation: SubScal(CPPY=100(L_bgbg11n_q&gt;mdb),100)
Calculation_M: q-&gt;m EOP(L_bgbg11n_q&gt;mdb)
Calculation_Q: 
Calculation_A: Q-&gt;A CUMPER(L_bgbg11n_q&gt;mdb)
Periodicity: Q
Data available M: 1999m3 - 2023m9
Data available Q: 1999q1 - 2023q3
Data available A: 1999 - 2022
Text 99: 
Automatic update period: 1999|2015
Time shift: 
Note: 
Reporter: BG - Bulgaria
Chapter 1: 10_DF - Domestic finance
Indicator: SC1010 - General gov. budget (ESA'10, EDP) - revenues
Unit: 01_Curr_12 - NCU m (incl. 'euro fixed' series)
Footnote 1: FZZ42 - According to ESA'10 excessive deficit procedure.
Footnote 2:  - 
Footnote 3:  - 
Footnote 4:  - 
Source 1: Z_ESTAT - Eurostat
Source 2:  - 
Source 3:  - 
</t>
        </r>
      </text>
    </comment>
    <comment ref="I8" authorId="1" shapeId="0" xr:uid="{BBE34E8B-2A56-4868-B3B4-1D611D7E2429}">
      <text>
        <r>
          <rPr>
            <sz val="9"/>
            <color indexed="81"/>
            <rFont val="Segoe UI"/>
            <family val="2"/>
          </rPr>
          <t xml:space="preserve">ID: 89162
Label: bgbg31px_q
Database: wiiw Monthly Database - Public
Status: active
Calculation: 
Calculation_M: Q-&gt;M EOP(L_bgbg31px_q&gt;mdb)
Calculation_Q: Share(L_bgbg31nx_q&gt;mdb,L_bgg11tn_q&gt;mdb)
Calculation_A: Share(L_bgbg31nx_q&gt;mdb,L_bgg11tn_q&gt;mdb)
Periodicity: Q
Data available M: 1999m3 - 2023m9
Data available Q: 1999q1 - 2023q3
Data available A: 1999 - 2022
Text 99: 
Automatic update period: 1999|2015
Time shift: 
Note: 
Reporter: BG - Bulgaria
Chapter 1: 10_DF - Domestic finance
Indicator: SC1012 - General gov. budget (ESA'10, EDP) - balance
Unit: 09_Share_%gdp - in % of GDP
Footnote 1: FZZ42 - According to ESA'10 excessive deficit procedure.
Footnote 2:  - 
Footnote 3:  - 
Footnote 4:  - 
Source 1: Z_ESTAT - Eurostat
Source 2: Z_wiiw - wiiw
Source 3:  - 
</t>
        </r>
      </text>
    </comment>
    <comment ref="J8" authorId="1" shapeId="0" xr:uid="{2D1E6FC7-D33F-453B-8437-AEAD06AD6B80}">
      <text>
        <r>
          <rPr>
            <sz val="9"/>
            <color indexed="81"/>
            <rFont val="Segoe UI"/>
            <family val="2"/>
          </rPr>
          <t xml:space="preserve">ID: 88624
Label: bgg11tr15_q
Database: wiiw Monthly Database - Public
Status: active
Calculation: SubScal(CPPY=100(L_bgg11tr15_q&gt;mdb),100)
Calculation_M: q-&gt;m EOP(L_bgg11tr15_q&gt;mdb)
Calculation_Q: 
Calculation_A: q-&gt;a CumPer(L_bgg11tr15_q&gt;mdb)
Periodicity: Q
Data available M: 1995m3 - 2023m9
Data available Q: 1995q1 - 2023q3
Data available A: 1995 - 2022
Text 99: 
Automatic update period: 1999|2015
Time shift: 
Note: 
Reporter: BG - Bulgaria
Chapter 1: 02_NA - National accounts
Indicator: SC0201 - Gross domestic product total
Unit: 01_Curr_15_085_15_r - NCU m, 2015 reference prices (prev. year prices, incl. 'euro fixed' series)
Footnote 1: FZZ05 - According to ESA'10.
Footnote 2:  - 
Footnote 3:  - 
Footnote 4:  - 
Source 1: Z_ESTAT - Eurostat
Source 2:  - 
Source 3:  - 
</t>
        </r>
      </text>
    </comment>
    <comment ref="K8" authorId="1" shapeId="0" xr:uid="{A2F1FFAD-ED7B-4736-A6BD-A379EC4A5CB6}">
      <text>
        <r>
          <rPr>
            <sz val="9"/>
            <color indexed="81"/>
            <rFont val="Segoe UI"/>
            <family val="2"/>
          </rPr>
          <t xml:space="preserve">ID: 90864
Label: bgg222r15_q
Database: wiiw Monthly Database - Public
Status: active
Calculation: SubScal(CPPY=100(L_bgg222r15_q&gt;mdb),100)
Calculation_M: q-&gt;m EOP(L_bgg222r15_q&gt;mdb)
Calculation_Q: 
Calculation_A: q-&gt;a CumPer(L_bgg222r15_q&gt;mdb)
Periodicity: Q
Data available M: 1995m3 - 2023m9
Data available Q: 1995q1 - 2023q3
Data available A: 1995 - 2022
Text 99: 
Automatic update period: 1999|2015
Time shift: 
Note: 
Reporter: BG - Bulgaria
Chapter 1: 02_NA - National accounts
Indicator: SC0212 - Household final consumption expenditure
Unit: 01_Curr_15_085_15_r - NCU m, 2015 reference prices (prev. year prices, incl. 'euro fixed' series)
Footnote 1:  - 
Footnote 2:  - 
Footnote 3:  - 
Footnote 4:  - 
Source 1: Z_ESTAT - Eurostat
Source 2:  - 
Source 3:  - 
</t>
        </r>
      </text>
    </comment>
    <comment ref="L8" authorId="1" shapeId="0" xr:uid="{40935046-ADAC-4B4B-90DD-A66F8C00347E}">
      <text>
        <r>
          <rPr>
            <sz val="9"/>
            <color indexed="81"/>
            <rFont val="Segoe UI"/>
            <family val="2"/>
          </rPr>
          <t xml:space="preserve">ID: 90908
Label: bgg223r15_q
Database: wiiw Monthly Database - Public
Status: active
Calculation: SubScal(CPPY=100(L_bgg223r15_q&gt;mdb),100)
Calculation_M: q-&gt;m EOP(L_bgg223r15_q&gt;mdb)
Calculation_Q: 
Calculation_A: q-&gt;a CumPer(L_bgg223r15_q&gt;mdb)
Periodicity: Q
Data available M: 1995m3 - 2023m9
Data available Q: 1995q1 - 2023q3
Data available A: 1995 - 2022
Text 99: 
Automatic update period: 1999|2015
Time shift: 
Note: 
Reporter: BG - Bulgaria
Chapter 1: 02_NA - National accounts
Indicator: SC0214 - Government final consumption expenditure
Unit: 01_Curr_15_085_15_r - NCU m, 2015 reference prices (prev. year prices, incl. 'euro fixed' series)
Footnote 1:  - 
Footnote 2:  - 
Footnote 3:  - 
Footnote 4:  - 
Source 1: Z_ESTAT - Eurostat
Source 2:  - 
Source 3:  - 
</t>
        </r>
      </text>
    </comment>
    <comment ref="M8" authorId="1" shapeId="0" xr:uid="{0397272A-951F-4BE2-954E-D7AD184C4F84}">
      <text>
        <r>
          <rPr>
            <sz val="9"/>
            <color indexed="81"/>
            <rFont val="Segoe UI"/>
            <family val="2"/>
          </rPr>
          <t xml:space="preserve">ID: 90930
Label: bgg224r15_q
Database: wiiw Monthly Database - Public
Status: active
Calculation: SubScal(CPPY=100(L_bgg224r15_q&gt;mdb),100)
Calculation_M: q-&gt;m EOP(L_bgg224r15_q&gt;mdb)
Calculation_Q: 
Calculation_A: q-&gt;a CumPer(L_bgg224r15_q&gt;mdb)
Periodicity: Q
Data available M: 1995m3 - 2023m9
Data available Q: 1995q1 - 2023q3
Data available A: 1995 - 2022
Text 99: 
Automatic update period: 1999|2015
Time shift: 
Note: 
Reporter: BG - Bulgaria
Chapter 1: 02_NA - National accounts
Indicator: SC0217 - Gross capital formation
Unit: 01_Curr_15_085_15_r - NCU m, 2015 reference prices (prev. year prices, incl. 'euro fixed' series)
Footnote 1:  - 
Footnote 2:  - 
Footnote 3:  - 
Footnote 4:  - 
Source 1: Z_ESTAT - Eurostat
Source 2:  - 
Source 3:  - 
</t>
        </r>
      </text>
    </comment>
    <comment ref="N8" authorId="1" shapeId="0" xr:uid="{AE5B0BEB-46AA-426D-8618-4AAB7A2D293F}">
      <text>
        <r>
          <rPr>
            <sz val="9"/>
            <color indexed="81"/>
            <rFont val="Segoe UI"/>
            <family val="2"/>
          </rPr>
          <t xml:space="preserve">ID: 90974
Label: bgg228r15_q
Database: wiiw Monthly Database - Public
Status: active
Calculation: SubScal(CPPY=100(L_bgg228r15_q&gt;mdb),100)
Calculation_M: q-&gt;m EOP(L_bgg228r15_q&gt;mdb)
Calculation_Q: 
Calculation_A: q-&gt;a CumPer(L_bgg228r15_q&gt;mdb)
Periodicity: Q
Data available M: 1995m3 - 2023m9
Data available Q: 1995q1 - 2023q3
Data available A: 1995 - 2022
Text 99: 
Automatic update period: 1999|2015
Time shift: 
Note: 
Reporter: BG - Bulgaria
Chapter 1: 02_NA - National accounts
Indicator: SC0221 - Exports of goods and services
Unit: 01_Curr_15_085_15_r - NCU m, 2015 reference prices (prev. year prices, incl. 'euro fixed' series)
Footnote 1:  - 
Footnote 2:  - 
Footnote 3:  - 
Footnote 4:  - 
Source 1: Z_ESTAT - Eurostat
Source 2:  - 
Source 3:  - 
</t>
        </r>
      </text>
    </comment>
    <comment ref="O8" authorId="1" shapeId="0" xr:uid="{95A8F1C7-0DEC-4ADF-861C-10F74E15445D}">
      <text>
        <r>
          <rPr>
            <sz val="9"/>
            <color indexed="81"/>
            <rFont val="Segoe UI"/>
            <family val="2"/>
          </rPr>
          <t xml:space="preserve">ID: 90996
Label: bgg229r15_q
Database: wiiw Monthly Database - Public
Status: active
Calculation: SubScal(CPPY=100(L_bgg229r15_q&gt;mdb),100)
Calculation_M: q-&gt;m EOP(L_bgg229r15_q&gt;mdb)
Calculation_Q: 
Calculation_A: q-&gt;a CumPer(L_bgg229r15_q&gt;mdb)
Periodicity: Q
Data available M: 1995m3 - 2023m9
Data available Q: 1995q1 - 2023q3
Data available A: 1995 - 2022
Text 99: 
Automatic update period: 1999|2015
Time shift: 
Note: 
Reporter: BG - Bulgaria
Chapter 1: 02_NA - National accounts
Indicator: SC0222 - Imports of goods and services
Unit: 01_Curr_15_085_15_r - NCU m, 2015 reference prices (prev. year prices, incl. 'euro fixed' series)
Footnote 1:  - 
Footnote 2:  - 
Footnote 3:  - 
Footnote 4:  - 
Source 1: Z_ESTAT - Eurostat
Source 2:  - 
Source 3:  - 
</t>
        </r>
      </text>
    </comment>
    <comment ref="P8" authorId="1" shapeId="0" xr:uid="{344E229C-59EB-4165-81B5-0885E9E64E3D}">
      <text>
        <r>
          <rPr>
            <sz val="9"/>
            <color indexed="81"/>
            <rFont val="Segoe UI"/>
            <family val="2"/>
          </rPr>
          <t xml:space="preserve">ID: 32643
Label: bge51_ta_q
Database: wiiw Monthly Database - Public
Status: active
Calculation: 
Calculation_M: q-&gt;m EOP(L_bge51_ta_q&gt;mdb)
Calculation_Q: 
Calculation_A: q-&gt;a AVG(L_bge51_ta_q&gt;mdb)
Periodicity: Q
Data available M: 1993m9 - 2023m9
Data available Q: 1993q3 - 2023q3
Data available A: 1993 - 2022
Text 99: 
Automatic update period: 1999|2015
Time shift: 
Note: Annually Grüne Werte als Durchsschnitte von verfügbaren Quartalsdaten gerechnet (AL).
Reporter: BG - Bulgaria
Chapter 1: 05_LAB - Labour market
Indicator: SC0501 - Employment, LFS
Unit: 02_Pers_11 - th persons, period average
Footnote 1: FBG40 - From 2023 according to census 2021.
Footnote 2: FZZ09 - From 2021 new methodology in line with the Integrated European Social Statistics Regulation (IESS).
Footnote 3: FBG37 - From 2012 according to census February 2011.
Footnote 4:  - 
Source 1: Z_ESTAT - Eurostat
Source 2: QBG1 - National Statistical Institute of Bulgaria
Source 3:  - 
</t>
        </r>
      </text>
    </comment>
    <comment ref="Q8" authorId="1" shapeId="0" xr:uid="{8394DA2F-9BBF-447E-A175-192F50818ECE}">
      <text>
        <r>
          <rPr>
            <sz val="9"/>
            <color indexed="81"/>
            <rFont val="Segoe UI"/>
            <family val="2"/>
          </rPr>
          <t xml:space="preserve">ID: 32665
Label: bge5u_ta_q
Database: wiiw Monthly Database - Public
Status: active
Calculation: 
Calculation_M: q-&gt;m EOP(L_bge5u_ta_q&gt;mdb)
Calculation_Q: 
Calculation_A: q-&gt;a AVG(L_bge5u_ta_q&gt;mdb)
Periodicity: Q
Data available M: 1993m9 - 2023m9
Data available Q: 1993q3 - 2023q3
Data available A: 1993 - 2022
Text 99: 
Automatic update period: 1999|2015
Time shift: 
Note: Annually Grüne Werte als Durchsschnitte von verfügbaren Quartalsdaten gerechnet (AL).
Reporter: BG - Bulgaria
Chapter 1: 05_LAB - Labour market
Indicator: SC0507 - Unemployment, LFS
Unit: 02_Pers_11 - th persons, period average
Footnote 1: FBG40 - From 2023 according to census 2021.
Footnote 2: FZZ09 - From 2021 new methodology in line with the Integrated European Social Statistics Regulation (IESS).
Footnote 3: FBG37 - From 2012 according to census February 2011.
Footnote 4:  - 
Source 1: Z_ESTAT - Eurostat
Source 2: QBG1 - National Statistical Institute of Bulgaria
Source 3:  - 
</t>
        </r>
      </text>
    </comment>
    <comment ref="R8" authorId="1" shapeId="0" xr:uid="{2489C1B0-BE52-4BDF-8D6A-9F28BE03764C}">
      <text>
        <r>
          <rPr>
            <sz val="9"/>
            <color indexed="81"/>
            <rFont val="Segoe UI"/>
            <family val="2"/>
          </rPr>
          <t xml:space="preserve">ID: 32689
Label: bge5u_tp_q
Database: wiiw Monthly Database - Public
Status: active
Calculation: 
Calculation_M: q-&gt;m EOP(L_bge5u_tp_q&gt;mdb)
Calculation_Q: 
Calculation_A: q-&gt;a avg(L_bge5u_tp_q&gt;mdb)
Periodicity: Q
Data available M: 1993m9 - 2023m9
Data available Q: 1993q3 - 2023q3
Data available A: 2000 - 2022
Text 99: 
Automatic update period: 1999|2015
Time shift: 
Note: 
Reporter: BG - Bulgaria
Chapter 1: 05_LAB - Labour market
Indicator: SC0508 - Unemployment rate, LFS
Unit: 02_Pers_21 - in %, period average
Footnote 1: FBG40 - From 2023 according to census 2021.
Footnote 2: FZZ09 - From 2021 new methodology in line with the Integrated European Social Statistics Regulation (IESS).
Footnote 3: FBG37 - From 2012 according to census February 2011.
Footnote 4:  - 
Source 1: Z_ESTAT - Eurostat
Source 2: QBG1 - National Statistical Institute of Bulgaria
Source 3:  - 
</t>
        </r>
      </text>
    </comment>
    <comment ref="S8" authorId="1" shapeId="0" xr:uid="{111D89FA-284C-4151-88EE-1C1E5309B393}">
      <text>
        <r>
          <rPr>
            <sz val="9"/>
            <color indexed="81"/>
            <rFont val="Segoe UI"/>
            <family val="2"/>
          </rPr>
          <t xml:space="preserve">ID: 311
Label: bgw11_tccx
Database: wiiw Monthly Database - Public
Status: active
Calculation: SubScal(L_bgw11_tccx&gt;mdb,100)
Calculation_M: CPPY=100(L_bgw11_tn&gt;mdb)
Calculation_Q: CPPY=100(L_bgw11_tn&gt;mdb)
Calculation_A: CPPY=100(L_bgw11_tn&gt;mdb)
Periodicity: Q
Data available M: 1992m1 - 2023m9
Data available Q: 1992q1 - 2023q3
Data available A: 1992 - 2022
Text 99: 
Automatic update period: 1999|2015
Time shift: 
Note: 2009 (NACE2): no impact on growth rates. &amp; From 2009 based on annual exhaustive enterprises' survey on employment (for growth 2009 revised survey data 2008 used).  From January 1997 according to NACE Rev.1.1
Reporter: BG - Bulgaria
Chapter 1: 06_WS - Wages
Indicator: SC0601 - Average monthly gross wages total
Unit: 04_Inom_32 - index nominal, corresponding period of previous year = 100
Footnote 1: FBG13 - Up to 1998 public sector.
Footnote 2: FBG38 - From 2009 based on annual exhaustive enterprises survey.
Footnote 3: FBG39 - Excluding annual bonus payments.
Footnote 4:  - 
Source 1: QBG1 - National Statistical Institute of Bulgaria
Source 2: Z_wiiw - wiiw
Source 3:  - 
</t>
        </r>
      </text>
    </comment>
    <comment ref="T8" authorId="1" shapeId="0" xr:uid="{3A856314-34AE-4D4D-AACA-19AF5D26E0B0}">
      <text>
        <r>
          <rPr>
            <sz val="9"/>
            <color indexed="81"/>
            <rFont val="Segoe UI"/>
            <family val="2"/>
          </rPr>
          <t xml:space="preserve">ID: 760
Label: bgfrr1tp
Database: wiiw Monthly Database - Public
Status: active
Calculation: 
Calculation_M: 
Calculation_Q: m-&gt;q EOP(L_bgfrr1tp&gt;mdb)
Calculation_A: q-&gt;a EOP(L_bgfrr1tp&gt;mdb)
Periodicity: Q
Data available M: 1991m1 - 2024m1
Data available Q: 1991q1 - 2023q4
Data available A: 1991 - 2023
Text 99: 
Automatic update period: 1999|2015
Time shift: 
Note: ab 2000 lt. E-Stat 'other off.rates' = base interest rate = Base interest rate of BNB. &amp; Until currency board (10.6.1997) base interest rate was the rate on BGN-denomin. lending by BNB to refinance commerical banks. From 10.6.1997 base interest rate is based on the yield on short-term governm.securities on the primary market, from 1.2.2005 - on the level of interbank money market interest rate (LEONIA of prev.month)
Reporter: BG - Bulgaria
Chapter 1: 10_DF - Domestic finance
Indicator: SC1050 - Central bank policy rate
Unit: 06_IntR_1 - % p.a., end of period
Footnote 1: FBG35 - Base interest rate - BIR. From 97 BG has a currency board. The BIR is a ref.rate based on the average interbank LEONIA rate of prev.month (valid from 05), yield on gov.securities before (97-04).
Footnote 2:  - 
Footnote 3:  - 
Footnote 4:  - 
Source 1: QBG2 - National Bank of Bulgaria
Source 2:  - 
Source 3:  - 
</t>
        </r>
      </text>
    </comment>
    <comment ref="U8" authorId="1" shapeId="0" xr:uid="{FF89478C-C69D-40C8-A718-7041A5DE9338}">
      <text>
        <r>
          <rPr>
            <sz val="9"/>
            <color indexed="81"/>
            <rFont val="Segoe UI"/>
            <family val="2"/>
          </rPr>
          <t xml:space="preserve">ID: 570
Label: bgp1p1tsa
Database: wiiw Monthly Database - Public
Status: active
Calculation: 
Calculation_M: 
Calculation_Q: m-&gt;q AVG(L_bgp1p1tsa&gt;mdb)
Calculation_A: q-&gt;a AVG(L_bgp1p1tsa&gt;mdb)
Periodicity: Q
Data available M: 1999m1 - 2023m12
Data available Q: 1999q1 - 2023q4
Data available A: 1999 - 2023
Text 99: 
Automatic update period: 1999|2015
Time shift: 
Note: 
Reporter: BG - Bulgaria
Chapter 1: 07_PRC - Prices
Indicator: SC0701 - Consumer prices
Unit: 03_I_1_085_15avg - index, monthly average, 2015 = 100
Footnote 1: FZZ40 - Based on HICP (Harmonized Index of Consumer Prices).
Footnote 2:  - 
Footnote 3:  - 
Footnote 4:  - 
Source 1: Z_ESTAT - Eurostat
Source 2:  - 
Source 3:  - 
</t>
        </r>
      </text>
    </comment>
    <comment ref="V8" authorId="1" shapeId="0" xr:uid="{E5896F3E-2A11-4883-975C-C9280210DFC8}">
      <text>
        <r>
          <rPr>
            <sz val="9"/>
            <color indexed="81"/>
            <rFont val="Segoe UI"/>
            <family val="2"/>
          </rPr>
          <t xml:space="preserve">ID: 959
Label: bgp2xea
Database: wiiw Monthly Database - Public
Status: active
Calculation: 
Calculation_M: 
Calculation_Q: m-&gt;q AVG(L_bgp2xea&gt;mdb)
Calculation_A: q-&gt;a AVG(L_bgp2xea&gt;mdb)
Periodicity: Q
Data available M: 1991m2 - 2024m1
Data available Q: 1991q2 - 2023q4
Data available A: 1992 - 2023
Text 99: 
Automatic update period: 1999|2015
Time shift: 
Note: 
Reporter: BG - Bulgaria
Chapter 1: 11_FF - Foreign finance
Indicator: SC1107 - Exchange rate nominal
Unit: 07_Exch_12 - NCU/EUR, period average
Footnote 1: FZZ21 - Up to December 1998 ECU.
Footnote 2: FBG19 - wiiw calculated up to November 1996.
Footnote 3:  - 
Footnote 4:  - 
Source 1: Z_ESTAT - Eurostat
Source 2: QBG2 - National Bank of Bulgaria
Source 3:  - 
</t>
        </r>
      </text>
    </comment>
    <comment ref="W8" authorId="1" shapeId="0" xr:uid="{133210F8-57CC-4F87-85CA-69BF9AEEE007}">
      <text>
        <r>
          <rPr>
            <sz val="9"/>
            <color indexed="81"/>
            <rFont val="Segoe UI"/>
            <family val="2"/>
          </rPr>
          <t xml:space="preserve">ID: 32206
Label: bga1211tscx
Database: wiiw Monthly Database - Public
Status: active
Calculation: SubScal(L_bga1211tscx&gt;mdb,100)
Calculation_M: CPPY=100(L_bga1211tsa&gt;mdb)
Calculation_Q: CPPY=100(L_bga1211tsa&gt;mdb)
Calculation_A: CPPY=100(L_bga1211tsa&gt;mdb)
Periodicity: Q
Data available M: 2001m1 - 2023m11
Data available Q: 2001q1 - 2023q3
Data available A: 2001 - 2022
Text 99: 
Automatic update period: 1999|2015
Time shift: 
Note: 
Reporter: BG - Bulgaria
Chapter 1: 04_PROD - Production
Indicator: SC0401 - Industrial output (BCD - NACE Rev. 2)
Unit: 05_Ireal_32 - index real, corresponding period of previous year = 100
Footnote 1: FZZ03 - frei
Footnote 2:  - 
Footnote 3:  - 
Footnote 4:  - 
Source 1: Z_ESTAT - Eurostat
Source 2: Z_wiiw - wiiw
Source 3:  - 
</t>
        </r>
      </text>
    </comment>
    <comment ref="X8" authorId="1" shapeId="0" xr:uid="{EEADF7CE-EC8D-4D01-AA73-C4FCF268C4A6}">
      <text>
        <r>
          <rPr>
            <sz val="9"/>
            <color indexed="81"/>
            <rFont val="Segoe UI"/>
            <family val="2"/>
          </rPr>
          <t xml:space="preserve">ID: 87254
Label: bglago2e_q
Database: wiiw Monthly Database - Hidden
Status: active
Calculation: SubScal(CPPY=100(AddNull(L_bglago2e_q&gt;mdb,L_bglase2e_q&gt;mdb)),100)
Calculation_M: q-&gt;m EOP(L_bglago2e_q&gt;mdb)
Calculation_Q: 
Calculation_A: Q-&gt;A CUMPER(L_bglago2e_q&gt;mdb)
Periodicity: Q
Data available M: 2008m3 - 2023m9
Data available Q: 2008q1 - 2023q3
Data available A: 2008 - 2022
Text 99: 
Automatic update period: 1999|2015
Time shift: 
Note: 
Reporter: BG - Bulgaria
Chapter 1: 11_FF - Foreign finance
Indicator: SC1111 - 1.A.a. Goods exports, fob, credit
Unit: 01_Curr_23 - EUR m
Footnote 1: FZZ80 - Based on BPM6.
Footnote 2:  - 
Footnote 3:  - 
Footnote 4:  - 
Source 1: Z_ESTAT - Eurostat
Source 2: QBG2 - National Bank of Bulgaria
Source 3:  - 
</t>
        </r>
      </text>
    </comment>
    <comment ref="Y8" authorId="1" shapeId="0" xr:uid="{5729E382-AE71-458A-9B56-FBB061D92C52}">
      <text>
        <r>
          <rPr>
            <sz val="9"/>
            <color indexed="81"/>
            <rFont val="Segoe UI"/>
            <family val="2"/>
          </rPr>
          <t xml:space="preserve">ID: 87291
Label: bglago3e_q
Database: wiiw Monthly Database - Hidden
Status: active
Calculation: SubScal(CPPY=100(AddNull(L_bglago3e_q&gt;mdb,L_bglase3e_q&gt;mdb)),100)
Calculation_M: q-&gt;m EOP(L_bglago3e_q&gt;mdb)
Calculation_Q: 
Calculation_A: Q-&gt;A CUMPER(L_bglago3e_q&gt;mdb)
Periodicity: Q
Data available M: 2008m3 - 2023m9
Data available Q: 2008q1 - 2023q3
Data available A: 2008 - 2022
Text 99: 
Automatic update period: 1999|2015
Time shift: 
Note: 
Reporter: BG - Bulgaria
Chapter 1: 11_FF - Foreign finance
Indicator: SC1112 - 1.A.a. Goods imports, fob, debit
Unit: 01_Curr_23 - EUR m
Footnote 1: FZZ80 - Based on BPM6.
Footnote 2:  - 
Footnote 3:  - 
Footnote 4:  - 
Source 1: Z_ESTAT - Eurostat
Source 2: QBG2 - National Bank of Bulgaria
Source 3:  - 
</t>
        </r>
      </text>
    </comment>
    <comment ref="Z8" authorId="1" shapeId="0" xr:uid="{C95EDA01-32C9-47DE-9142-06F5894D430A}">
      <text>
        <r>
          <rPr>
            <sz val="9"/>
            <color indexed="81"/>
            <rFont val="Segoe UI"/>
            <family val="2"/>
          </rPr>
          <t xml:space="preserve">ID: 88724
Label: bglacaepx_q
Database: wiiw Monthly Database - Public
Status: active
Calculation: 
Calculation_M: Q-&gt;M EOP(L_bglacaepx_q&gt;mdb)
Calculation_Q: Share(L_bglacaen_q&gt;mdb,Div(L_bgg11tn_q&gt;mdb,L_bgp2xea&gt;mdb))
Calculation_A: Share(L_bglacaen_q&gt;mdb,Div(L_bgg11tn_q&gt;mdb,L_bgp2xea&gt;mdb))
Periodicity: Q
Data available M: 1998m3 - 2023m9
Data available Q: 1998q1 - 2023q3
Data available A: 1998 - 2022
Text 99: 
Automatic update period: 1999|2015
Time shift: 
Note: 
Reporter: BG - Bulgaria
Chapter 1: 11_FF - Foreign finance
Indicator: SC1101 - Current account
Unit: 09_Share_%gdp - in % of GDP
Footnote 1: FZZ55 - From 2008 based on BPM6.
Footnote 2:  - 
Footnote 3:  - 
Footnote 4:  - 
Source 1: Z_ESTAT - Eurostat
Source 2: QBG2 - National Bank of Bulgaria
Source 3: Z_wiiw - wiiw
</t>
        </r>
      </text>
    </comment>
    <comment ref="AA8" authorId="1" shapeId="0" xr:uid="{5F7F24AD-0A9C-4D5C-9F4D-AE9530196D22}">
      <text>
        <r>
          <rPr>
            <sz val="9"/>
            <color indexed="81"/>
            <rFont val="Segoe UI"/>
            <family val="2"/>
          </rPr>
          <t xml:space="preserve">ID: 90336
Label: bgg222px_q
Database: wiiw Monthly Database - Public
Status: active
Calculation: AddNull(L_bgg222px_q&gt;mdb,L_bgg22zpx_q&gt;mdb)
Calculation_M: Q-&gt;M EOP(L_bgg222px_q&gt;mdb)
Calculation_Q: Share(L_bgg222n_q&gt;mdb,L_bgg11tzn_q&gt;mdb)
Calculation_A: Share(L_bgg222n_q&gt;mdb,L_bgg11tzn_q&gt;mdb)
Periodicity: Q
Data available M: 1995m3 - 2023m9
Data available Q: 1995q1 - 2023q3
Data available A: 1995 - 2022
Text 99: 
Automatic update period: 1999|2015
Time shift: 
Note: 
Reporter: BG - Bulgaria
Chapter 1: 02_NA - National accounts
Indicator: SC0212 - Household final consumption expenditure
Unit: 09_Share_%gdp - in % of GDP
Footnote 1:  - 
Footnote 2:  - 
Footnote 3:  - 
Footnote 4:  - 
Source 1: Z_ESTAT - Eurostat
Source 2: Z_wiiw - wiiw
Source 3:  - 
</t>
        </r>
      </text>
    </comment>
    <comment ref="AB8" authorId="1" shapeId="0" xr:uid="{58AE182B-17E4-4218-8DBD-31D17AA8C136}">
      <text>
        <r>
          <rPr>
            <sz val="9"/>
            <color indexed="81"/>
            <rFont val="Segoe UI"/>
            <family val="2"/>
          </rPr>
          <t xml:space="preserve">ID: 90380
Label: bgg223px_q
Database: wiiw Monthly Database - Public
Status: active
Calculation: 
Calculation_M: Q-&gt;M EOP(L_bgg223px_q&gt;mdb)
Calculation_Q: Share(L_bgg223n_q&gt;mdb,L_bgg11tzn_q&gt;mdb)
Calculation_A: Share(L_bgg223n_q&gt;mdb,L_bgg11tzn_q&gt;mdb)
Periodicity: Q
Data available M: 1995m3 - 2023m9
Data available Q: 1995q1 - 2023q3
Data available A: 1995 - 2022
Text 99: 
Automatic update period: 1999|2015
Time shift: 
Note: 
Reporter: BG - Bulgaria
Chapter 1: 02_NA - National accounts
Indicator: SC0214 - Government final consumption expenditure
Unit: 09_Share_%gdp - in % of GDP
Footnote 1:  - 
Footnote 2:  - 
Footnote 3:  - 
Footnote 4:  - 
Source 1: Z_ESTAT - Eurostat
Source 2: Z_wiiw - wiiw
Source 3:  - 
</t>
        </r>
      </text>
    </comment>
    <comment ref="AC8" authorId="1" shapeId="0" xr:uid="{8EA73003-1EAF-4077-A764-1F4D966B7F13}">
      <text>
        <r>
          <rPr>
            <sz val="9"/>
            <color indexed="81"/>
            <rFont val="Segoe UI"/>
            <family val="2"/>
          </rPr>
          <t xml:space="preserve">ID: 90402
Label: bgg224px_q
Database: wiiw Monthly Database - Public
Status: active
Calculation: 
Calculation_M: Q-&gt;M EOP(L_bgg224px_q&gt;mdb)
Calculation_Q: Share(L_bgg224n_q&gt;mdb,L_bgg11tzn_q&gt;mdb)
Calculation_A: Share(L_bgg224n_q&gt;mdb,L_bgg11tzn_q&gt;mdb)
Periodicity: Q
Data available M: 1995m3 - 2023m9
Data available Q: 1995q1 - 2023q3
Data available A: 1995 - 2022
Text 99: 
Automatic update period: 1999|2015
Time shift: 
Note: 
Reporter: BG - Bulgaria
Chapter 1: 02_NA - National accounts
Indicator: SC0217 - Gross capital formation
Unit: 09_Share_%gdp - in % of GDP
Footnote 1:  - 
Footnote 2:  - 
Footnote 3:  - 
Footnote 4:  - 
Source 1: Z_ESTAT - Eurostat
Source 2: Z_wiiw - wiiw
Source 3:  - 
</t>
        </r>
      </text>
    </comment>
    <comment ref="AD8" authorId="1" shapeId="0" xr:uid="{63BF5410-7F19-4DCE-BBA2-F1FF40940700}">
      <text>
        <r>
          <rPr>
            <sz val="9"/>
            <color indexed="81"/>
            <rFont val="Segoe UI"/>
            <family val="2"/>
          </rPr>
          <t xml:space="preserve">ID: 90490
Label: bgg228px_q
Database: wiiw Monthly Database - Public
Status: active
Calculation: 
Calculation_M: Q-&gt;M EOP(L_bgg228px_q&gt;mdb)
Calculation_Q: Share(L_bgg228n_q&gt;mdb,L_bgg11tzn_q&gt;mdb)
Calculation_A: Share(L_bgg228n_q&gt;mdb,L_bgg11tzn_q&gt;mdb)
Periodicity: Q
Data available M: 1995m3 - 2023m9
Data available Q: 1995q1 - 2023q3
Data available A: 1995 - 2022
Text 99: 
Automatic update period: 1999|2015
Time shift: 
Note: 
Reporter: BG - Bulgaria
Chapter 1: 02_NA - National accounts
Indicator: SC0221 - Exports of goods and services
Unit: 09_Share_%gdp - in % of GDP
Footnote 1:  - 
Footnote 2:  - 
Footnote 3:  - 
Footnote 4:  - 
Source 1: Z_ESTAT - Eurostat
Source 2: Z_wiiw - wiiw
Source 3:  - 
</t>
        </r>
      </text>
    </comment>
    <comment ref="AE8" authorId="1" shapeId="0" xr:uid="{FBC1624C-EC1A-48EB-9D35-609A124B9F8F}">
      <text>
        <r>
          <rPr>
            <sz val="9"/>
            <color indexed="81"/>
            <rFont val="Segoe UI"/>
            <family val="2"/>
          </rPr>
          <t xml:space="preserve">ID: 90512
Label: bgg229px_q
Database: wiiw Monthly Database - Public
Status: active
Calculation: 
Calculation_M: Q-&gt;M EOP(L_bgg229px_q&gt;mdb)
Calculation_Q: Share(L_bgg229n_q&gt;mdb,L_bgg11tzn_q&gt;mdb)
Calculation_A: Share(L_bgg229n_q&gt;mdb,L_bgg11tzn_q&gt;mdb)
Periodicity: Q
Data available M: 1995m3 - 2023m9
Data available Q: 1995q1 - 2023q3
Data available A: 1995 - 2022
Text 99: 
Automatic update period: 1999|2015
Time shift: 
Note: 
Reporter: BG - Bulgaria
Chapter 1: 02_NA - National accounts
Indicator: SC0222 - Imports of goods and services
Unit: 09_Share_%gdp - in % of GDP
Footnote 1:  - 
Footnote 2:  - 
Footnote 3:  - 
Footnote 4:  - 
Source 1: Z_ESTAT - Eurostat
Source 2: Z_wiiw - wiiw
Source 3:  - 
</t>
        </r>
      </text>
    </comment>
    <comment ref="AF8" authorId="1" shapeId="0" xr:uid="{E8148243-602D-46FF-8B1C-57902F257806}">
      <text>
        <r>
          <rPr>
            <sz val="9"/>
            <color indexed="81"/>
            <rFont val="Segoe UI"/>
            <family val="2"/>
          </rPr>
          <t xml:space="preserve">ID: 89610
Label: bgfls14scx
Database: wiiw Monthly Database - Public
Status: active
Calculation: SubScal(L_bgfls14scx&gt;mdb,100)
Calculation_M: CPPY=100(L_bgfls14e&gt;mdb)
Calculation_Q: M-&gt;Q EOP(L_bgfls14scx&gt;mdb)
Calculation_A: Q-&gt;A EOP(L_bgfls14scx&gt;mdb)
Periodicity: Q
Data available M: 1997m1 - 2023m12
Data available Q: 1997q1 - 2023q4
Data available A: 1997 - 2023
Text 99: 
Automatic update period: 1999|2015
Time shift: 
Note: 
Reporter: BG - Bulgaria
Chapter 1: 10_DF - Domestic finance
Indicator: SC1066 - Loans households (S14)
Unit: 04_Inom_32 - index nominal, corresponding period of previous year = 100
Footnote 1: FZZ70 - Including NPISHs (S15).
Footnote 2:  - 
Footnote 3:  - 
Footnote 4:  - 
Source 1: QBG2 - National Bank of Bulgaria
Source 2: Z_wiiw - wiiw
Source 3:  - 
</t>
        </r>
      </text>
    </comment>
    <comment ref="AG8" authorId="1" shapeId="0" xr:uid="{C6F0FC1B-A6CD-4D61-B866-C0C848262408}">
      <text>
        <r>
          <rPr>
            <sz val="9"/>
            <color indexed="81"/>
            <rFont val="Segoe UI"/>
            <family val="2"/>
          </rPr>
          <t xml:space="preserve">ID: 144762
Label: bgbgdtpx_help_q
Database: wiiw Monthly Database - Hidden
Status: active
Calculation: 
Calculation_M: q-&gt;m EOP(L_bgbgdtpx_help_q&gt;mdb)
Calculation_Q: Share(L_bgbgdtn_help_q&gt;mdb,L_bgg11tnx_help_q&gt;mdb)
Calculation_A: q-&gt;a EOP(L_bgbgdtpx_help_q&gt;mdb)
Periodicity: Q
Data available M: 2000m3 - 2023m9
Data available Q: 2000q1 - 2023q3
Data available A: 2000 - 2022
Text 99: 
Automatic update period: 1999|2015
Time shift: 
Note: 
Reporter: BG - Bulgaria
Chapter 1: 10_DF - Domestic finance
Indicator: SC1009 - General government gross debt, total
Unit: 09_Share_%gdp - in % of GDP
Footnote 1:  - 
Footnote 2:  - 
Footnote 3:  - 
Footnote 4:  - 
Source 1: Z_ESTAT - Eurostat
Source 2: Z_wiiw - wiiw
Source 3:  - 
</t>
        </r>
      </text>
    </comment>
    <comment ref="G101" authorId="0" shapeId="0" xr:uid="{BA07758F-0E7D-4E24-8B8F-22F99296E3A3}">
      <text>
        <r>
          <rPr>
            <b/>
            <sz val="9"/>
            <color indexed="81"/>
            <rFont val="Tahoma"/>
            <family val="2"/>
          </rPr>
          <t>BJ:</t>
        </r>
        <r>
          <rPr>
            <sz val="9"/>
            <color indexed="81"/>
            <rFont val="Tahoma"/>
            <family val="2"/>
          </rPr>
          <t xml:space="preserve">
from the budget for 2022</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BJ</author>
    <author>Alexandra Bykova</author>
  </authors>
  <commentList>
    <comment ref="B1" authorId="0" shapeId="0" xr:uid="{EA867F45-4F53-4AFA-954F-B4D9E2DE9B1B}">
      <text>
        <r>
          <rPr>
            <b/>
            <sz val="9"/>
            <color indexed="81"/>
            <rFont val="Tahoma"/>
            <family val="2"/>
          </rPr>
          <t>BJ:</t>
        </r>
        <r>
          <rPr>
            <sz val="9"/>
            <color indexed="81"/>
            <rFont val="Tahoma"/>
            <family val="2"/>
          </rPr>
          <t xml:space="preserve">
EU 27, seasonally and calendar adjusted
Eurostat</t>
        </r>
      </text>
    </comment>
    <comment ref="C1" authorId="0" shapeId="0" xr:uid="{3AFA4166-0034-4307-8034-7D32AB8CAD65}">
      <text>
        <r>
          <rPr>
            <b/>
            <sz val="9"/>
            <color indexed="81"/>
            <rFont val="Tahoma"/>
            <family val="2"/>
          </rPr>
          <t>BJ:</t>
        </r>
        <r>
          <rPr>
            <sz val="9"/>
            <color indexed="81"/>
            <rFont val="Tahoma"/>
            <family val="2"/>
          </rPr>
          <t xml:space="preserve">
Eurostat</t>
        </r>
      </text>
    </comment>
    <comment ref="D1" authorId="0" shapeId="0" xr:uid="{F7160D31-0B77-41F3-AB80-F1923A7DB5AE}">
      <text>
        <r>
          <rPr>
            <b/>
            <sz val="9"/>
            <color indexed="81"/>
            <rFont val="Tahoma"/>
            <family val="2"/>
          </rPr>
          <t>BJ:</t>
        </r>
        <r>
          <rPr>
            <sz val="9"/>
            <color indexed="81"/>
            <rFont val="Tahoma"/>
            <family val="2"/>
          </rPr>
          <t xml:space="preserve">
EU changing composition
Eurostat</t>
        </r>
      </text>
    </comment>
    <comment ref="E1" authorId="0" shapeId="0" xr:uid="{63D11BF4-1084-4B60-95CA-348C7F5BE16C}">
      <text>
        <r>
          <rPr>
            <b/>
            <sz val="9"/>
            <color indexed="81"/>
            <rFont val="Tahoma"/>
            <family val="2"/>
          </rPr>
          <t>BJ:</t>
        </r>
        <r>
          <rPr>
            <sz val="9"/>
            <color indexed="81"/>
            <rFont val="Tahoma"/>
            <family val="2"/>
          </rPr>
          <t xml:space="preserve">
ECB</t>
        </r>
      </text>
    </comment>
    <comment ref="F1" authorId="0" shapeId="0" xr:uid="{EC073A47-A282-4492-A2D0-ABA72095B1E5}">
      <text>
        <r>
          <rPr>
            <b/>
            <sz val="9"/>
            <color indexed="81"/>
            <rFont val="Tahoma"/>
            <family val="2"/>
          </rPr>
          <t>BJ:</t>
        </r>
        <r>
          <rPr>
            <sz val="9"/>
            <color indexed="81"/>
            <rFont val="Tahoma"/>
            <family val="2"/>
          </rPr>
          <t xml:space="preserve">
Crude oil, average, from WB pink sheets</t>
        </r>
      </text>
    </comment>
    <comment ref="G1" authorId="0" shapeId="0" xr:uid="{1B570482-8463-4582-823B-4552C52A97C1}">
      <text>
        <r>
          <rPr>
            <sz val="9"/>
            <color indexed="81"/>
            <rFont val="Tahoma"/>
            <family val="2"/>
          </rPr>
          <t>General gov, nominal yoy growth, in NCU
wiiw</t>
        </r>
      </text>
    </comment>
    <comment ref="H1" authorId="0" shapeId="0" xr:uid="{44D663A1-5140-46D3-ACE7-861DC1760F48}">
      <text>
        <r>
          <rPr>
            <b/>
            <sz val="9"/>
            <color indexed="81"/>
            <rFont val="Tahoma"/>
            <family val="2"/>
          </rPr>
          <t>BJ:</t>
        </r>
        <r>
          <rPr>
            <sz val="9"/>
            <color indexed="81"/>
            <rFont val="Tahoma"/>
            <family val="2"/>
          </rPr>
          <t xml:space="preserve">
General gov. budget - revenues NCU m (incl. 'euro fixed' series)
wiiw</t>
        </r>
      </text>
    </comment>
    <comment ref="I1" authorId="0" shapeId="0" xr:uid="{D3437674-4B1D-4908-A6F9-ADDAA74886E2}">
      <text>
        <r>
          <rPr>
            <b/>
            <sz val="9"/>
            <color indexed="81"/>
            <rFont val="Tahoma"/>
            <family val="2"/>
          </rPr>
          <t>BJ:</t>
        </r>
        <r>
          <rPr>
            <sz val="9"/>
            <color indexed="81"/>
            <rFont val="Tahoma"/>
            <family val="2"/>
          </rPr>
          <t xml:space="preserve">
General gov. budget - balance
 in % of GDP
wiiw</t>
        </r>
      </text>
    </comment>
    <comment ref="J1" authorId="0" shapeId="0" xr:uid="{08E8CA15-DD39-4003-A0FF-ED0C911BC966}">
      <text>
        <r>
          <rPr>
            <b/>
            <sz val="9"/>
            <color indexed="81"/>
            <rFont val="Tahoma"/>
            <family val="2"/>
          </rPr>
          <t>BJ:</t>
        </r>
        <r>
          <rPr>
            <sz val="9"/>
            <color indexed="81"/>
            <rFont val="Tahoma"/>
            <family val="2"/>
          </rPr>
          <t xml:space="preserve">
For all GDP: 
NCU m, 2015 reference prices (prev. year prices, incl. 'euro fixed' series)
wiiw</t>
        </r>
      </text>
    </comment>
    <comment ref="K1" authorId="0" shapeId="0" xr:uid="{2BB8D309-5CDF-499E-8786-4EE93F72D80A}">
      <text>
        <r>
          <rPr>
            <b/>
            <sz val="9"/>
            <color indexed="81"/>
            <rFont val="Tahoma"/>
            <family val="2"/>
          </rPr>
          <t>BJ:</t>
        </r>
        <r>
          <rPr>
            <sz val="9"/>
            <color indexed="81"/>
            <rFont val="Tahoma"/>
            <family val="2"/>
          </rPr>
          <t xml:space="preserve">
Households + NPISH
Only Households</t>
        </r>
      </text>
    </comment>
    <comment ref="M1" authorId="0" shapeId="0" xr:uid="{274EC1E9-DCC4-4258-9C3F-48460A7394D5}">
      <text>
        <r>
          <rPr>
            <b/>
            <sz val="9"/>
            <color indexed="81"/>
            <rFont val="Tahoma"/>
            <family val="2"/>
          </rPr>
          <t>BJ:</t>
        </r>
        <r>
          <rPr>
            <sz val="9"/>
            <color indexed="81"/>
            <rFont val="Tahoma"/>
            <family val="2"/>
          </rPr>
          <t xml:space="preserve">
Gross capital formation</t>
        </r>
      </text>
    </comment>
    <comment ref="P1" authorId="0" shapeId="0" xr:uid="{02DCC955-7055-4512-AECD-5E336D657D06}">
      <text>
        <r>
          <rPr>
            <b/>
            <sz val="9"/>
            <color indexed="81"/>
            <rFont val="Tahoma"/>
            <family val="2"/>
          </rPr>
          <t>Employment, LFS, thousand persons
wiiw</t>
        </r>
      </text>
    </comment>
    <comment ref="Q1" authorId="0" shapeId="0" xr:uid="{56309A31-B9FF-40E2-9CB9-CF9B2602E52C}">
      <text>
        <r>
          <rPr>
            <b/>
            <sz val="9"/>
            <color indexed="81"/>
            <rFont val="Tahoma"/>
            <family val="2"/>
          </rPr>
          <t>Unemployment, LFS, thousand persons
wiiw</t>
        </r>
      </text>
    </comment>
    <comment ref="R1" authorId="0" shapeId="0" xr:uid="{D0203016-1588-4171-AA21-3D008FEF5B0C}">
      <text>
        <r>
          <rPr>
            <b/>
            <sz val="9"/>
            <color indexed="81"/>
            <rFont val="Tahoma"/>
            <family val="2"/>
          </rPr>
          <t>Unemployment, LFS, in %
wiiw</t>
        </r>
      </text>
    </comment>
    <comment ref="S1" authorId="0" shapeId="0" xr:uid="{08E9388D-19F5-440C-BF02-3BD499A529BF}">
      <text>
        <r>
          <rPr>
            <sz val="9"/>
            <color indexed="81"/>
            <rFont val="Tahoma"/>
            <family val="2"/>
          </rPr>
          <t>Average monthly gross wages total, 
national currency (incl. 'euro fixed' series), yoy growth
wiiw</t>
        </r>
      </text>
    </comment>
    <comment ref="T1" authorId="0" shapeId="0" xr:uid="{8A395250-8142-4EB6-A1C4-57D433E785EF}">
      <text>
        <r>
          <rPr>
            <b/>
            <sz val="9"/>
            <color indexed="81"/>
            <rFont val="Tahoma"/>
            <family val="2"/>
          </rPr>
          <t>BJ:</t>
        </r>
        <r>
          <rPr>
            <sz val="9"/>
            <color indexed="81"/>
            <rFont val="Tahoma"/>
            <family val="2"/>
          </rPr>
          <t xml:space="preserve">
Central bank policy rate, nominal
wiiw</t>
        </r>
      </text>
    </comment>
    <comment ref="U1" authorId="0" shapeId="0" xr:uid="{E6E88FFA-05F5-4E09-BCDE-A13578389692}">
      <text>
        <r>
          <rPr>
            <b/>
            <sz val="9"/>
            <color indexed="81"/>
            <rFont val="Tahoma"/>
            <family val="2"/>
          </rPr>
          <t>BJ:</t>
        </r>
        <r>
          <rPr>
            <sz val="9"/>
            <color indexed="81"/>
            <rFont val="Tahoma"/>
            <family val="2"/>
          </rPr>
          <t xml:space="preserve">
Consumer prices index, monthly average, 2015 = 100
wiiw</t>
        </r>
      </text>
    </comment>
    <comment ref="V1" authorId="0" shapeId="0" xr:uid="{E040C550-58B5-44F8-8118-703DF305CFBB}">
      <text>
        <r>
          <rPr>
            <b/>
            <sz val="9"/>
            <color indexed="81"/>
            <rFont val="Tahoma"/>
            <family val="2"/>
          </rPr>
          <t>BJ:</t>
        </r>
        <r>
          <rPr>
            <sz val="9"/>
            <color indexed="81"/>
            <rFont val="Tahoma"/>
            <family val="2"/>
          </rPr>
          <t xml:space="preserve">
Exchange rate nominal NCU/EUR, period average
wiiw</t>
        </r>
      </text>
    </comment>
    <comment ref="W1" authorId="0" shapeId="0" xr:uid="{92440DF2-D1E5-43A9-9041-A521FB175C37}">
      <text>
        <r>
          <rPr>
            <b/>
            <sz val="9"/>
            <color indexed="81"/>
            <rFont val="Tahoma"/>
            <family val="2"/>
          </rPr>
          <t>BJ:</t>
        </r>
        <r>
          <rPr>
            <sz val="9"/>
            <color indexed="81"/>
            <rFont val="Tahoma"/>
            <family val="2"/>
          </rPr>
          <t xml:space="preserve">
 Industrial output (BCD - NACE Rev. 2), index real, monthly average, 2015 = 100, yoy growth
wiiw</t>
        </r>
      </text>
    </comment>
    <comment ref="X1" authorId="0" shapeId="0" xr:uid="{5F969893-6CA4-4C2A-A743-B8BC23AAA531}">
      <text>
        <r>
          <rPr>
            <b/>
            <sz val="9"/>
            <color indexed="81"/>
            <rFont val="Tahoma"/>
            <family val="2"/>
          </rPr>
          <t>BJ:</t>
        </r>
        <r>
          <rPr>
            <sz val="9"/>
            <color indexed="81"/>
            <rFont val="Tahoma"/>
            <family val="2"/>
          </rPr>
          <t xml:space="preserve">
Exports total, fob EUR m, yoy growth
wiiw
Alexandra: changed to BOP: exports of goods and services</t>
        </r>
      </text>
    </comment>
    <comment ref="Y1" authorId="0" shapeId="0" xr:uid="{3C5DE519-CB90-4750-BB79-414011942C15}">
      <text>
        <r>
          <rPr>
            <b/>
            <sz val="9"/>
            <color indexed="81"/>
            <rFont val="Tahoma"/>
            <family val="2"/>
          </rPr>
          <t>BJ:</t>
        </r>
        <r>
          <rPr>
            <sz val="9"/>
            <color indexed="81"/>
            <rFont val="Tahoma"/>
            <family val="2"/>
          </rPr>
          <t xml:space="preserve">
 Imports total, cif EUR m
wiiw
Alexandra: changed to BOP: imports of goods and services</t>
        </r>
      </text>
    </comment>
    <comment ref="Z1" authorId="0" shapeId="0" xr:uid="{5A40F3B2-F197-432E-9B91-2608EB37ABDF}">
      <text>
        <r>
          <rPr>
            <b/>
            <sz val="9"/>
            <color indexed="81"/>
            <rFont val="Tahoma"/>
            <family val="2"/>
          </rPr>
          <t>BJ:</t>
        </r>
        <r>
          <rPr>
            <sz val="9"/>
            <color indexed="81"/>
            <rFont val="Tahoma"/>
            <family val="2"/>
          </rPr>
          <t xml:space="preserve">
Current account in % of GDP
wiiw</t>
        </r>
      </text>
    </comment>
    <comment ref="AA1" authorId="0" shapeId="0" xr:uid="{C8D6019B-9EDB-40C9-A474-9C3A281DE6FF}">
      <text>
        <r>
          <rPr>
            <b/>
            <sz val="9"/>
            <color indexed="81"/>
            <rFont val="Tahoma"/>
            <family val="2"/>
          </rPr>
          <t>BJ:</t>
        </r>
        <r>
          <rPr>
            <sz val="9"/>
            <color indexed="81"/>
            <rFont val="Tahoma"/>
            <family val="2"/>
          </rPr>
          <t xml:space="preserve">
Households + NPISH</t>
        </r>
      </text>
    </comment>
    <comment ref="AC1" authorId="0" shapeId="0" xr:uid="{9FA0AC0B-6AA9-4624-B099-7348537F8E34}">
      <text>
        <r>
          <rPr>
            <b/>
            <sz val="9"/>
            <color indexed="81"/>
            <rFont val="Tahoma"/>
            <family val="2"/>
          </rPr>
          <t>BJ:</t>
        </r>
        <r>
          <rPr>
            <sz val="9"/>
            <color indexed="81"/>
            <rFont val="Tahoma"/>
            <family val="2"/>
          </rPr>
          <t xml:space="preserve">
Gross capital formation</t>
        </r>
      </text>
    </comment>
    <comment ref="AF1" authorId="0" shapeId="0" xr:uid="{F8F70A1C-187F-4826-BE9F-7CDD714414DC}">
      <text>
        <r>
          <rPr>
            <b/>
            <sz val="9"/>
            <color indexed="81"/>
            <rFont val="Tahoma"/>
            <family val="2"/>
          </rPr>
          <t>BJ:</t>
        </r>
        <r>
          <rPr>
            <sz val="9"/>
            <color indexed="81"/>
            <rFont val="Tahoma"/>
            <family val="2"/>
          </rPr>
          <t xml:space="preserve">
loans to households, nominal, yoy growth rates</t>
        </r>
      </text>
    </comment>
    <comment ref="B8" authorId="1" shapeId="0" xr:uid="{4ECB048B-0046-4C78-B512-364633203ADE}">
      <text>
        <r>
          <rPr>
            <sz val="9"/>
            <color indexed="81"/>
            <rFont val="Segoe UI"/>
            <family val="2"/>
          </rPr>
          <t xml:space="preserve">ID: 144396
Label: eug11tscrx_q
Database: wiiw Monthly Database - Hidden
Status: active
Calculation: 
Calculation_M: SubScal(L_eug11tscx_q&gt;mdb,100)
Calculation_Q: SubScal(L_eug11tscx_q&gt;mdb,100)
Calculation_A: SubScal(L_eug11tscx_q&gt;mdb,100)
Periodicity: Q
Data available M: 1996m3 - 2023m9
Data available Q: 1996q1 - 2023q3
Data available A: 1996 - 2022
Text 99: 
Automatic update period: 1999|2015
Time shift: 
Note: 
Reporter: EU27_2020 - EU - 27 countries (from 2020)
Chapter 1: 02_NA - National accounts
Indicator: SC0201 - Gross domestic product total
Unit: 05_Ireal_36 - real growth rate to corresponding period of previous year in %
Footnote 1: FZZ05 - According to ESA'10.
Footnote 2:  - 
Footnote 3:  - 
Footnote 4:  - 
Source 1: Z_ESTAT - Eurostat
Source 2: Z_wiiw - wiiw
Source 3:  - 
</t>
        </r>
      </text>
    </comment>
    <comment ref="C8" authorId="1" shapeId="0" xr:uid="{7BC9DC04-6AA7-4EC1-9B71-600AEFD91A3C}">
      <text>
        <r>
          <rPr>
            <sz val="9"/>
            <color indexed="81"/>
            <rFont val="Segoe UI"/>
            <family val="2"/>
          </rPr>
          <t xml:space="preserve">ID: 77811
Label: eup1p1tsa
Database: wiiw Monthly Database - Hidden
Status: active
Calculation: 
Calculation_M: 
Calculation_Q: m-&gt;q AVG(L_eup1p1tsa&gt;mdb)
Calculation_A: q-&gt;a AVG(L_eup1p1tsa&gt;mdb)
Periodicity: Q
Data available M: 1999m1 - 2023m12
Data available Q: 1999q1 - 2023q4
Data available A: 1999 - 2023
Text 99: 
Automatic update period: 1999|2015
Time shift: 
Note: 
Reporter: EU - European Union evolutionary
Chapter 1: 07_PRC - Prices
Indicator: SC0701 - Consumer prices
Unit: 03_I_1_085_15avg - index, monthly average, 2015 = 100
Footnote 1: FZZ40 - Based on HICP (Harmonized Index of Consumer Prices).
Footnote 2:  - 
Footnote 3:  - 
Footnote 4:  - 
Source 1: Z_ESTAT - Eurostat
Source 2:  - 
Source 3:  - 
</t>
        </r>
      </text>
    </comment>
    <comment ref="D8" authorId="1" shapeId="0" xr:uid="{AB1B4EFB-51D4-4CFA-9F82-5793C94A3ABC}">
      <text>
        <r>
          <rPr>
            <sz val="9"/>
            <color indexed="81"/>
            <rFont val="Segoe UI"/>
            <family val="2"/>
          </rPr>
          <t xml:space="preserve">ID: 77812
Label: eup1p1tscx
Database: wiiw Monthly Database - Hidden
Status: active
Calculation: SubScal(L_eup1p1tscx&gt;mdb,100)
Calculation_M: CPPY=100(L_eup1p1tsa&gt;mdb)
Calculation_Q: CPPY=100(L_eup1p1tsa&gt;mdb)
Calculation_A: CPPY=100(L_eup1p1tsa&gt;mdb)
Periodicity: Q
Data available M: 1992m1 - 2023m12
Data available Q: 1992q1 - 2023q4
Data available A: 1992 - 2023
Text 99: 
Automatic update period: 1999|2015
Time shift: 
Note: 
Reporter: EU - European Union evolutionary
Chapter 1: 07_PRC - Prices
Indicator: SC0701 - Consumer prices
Unit: 03_I_32 - index, corresponding period of previous year = 100
Footnote 1: FZZ40 - Based on HICP (Harmonized Index of Consumer Prices).
Footnote 2:  - 
Footnote 3:  - 
Footnote 4:  - 
Source 1: Z_ESTAT - Eurostat
Source 2: Z_wiiw - wiiw
Source 3:  - 
</t>
        </r>
      </text>
    </comment>
    <comment ref="E8" authorId="1" shapeId="0" xr:uid="{F41ADC3E-E6B1-46D4-88B5-F5B87759ECBE}">
      <text>
        <r>
          <rPr>
            <sz val="9"/>
            <color indexed="81"/>
            <rFont val="Segoe UI"/>
            <family val="2"/>
          </rPr>
          <t xml:space="preserve">ID: 144399
Label: eafrr1tp_help
Database: wiiw Monthly Database - Hidden
Status: active
Calculation: 
Calculation_M: L_eafrr1tp&gt;mdb
Calculation_Q: m-&gt;q AVG(L_eafrr1tp&gt;mdb)
Calculation_A: q-&gt;a AVG(L_eafrr1tp&gt;mdb)
Periodicity: Q
Data available M: 1999m1 - 2023m12
Data available Q: 1999q1 - 2023q4
Data available A: 1999 - 2023
Text 99: 
Automatic update period: 1999|2015
Time shift: 
Note: 
Reporter: EA - Euro area evolutionary
Chapter 1: 10_DF - Domestic finance
Indicator: SC1050 - Central bank policy rate
Unit: 06_IntR_6 - % p.a., period average
Footnote 1: FZZ50 - Official refinancing operation rates for euro area (ECB), rate in fixed rate tenders (between June 2000 and September 2008 the minimum bid rate in variable rate tenders was applied).
Footnote 2:  - 
Footnote 3:  - 
Footnote 4:  - 
Source 1: Z_ECB - European Central Bank
Source 2:  - 
Source 3:  - 
</t>
        </r>
      </text>
    </comment>
    <comment ref="F8" authorId="1" shapeId="0" xr:uid="{4218C0F4-B1E5-4260-9931-6AB7E4A696A4}">
      <text>
        <r>
          <rPr>
            <sz val="9"/>
            <color indexed="81"/>
            <rFont val="Segoe UI"/>
            <family val="2"/>
          </rPr>
          <t xml:space="preserve">ID: 101874
Label: usp2oila
Database: wiiw Monthly Database - Hidden
Status: active
Calculation: 
Calculation_M: 
Calculation_Q: M-&gt;Q AVG(L_usp2oila&gt;mdb)
Calculation_A: Q-&gt;A AVG(L_usp2oila&gt;mdb)
Periodicity: Q
Data available M: 1990m1 - 2023m12
Data available Q: 1990q1 - 2023q4
Data available A: 1990 - 2023
Text 99: 
Automatic update period: 1999|2015
Time shift: 
Note: Oil prices  &amp; Europe Brent Spot Price FOB (Dollars per Barrel) &amp; EIA (US) Source of the data. Gespeichert auf die EU&amp;US Karten.
Reporter: US - United States
Chapter 1: 11_FF - Foreign finance
Indicator:  - 
Unit:  - 
Footnote 1:  - 
Footnote 2:  - 
Footnote 3:  - 
Footnote 4:  - 
Source 1:  - 
Source 2:  - 
Source 3:  - 
</t>
        </r>
      </text>
    </comment>
    <comment ref="G8" authorId="1" shapeId="0" xr:uid="{BC54476A-C3BC-4EF7-980A-CD4F3A106DCA}">
      <text>
        <r>
          <rPr>
            <sz val="9"/>
            <color indexed="81"/>
            <rFont val="Segoe UI"/>
            <family val="2"/>
          </rPr>
          <t xml:space="preserve">ID: 32794
Label: hubg21n_q
Database: wiiw Monthly Database - Public
Status: active
Calculation: SubScal(CPPY=100(L_hubg21n_q&gt;mdb),100)
Calculation_M: q-&gt;m EOP(L_hubg21n_q&gt;mdb)
Calculation_Q: 
Calculation_A: Q-&gt;A CUMPER(L_hubg21n_q&gt;mdb)
Periodicity: Q
Data available M: 1999m3 - 2023m9
Data available Q: 1999q1 - 2023q3
Data available A: 1999 - 2022
Text 99: 
Automatic update period: 1999|2015
Time shift: 
Note: 
Reporter: HU - Hungary
Chapter 1: 10_DF - Domestic finance
Indicator: SC1011 - General gov. budget (ESA'10, EDP) - expenditures
Unit: 01_Curr_12 - NCU m (incl. 'euro fixed' series)
Footnote 1: FZZ42 - According to ESA'10 excessive deficit procedure.
Footnote 2:  - 
Footnote 3:  - 
Footnote 4:  - 
Source 1: Z_ESTAT - Eurostat
Source 2:  - 
Source 3:  - 
</t>
        </r>
      </text>
    </comment>
    <comment ref="H8" authorId="1" shapeId="0" xr:uid="{5911F603-0C94-415F-8EB9-5DD7804E05BA}">
      <text>
        <r>
          <rPr>
            <sz val="9"/>
            <color indexed="81"/>
            <rFont val="Segoe UI"/>
            <family val="2"/>
          </rPr>
          <t xml:space="preserve">ID: 32793
Label: hubg11n_q
Database: wiiw Monthly Database - Public
Status: active
Calculation: SubScal(CPPY=100(L_hubg11n_q&gt;mdb),100)
Calculation_M: q-&gt;m EOP(L_hubg11n_q&gt;mdb)
Calculation_Q: 
Calculation_A: Q-&gt;A CUMPER(L_hubg11n_q&gt;mdb)
Periodicity: Q
Data available M: 1999m3 - 2023m9
Data available Q: 1999q1 - 2023q3
Data available A: 1999 - 2022
Text 99: 
Automatic update period: 1999|2015
Time shift: 
Note: 
Reporter: HU - Hungary
Chapter 1: 10_DF - Domestic finance
Indicator: SC1010 - General gov. budget (ESA'10, EDP) - revenues
Unit: 01_Curr_12 - NCU m (incl. 'euro fixed' series)
Footnote 1: FZZ42 - According to ESA'10 excessive deficit procedure.
Footnote 2:  - 
Footnote 3:  - 
Footnote 4:  - 
Source 1: Z_ESTAT - Eurostat
Source 2:  - 
Source 3:  - 
</t>
        </r>
      </text>
    </comment>
    <comment ref="I8" authorId="1" shapeId="0" xr:uid="{0E8442F6-D037-4A55-987D-20718D95F855}">
      <text>
        <r>
          <rPr>
            <sz val="9"/>
            <color indexed="81"/>
            <rFont val="Segoe UI"/>
            <family val="2"/>
          </rPr>
          <t xml:space="preserve">ID: 89166
Label: hubg31px_q
Database: wiiw Monthly Database - Public
Status: active
Calculation: 
Calculation_M: Q-&gt;M EOP(L_hubg31px_q&gt;mdb)
Calculation_Q: Share(L_hubg31nx_q&gt;mdb,L_hug11tn_q&gt;mdb)
Calculation_A: Share(L_hubg31nx_q&gt;mdb,L_hug11tn_q&gt;mdb)
Periodicity: Q
Data available M: 1999m3 - 2023m9
Data available Q: 1999q1 - 2023q3
Data available A: 1999 - 2022
Text 99: 
Automatic update period: 1999|2015
Time shift: 
Note: 
Reporter: HU - Hungary
Chapter 1: 10_DF - Domestic finance
Indicator: SC1012 - General gov. budget (ESA'10, EDP) - balance
Unit: 09_Share_%gdp - in % of GDP
Footnote 1: FZZ42 - According to ESA'10 excessive deficit procedure.
Footnote 2:  - 
Footnote 3:  - 
Footnote 4:  - 
Source 1: Z_ESTAT - Eurostat
Source 2: Z_wiiw - wiiw
Source 3:  - 
</t>
        </r>
      </text>
    </comment>
    <comment ref="J8" authorId="1" shapeId="0" xr:uid="{619EF670-01B6-4A00-A600-8F4DA8DE1604}">
      <text>
        <r>
          <rPr>
            <sz val="9"/>
            <color indexed="81"/>
            <rFont val="Segoe UI"/>
            <family val="2"/>
          </rPr>
          <t xml:space="preserve">ID: 88640
Label: hug11tr15_q
Database: wiiw Monthly Database - Public
Status: active
Calculation: SubScal(CPPY=100(L_hug11tr15_q&gt;mdb),100)
Calculation_M: q-&gt;m EOP(L_hug11tr15_q&gt;mdb)
Calculation_Q: 
Calculation_A: q-&gt;a CumPer(L_hug11tr15_q&gt;mdb)
Periodicity: Q
Data available M: 1995m3 - 2023m9
Data available Q: 1995q1 - 2023q3
Data available A: 1995 - 2022
Text 99: 
Automatic update period: 1999|2015
Time shift: 
Note: 
Reporter: HU - Hungary
Chapter 1: 02_NA - National accounts
Indicator: SC0201 - Gross domestic product total
Unit: 01_Curr_15_085_15_r - NCU m, 2015 reference prices (prev. year prices, incl. 'euro fixed' series)
Footnote 1: FZZ05 - According to ESA'10.
Footnote 2:  - 
Footnote 3:  - 
Footnote 4:  - 
Source 1: Z_ESTAT - Eurostat
Source 2:  - 
Source 3:  - 
</t>
        </r>
      </text>
    </comment>
    <comment ref="K8" authorId="1" shapeId="0" xr:uid="{7DF01CCE-E4E9-49B8-826B-0BFE8775B012}">
      <text>
        <r>
          <rPr>
            <sz val="9"/>
            <color indexed="81"/>
            <rFont val="Segoe UI"/>
            <family val="2"/>
          </rPr>
          <t xml:space="preserve">ID: 90869
Label: hug222r15_q
Database: wiiw Monthly Database - Public
Status: active
Calculation: SubScal(CPPY=100(L_hug222r15_q&gt;mdb),100)
Calculation_M: q-&gt;m EOP(L_hug222r15_q&gt;mdb)
Calculation_Q: 
Calculation_A: q-&gt;a CumPer(L_hug222r15_q&gt;mdb)
Periodicity: Q
Data available M: 1995m3 - 2023m9
Data available Q: 1995q1 - 2023q3
Data available A: 1995 - 2022
Text 99: 
Automatic update period: 1999|2015
Time shift: 
Note: 
Reporter: HU - Hungary
Chapter 1: 02_NA - National accounts
Indicator: SC0212 - Household final consumption expenditure
Unit: 01_Curr_15_085_15_r - NCU m, 2015 reference prices (prev. year prices, incl. 'euro fixed' series)
Footnote 1:  - 
Footnote 2:  - 
Footnote 3:  - 
Footnote 4:  - 
Source 1: Z_ESTAT - Eurostat
Source 2:  - 
Source 3:  - 
</t>
        </r>
      </text>
    </comment>
    <comment ref="L8" authorId="1" shapeId="0" xr:uid="{8D1282B5-AB12-41E5-A5F1-3107ABBEAF19}">
      <text>
        <r>
          <rPr>
            <sz val="9"/>
            <color indexed="81"/>
            <rFont val="Segoe UI"/>
            <family val="2"/>
          </rPr>
          <t xml:space="preserve">ID: 90913
Label: hug223r15_q
Database: wiiw Monthly Database - Public
Status: active
Calculation: SubScal(CPPY=100(L_hug223r15_q&gt;mdb),100)
Calculation_M: q-&gt;m EOP(L_hug223r15_q&gt;mdb)
Calculation_Q: 
Calculation_A: q-&gt;a CumPer(L_hug223r15_q&gt;mdb)
Periodicity: Q
Data available M: 1995m3 - 2023m9
Data available Q: 1995q1 - 2023q3
Data available A: 1995 - 2022
Text 99: 
Automatic update period: 1999|2015
Time shift: 
Note: 
Reporter: HU - Hungary
Chapter 1: 02_NA - National accounts
Indicator: SC0214 - Government final consumption expenditure
Unit: 01_Curr_15_085_15_r - NCU m, 2015 reference prices (prev. year prices, incl. 'euro fixed' series)
Footnote 1:  - 
Footnote 2:  - 
Footnote 3:  - 
Footnote 4:  - 
Source 1: Z_ESTAT - Eurostat
Source 2:  - 
Source 3:  - 
</t>
        </r>
      </text>
    </comment>
    <comment ref="M8" authorId="1" shapeId="0" xr:uid="{92EFB413-C1C7-4C02-B852-52000834081F}">
      <text>
        <r>
          <rPr>
            <sz val="9"/>
            <color indexed="81"/>
            <rFont val="Segoe UI"/>
            <family val="2"/>
          </rPr>
          <t xml:space="preserve">ID: 90935
Label: hug224r15_q
Database: wiiw Monthly Database - Public
Status: active
Calculation: SubScal(CPPY=100(L_hug224r15_q&gt;mdb),100)
Calculation_M: q-&gt;m EOP(L_hug224r15_q&gt;mdb)
Calculation_Q: 
Calculation_A: q-&gt;a CumPer(L_hug224r15_q&gt;mdb)
Periodicity: Q
Data available M: 1995m3 - 2023m9
Data available Q: 1995q1 - 2023q3
Data available A: 1995 - 2022
Text 99: 
Automatic update period: 1999|2015
Time shift: 
Note: 
Reporter: HU - Hungary
Chapter 1: 02_NA - National accounts
Indicator: SC0217 - Gross capital formation
Unit: 01_Curr_15_085_15_r - NCU m, 2015 reference prices (prev. year prices, incl. 'euro fixed' series)
Footnote 1:  - 
Footnote 2:  - 
Footnote 3:  - 
Footnote 4:  - 
Source 1: Z_ESTAT - Eurostat
Source 2:  - 
Source 3:  - 
</t>
        </r>
      </text>
    </comment>
    <comment ref="N8" authorId="1" shapeId="0" xr:uid="{A03CEC91-6BFE-4ACE-A570-C3AEC1621FA5}">
      <text>
        <r>
          <rPr>
            <sz val="9"/>
            <color indexed="81"/>
            <rFont val="Segoe UI"/>
            <family val="2"/>
          </rPr>
          <t xml:space="preserve">ID: 90979
Label: hug228r15_q
Database: wiiw Monthly Database - Public
Status: active
Calculation: SubScal(CPPY=100(L_hug228r15_q&gt;mdb),100)
Calculation_M: q-&gt;m EOP(L_hug228r15_q&gt;mdb)
Calculation_Q: 
Calculation_A: q-&gt;a CumPer(L_hug228r15_q&gt;mdb)
Periodicity: Q
Data available M: 1995m3 - 2023m9
Data available Q: 1995q1 - 2023q3
Data available A: 1995 - 2022
Text 99: 
Automatic update period: 1999|2015
Time shift: 
Note: 
Reporter: HU - Hungary
Chapter 1: 02_NA - National accounts
Indicator: SC0221 - Exports of goods and services
Unit: 01_Curr_15_085_15_r - NCU m, 2015 reference prices (prev. year prices, incl. 'euro fixed' series)
Footnote 1:  - 
Footnote 2:  - 
Footnote 3:  - 
Footnote 4:  - 
Source 1: Z_ESTAT - Eurostat
Source 2:  - 
Source 3:  - 
</t>
        </r>
      </text>
    </comment>
    <comment ref="O8" authorId="1" shapeId="0" xr:uid="{5902D1BA-F48D-4AA0-982F-BE118AF94372}">
      <text>
        <r>
          <rPr>
            <sz val="9"/>
            <color indexed="81"/>
            <rFont val="Segoe UI"/>
            <family val="2"/>
          </rPr>
          <t xml:space="preserve">ID: 91001
Label: hug229r15_q
Database: wiiw Monthly Database - Public
Status: active
Calculation: SubScal(CPPY=100(L_hug229r15_q&gt;mdb),100)
Calculation_M: q-&gt;m EOP(L_hug229r15_q&gt;mdb)
Calculation_Q: 
Calculation_A: q-&gt;a CumPer(L_hug229r15_q&gt;mdb)
Periodicity: Q
Data available M: 1995m3 - 2023m9
Data available Q: 1995q1 - 2023q3
Data available A: 1995 - 2022
Text 99: 
Automatic update period: 1999|2015
Time shift: 
Note: 
Reporter: HU - Hungary
Chapter 1: 02_NA - National accounts
Indicator: SC0222 - Imports of goods and services
Unit: 01_Curr_15_085_15_r - NCU m, 2015 reference prices (prev. year prices, incl. 'euro fixed' series)
Footnote 1:  - 
Footnote 2:  - 
Footnote 3:  - 
Footnote 4:  - 
Source 1: Z_ESTAT - Eurostat
Source 2:  - 
Source 3:  - 
</t>
        </r>
      </text>
    </comment>
    <comment ref="P8" authorId="1" shapeId="0" xr:uid="{B7C6D916-6171-4071-9FA6-BCFFFAF0064B}">
      <text>
        <r>
          <rPr>
            <sz val="9"/>
            <color indexed="81"/>
            <rFont val="Segoe UI"/>
            <family val="2"/>
          </rPr>
          <t xml:space="preserve">ID: 32647
Label: hue51_ta_q
Database: wiiw Monthly Database - Public
Status: active
Calculation: 
Calculation_M: q-&gt;m EOP(L_hue51_ta_q&gt;mdb)
Calculation_Q: 
Calculation_A: q-&gt;a AVG(L_hue51_ta_q&gt;mdb)
Periodicity: Q
Data available M: 1998m3 - 2023m9
Data available Q: 1998q1 - 2023q3
Data available A: 1998 - 2022
Text 99: 
Automatic update period: 1999|2015
Time shift: 
Note: vor 1998 national nicht möglich (keine Quartalshefte vorhanden, DB beginnt 2001), Beginn 3Q97, online alles ab 98) &amp; 2021Q1 break - Stadat tables report 15-74 (=wiiw), CSO DB offers 15-89! About 5000 persons difference for employment
Reporter: HU - Hungary
Chapter 1: 05_LAB - Labour market
Indicator: SC0501 - Employment, LFS
Unit: 02_Pers_11 - th persons, period average
Footnote 1: FZZ09 - From 2021 new methodology in line with the Integrated European Social Statistics Regulation (IESS).
Footnote 2: FHU21 - From 2012 according to census October 2011.
Footnote 3:  - 
Footnote 4:  - 
Source 1: Z_ESTAT - Eurostat
Source 2: QHU1 - Central Statistical Office of Hungary
Source 3:  - 
</t>
        </r>
      </text>
    </comment>
    <comment ref="Q8" authorId="1" shapeId="0" xr:uid="{57650D2F-B83C-4CAB-8D45-023058D639BF}">
      <text>
        <r>
          <rPr>
            <sz val="9"/>
            <color indexed="81"/>
            <rFont val="Segoe UI"/>
            <family val="2"/>
          </rPr>
          <t xml:space="preserve">ID: 32675
Label: hue5u_ta_q
Database: wiiw Monthly Database - Public
Status: active
Calculation: 
Calculation_M: q-&gt;m EOP(L_hue5u_ta_q&gt;mdb)
Calculation_Q: 
Calculation_A: q-&gt;a AVG(L_hue5u_ta_q&gt;mdb)
Periodicity: Q
Data available M: 1998m3 - 2023m9
Data available Q: 1998q1 - 2023q3
Data available A: 1998 - 2022
Text 99: 
Automatic update period: 1999|2015
Time shift: 
Note: vor 1998 national nicht möglich (keine Quartalshefte vorhanden, Beginn 3Q97, online alles ab 98)
Reporter: HU - Hungary
Chapter 1: 05_LAB - Labour market
Indicator: SC0507 - Unemployment, LFS
Unit: 02_Pers_11 - th persons, period average
Footnote 1: FZZ09 - From 2021 new methodology in line with the Integrated European Social Statistics Regulation (IESS).
Footnote 2: FHU21 - From 2012 according to census October 2011.
Footnote 3:  - 
Footnote 4:  - 
Source 1: Z_ESTAT - Eurostat
Source 2: QHU1 - Central Statistical Office of Hungary
Source 3:  - 
</t>
        </r>
      </text>
    </comment>
    <comment ref="R8" authorId="1" shapeId="0" xr:uid="{29845F15-116E-4769-B200-4B81798B0ABF}">
      <text>
        <r>
          <rPr>
            <sz val="9"/>
            <color indexed="81"/>
            <rFont val="Segoe UI"/>
            <family val="2"/>
          </rPr>
          <t xml:space="preserve">ID: 32693
Label: hue5u_tp_q
Database: wiiw Monthly Database - Public
Status: active
Calculation: 
Calculation_M: q-&gt;m EOP(L_hue5u_tp_q&gt;mdb)
Calculation_Q: 
Calculation_A: MulScal(Div(L_hue5u_ta_q&gt;mdb,Add(L_hue5u_ta_q&gt;mdb,L_hue51_ta_q&gt;mdb)),100)
Periodicity: Q
Data available M: 1998m3 - 2023m9
Data available Q: 1998q1 - 2023q3
Data available A: 1998 - 2022
Text 99: 
Automatic update period: 1999|2015
Time shift: 
Note: vor 1998 national nicht möglich (keine Quartalshefte vorhanden, Beginn 3Q97, online alles ab 98)
Reporter: HU - Hungary
Chapter 1: 05_LAB - Labour market
Indicator: SC0508 - Unemployment rate, LFS
Unit: 02_Pers_21 - in %, period average
Footnote 1: FZZ09 - From 2021 new methodology in line with the Integrated European Social Statistics Regulation (IESS).
Footnote 2: FHU21 - From 2012 according to census October 2011.
Footnote 3:  - 
Footnote 4:  - 
Source 1: Z_ESTAT - Eurostat
Source 2: QHU1 - Central Statistical Office of Hungary
Source 3:  - 
</t>
        </r>
      </text>
    </comment>
    <comment ref="S8" authorId="1" shapeId="0" xr:uid="{D5858275-97D1-49A7-B94D-ABA67E4A1738}">
      <text>
        <r>
          <rPr>
            <sz val="9"/>
            <color indexed="81"/>
            <rFont val="Segoe UI"/>
            <family val="2"/>
          </rPr>
          <t xml:space="preserve">ID: 313
Label: huw11_gccx
Database: wiiw Monthly Database - Public
Status: active
Calculation: SubScal(L_huw11_gccx&gt;mdb,100)
Calculation_M: CPPY=100(L_huw11_gn&gt;mdb)
Calculation_Q: CPPY=100(L_huw11_gn&gt;mdb)
Calculation_A: CPPY=100(L_huw11_gn&gt;mdb)
Periodicity: Q
Data available M: 1993m1 - 2023m10
Data available Q: 1993q1 - 2023q3
Data available A: 1993 - 2022
Text 99: 
Automatic update period: 1999|2015
Time shift: 
Note: From 09 NACE 2: growth rates checked, deviations very small +/- 0.5, therefore no fixed data.
Reporter: HU - Hungary
Chapter 1: 06_WS - Wages
Indicator: SC0601 - Average monthly gross wages total
Unit: 04_Inom_32 - index nominal, corresponding period of previous year = 100
Footnote 1: FHU10 - Enterprises with more than 50 persons, in 1993, 1994 more than 20, from 1995 more than 10, from 1999 with 5 and more persons, from 2019 total economy.
Footnote 2: FHU15 - From 2018 new source to define the staff categories; from 2019 based on tax administration data, survey data before.
Footnote 3: FHU13 - Up to December 1997 excluding agriculture and fishing (A+B), public administration (L).
Footnote 4:  - 
Source 1: QHU1 - Central Statistical Office of Hungary
Source 2: Z_wiiw - wiiw
Source 3:  - 
</t>
        </r>
      </text>
    </comment>
    <comment ref="T8" authorId="1" shapeId="0" xr:uid="{923FA2C0-845C-4BEF-902A-0B2013549581}">
      <text>
        <r>
          <rPr>
            <sz val="9"/>
            <color indexed="81"/>
            <rFont val="Segoe UI"/>
            <family val="2"/>
          </rPr>
          <t xml:space="preserve">ID: 761
Label: hufrr1tp
Database: wiiw Monthly Database - Public
Status: active
Calculation: 
Calculation_M: 
Calculation_Q: m-&gt;q EOP(L_hufrr1tp&gt;mdb)
Calculation_A: q-&gt;a EOP(L_hufrr1tp&gt;mdb)
Periodicity: Q
Data available M: 1990m10 - 2023m12
Data available Q: 1990q4 - 2023q4
Data available A: 1990 - 2023
Text 99: 
Automatic update period: 1999|2015
Time shift: 
Note: ab 2000 lt. E-Stat 'other off.rates' = reference rate - 2 weeks = Base rate lt. HNB &amp; Lange Beschreibung v. NB erhalten 10/2010 (base rate serves as policy rate only from July 2001, prior base rate served as reference rate for legal provisions and accounting. Instruments changed over time - see documents Monika
Reporter: HU - Hungary
Chapter 1: 10_DF - Domestic finance
Indicator: SC1050 - Central bank policy rate
Unit: 06_IntR_1 - % p.a., end of period
Footnote 1: FHU35 - Base rate (various instruments applied).
Footnote 2:  - 
Footnote 3:  - 
Footnote 4:  - 
Source 1: QHU2 - National Bank of Hungary
Source 2:  - 
Source 3:  - 
</t>
        </r>
      </text>
    </comment>
    <comment ref="U8" authorId="1" shapeId="0" xr:uid="{18C4D6EB-E14D-48E3-87A1-7D1E3333617E}">
      <text>
        <r>
          <rPr>
            <sz val="9"/>
            <color indexed="81"/>
            <rFont val="Segoe UI"/>
            <family val="2"/>
          </rPr>
          <t xml:space="preserve">ID: 1713
Label: hup1p1tsa
Database: wiiw Monthly Database - Public
Status: active
Calculation: 
Calculation_M: 
Calculation_Q: m-&gt;q AVG(L_hup1p1tsa&gt;mdb)
Calculation_A: q-&gt;a AVG(L_hup1p1tsa&gt;mdb)
Periodicity: Q
Data available M: 1999m1 - 2023m12
Data available Q: 1999q1 - 2023q4
Data available A: 1999 - 2023
Text 99: 
Automatic update period: 1999|2015
Time shift: 
Note: 
Reporter: HU - Hungary
Chapter 1: 07_PRC - Prices
Indicator: SC0701 - Consumer prices
Unit: 03_I_1_085_15avg - index, monthly average, 2015 = 100
Footnote 1: FZZ40 - Based on HICP (Harmonized Index of Consumer Prices).
Footnote 2:  - 
Footnote 3:  - 
Footnote 4:  - 
Source 1: Z_ESTAT - Eurostat
Source 2:  - 
Source 3:  - 
</t>
        </r>
      </text>
    </comment>
    <comment ref="V8" authorId="1" shapeId="0" xr:uid="{39FC2584-1C96-4DAD-88DE-EB9EF9B40540}">
      <text>
        <r>
          <rPr>
            <sz val="9"/>
            <color indexed="81"/>
            <rFont val="Segoe UI"/>
            <family val="2"/>
          </rPr>
          <t xml:space="preserve">ID: 962
Label: hup2xea
Database: wiiw Monthly Database - Public
Status: active
Calculation: 
Calculation_M: 
Calculation_Q: m-&gt;q AVG(L_hup2xea&gt;mdb)
Calculation_A: q-&gt;a AVG(L_hup2xea&gt;mdb)
Periodicity: Q
Data available M: 1990m1 - 2023m12
Data available Q: 1990q1 - 2023q4
Data available A: 1990 - 2023
Text 99: 
Automatic update period: 1999|2015
Time shift: 
Note: 
Reporter: HU - Hungary
Chapter 1: 11_FF - Foreign finance
Indicator: SC1107 - Exchange rate nominal
Unit: 07_Exch_12 - NCU/EUR, period average
Footnote 1: FZZ21 - Up to December 1998 ECU.
Footnote 2:  - 
Footnote 3:  - 
Footnote 4:  - 
Source 1: Z_ESTAT - Eurostat
Source 2: QHU2 - National Bank of Hungary
Source 3:  - 
</t>
        </r>
      </text>
    </comment>
    <comment ref="W8" authorId="1" shapeId="0" xr:uid="{6685A4AF-29FD-46E1-8D45-50AE7E0E8F7A}">
      <text>
        <r>
          <rPr>
            <sz val="9"/>
            <color indexed="81"/>
            <rFont val="Segoe UI"/>
            <family val="2"/>
          </rPr>
          <t xml:space="preserve">ID: 32208
Label: hua1211tscx
Database: wiiw Monthly Database - Public
Status: active
Calculation: SubScal(L_hua1211tscx&gt;mdb,100)
Calculation_M: CPPY=100(L_hua1211tsa&gt;mdb)
Calculation_Q: CPPY=100(L_hua1211tsa&gt;mdb)
Calculation_A: CPPY=100(L_hua1211tsa&gt;mdb)
Periodicity: Q
Data available M: 2001m1 - 2023m11
Data available Q: 2001q1 - 2023q3
Data available A: 2001 - 2022
Text 99: 
Automatic update period: 1999|2015
Time shift: 
Note: 
Reporter: HU - Hungary
Chapter 1: 04_PROD - Production
Indicator: SC0401 - Industrial output (BCD - NACE Rev. 2)
Unit: 05_Ireal_32 - index real, corresponding period of previous year = 100
Footnote 1:  - 
Footnote 2:  - 
Footnote 3:  - 
Footnote 4:  - 
Source 1: Z_ESTAT - Eurostat
Source 2: Z_wiiw - wiiw
Source 3:  - 
</t>
        </r>
      </text>
    </comment>
    <comment ref="X8" authorId="1" shapeId="0" xr:uid="{1E272459-2BB4-4622-8A03-3DB1D79FE746}">
      <text>
        <r>
          <rPr>
            <sz val="9"/>
            <color indexed="81"/>
            <rFont val="Segoe UI"/>
            <family val="2"/>
          </rPr>
          <t xml:space="preserve">ID: 87263
Label: hulago2e_q
Database: wiiw Monthly Database - Hidden
Status: active
Calculation: SubScal(CPPY=100(AddNull(L_hulago2e_q&gt;mdb,L_hulase2e_q&gt;mdb)),100)
Calculation_M: q-&gt;m EOP(L_hulago2e_q&gt;mdb)
Calculation_Q: 
Calculation_A: Q-&gt;A CUMPER(L_hulago2e_q&gt;mdb)
Periodicity: Q
Data available M: 2008m3 - 2023m9
Data available Q: 2008q1 - 2023q3
Data available A: 2008 - 2022
Text 99: 
Automatic update period: 1999|2015
Time shift: 
Note: 
Reporter: HU - Hungary
Chapter 1: 11_FF - Foreign finance
Indicator: SC1111 - 1.A.a. Goods exports, fob, credit
Unit: 01_Curr_23 - EUR m
Footnote 1: FZZ80 - Based on BPM6.
Footnote 2: FHU44 - Excluding SPE (Special Purpose Entities).
Footnote 3:  - 
Footnote 4:  - 
Source 1: Z_ESTAT - Eurostat
Source 2: QHU2 - National Bank of Hungary
Source 3:  - 
</t>
        </r>
      </text>
    </comment>
    <comment ref="Y8" authorId="1" shapeId="0" xr:uid="{F5922B5C-AC18-4220-B4C4-CAD810FCBBA6}">
      <text>
        <r>
          <rPr>
            <sz val="9"/>
            <color indexed="81"/>
            <rFont val="Segoe UI"/>
            <family val="2"/>
          </rPr>
          <t xml:space="preserve">ID: 87300
Label: hulago3e_q
Database: wiiw Monthly Database - Hidden
Status: active
Calculation: SubScal(CPPY=100(AddNull(L_hulago3e_q&gt;mdb,L_hulase3e_q&gt;mdb)),100)
Calculation_M: q-&gt;m EOP(L_hulago3e_q&gt;mdb)
Calculation_Q: 
Calculation_A: Q-&gt;A CUMPER(L_hulago3e_q&gt;mdb)
Periodicity: Q
Data available M: 2008m3 - 2023m9
Data available Q: 2008q1 - 2023q3
Data available A: 2008 - 2022
Text 99: 
Automatic update period: 1999|2015
Time shift: 
Note: 
Reporter: HU - Hungary
Chapter 1: 11_FF - Foreign finance
Indicator: SC1112 - 1.A.a. Goods imports, fob, debit
Unit: 01_Curr_23 - EUR m
Footnote 1: FZZ80 - Based on BPM6.
Footnote 2: FHU44 - Excluding SPE (Special Purpose Entities).
Footnote 3:  - 
Footnote 4:  - 
Source 1: Z_ESTAT - Eurostat
Source 2: QHU2 - National Bank of Hungary
Source 3:  - 
</t>
        </r>
      </text>
    </comment>
    <comment ref="Z8" authorId="1" shapeId="0" xr:uid="{87686C54-DC21-491C-8202-4255DBF186BD}">
      <text>
        <r>
          <rPr>
            <sz val="9"/>
            <color indexed="81"/>
            <rFont val="Segoe UI"/>
            <family val="2"/>
          </rPr>
          <t xml:space="preserve">ID: 88732
Label: hulacaepx_q
Database: wiiw Monthly Database - Public
Status: active
Calculation: 
Calculation_M: Q-&gt;M EOP(L_hulacaepx_q&gt;mdb)
Calculation_Q: Share(L_hulacaen_q&gt;mdb,Div(L_hug11tn_q&gt;mdb,L_hup2xea&gt;mdb))
Calculation_A: Share(L_hulacaen_q&gt;mdb,Div(L_hug11tn_q&gt;mdb,L_hup2xea&gt;mdb))
Periodicity: Q
Data available M: 1995m3 - 2023m9
Data available Q: 1995q1 - 2023q3
Data available A: 1995 - 2022
Text 99: 
Automatic update period: 1999|2015
Time shift: 
Note: 
Reporter: HU - Hungary
Chapter 1: 11_FF - Foreign finance
Indicator: SC1101 - Current account
Unit: 09_Share_%gdp - in % of GDP
Footnote 1: FZZ55 - From 2008 based on BPM6.
Footnote 2: FHU43 - From 2006 excluding SPE (Special Purpose Entities).
Footnote 3:  - 
Footnote 4:  - 
Source 1: Z_ESTAT - Eurostat
Source 2: QHU2 - National Bank of Hungary
Source 3: Z_wiiw - wiiw
</t>
        </r>
      </text>
    </comment>
    <comment ref="AA8" authorId="1" shapeId="0" xr:uid="{BF30EAE3-488B-4878-917D-C2A1E1A7D564}">
      <text>
        <r>
          <rPr>
            <sz val="9"/>
            <color indexed="81"/>
            <rFont val="Segoe UI"/>
            <family val="2"/>
          </rPr>
          <t xml:space="preserve">ID: 90341
Label: hug222px_q
Database: wiiw Monthly Database - Public
Status: active
Calculation: AddNull(L_hug222px_q&gt;mdb,L_hug22zpx_q&gt;mdb)
Calculation_M: Q-&gt;M EOP(L_hug222px_q&gt;mdb)
Calculation_Q: Share(L_hug222n_q&gt;mdb,L_hug11tzn_q&gt;mdb)
Calculation_A: Share(L_hug222n_q&gt;mdb,L_hug11tzn_q&gt;mdb)
Periodicity: Q
Data available M: 1995m3 - 2023m9
Data available Q: 1995q1 - 2023q3
Data available A: 1995 - 2022
Text 99: 
Automatic update period: 1999|2015
Time shift: 
Note: 
Reporter: HU - Hungary
Chapter 1: 02_NA - National accounts
Indicator: SC0212 - Household final consumption expenditure
Unit: 09_Share_%gdp - in % of GDP
Footnote 1:  - 
Footnote 2:  - 
Footnote 3:  - 
Footnote 4:  - 
Source 1: Z_ESTAT - Eurostat
Source 2: Z_wiiw - wiiw
Source 3:  - 
</t>
        </r>
      </text>
    </comment>
    <comment ref="AB8" authorId="1" shapeId="0" xr:uid="{46260852-5035-40B4-852B-A8DF0025AA4B}">
      <text>
        <r>
          <rPr>
            <sz val="9"/>
            <color indexed="81"/>
            <rFont val="Segoe UI"/>
            <family val="2"/>
          </rPr>
          <t xml:space="preserve">ID: 90385
Label: hug223px_q
Database: wiiw Monthly Database - Public
Status: active
Calculation: 
Calculation_M: Q-&gt;M EOP(L_hug223px_q&gt;mdb)
Calculation_Q: Share(L_hug223n_q&gt;mdb,L_hug11tzn_q&gt;mdb)
Calculation_A: Share(L_hug223n_q&gt;mdb,L_hug11tzn_q&gt;mdb)
Periodicity: Q
Data available M: 1995m3 - 2023m9
Data available Q: 1995q1 - 2023q3
Data available A: 1995 - 2022
Text 99: 
Automatic update period: 1999|2015
Time shift: 
Note: 
Reporter: HU - Hungary
Chapter 1: 02_NA - National accounts
Indicator: SC0214 - Government final consumption expenditure
Unit: 09_Share_%gdp - in % of GDP
Footnote 1:  - 
Footnote 2:  - 
Footnote 3:  - 
Footnote 4:  - 
Source 1: Z_ESTAT - Eurostat
Source 2: Z_wiiw - wiiw
Source 3:  - 
</t>
        </r>
      </text>
    </comment>
    <comment ref="AC8" authorId="1" shapeId="0" xr:uid="{D1BDCCB8-57F5-4C93-904E-FACED62B6B9B}">
      <text>
        <r>
          <rPr>
            <sz val="9"/>
            <color indexed="81"/>
            <rFont val="Segoe UI"/>
            <family val="2"/>
          </rPr>
          <t xml:space="preserve">ID: 90407
Label: hug224px_q
Database: wiiw Monthly Database - Public
Status: active
Calculation: 
Calculation_M: Q-&gt;M EOP(L_hug224px_q&gt;mdb)
Calculation_Q: Share(L_hug224n_q&gt;mdb,L_hug11tzn_q&gt;mdb)
Calculation_A: Share(L_hug224n_q&gt;mdb,L_hug11tzn_q&gt;mdb)
Periodicity: Q
Data available M: 1995m3 - 2023m9
Data available Q: 1995q1 - 2023q3
Data available A: 1995 - 2022
Text 99: 
Automatic update period: 1999|2015
Time shift: 
Note: 
Reporter: HU - Hungary
Chapter 1: 02_NA - National accounts
Indicator: SC0217 - Gross capital formation
Unit: 09_Share_%gdp - in % of GDP
Footnote 1:  - 
Footnote 2:  - 
Footnote 3:  - 
Footnote 4:  - 
Source 1: Z_ESTAT - Eurostat
Source 2: Z_wiiw - wiiw
Source 3:  - 
</t>
        </r>
      </text>
    </comment>
    <comment ref="AD8" authorId="1" shapeId="0" xr:uid="{BF5D25BC-06D4-4A96-B4CE-911D34A414FB}">
      <text>
        <r>
          <rPr>
            <sz val="9"/>
            <color indexed="81"/>
            <rFont val="Segoe UI"/>
            <family val="2"/>
          </rPr>
          <t xml:space="preserve">ID: 90495
Label: hug228px_q
Database: wiiw Monthly Database - Public
Status: active
Calculation: 
Calculation_M: Q-&gt;M EOP(L_hug228px_q&gt;mdb)
Calculation_Q: Share(L_hug228n_q&gt;mdb,L_hug11tzn_q&gt;mdb)
Calculation_A: Share(L_hug228n_q&gt;mdb,L_hug11tzn_q&gt;mdb)
Periodicity: Q
Data available M: 1995m3 - 2023m9
Data available Q: 1995q1 - 2023q3
Data available A: 1995 - 2022
Text 99: 
Automatic update period: 1999|2015
Time shift: 
Note: 
Reporter: HU - Hungary
Chapter 1: 02_NA - National accounts
Indicator: SC0221 - Exports of goods and services
Unit: 09_Share_%gdp - in % of GDP
Footnote 1:  - 
Footnote 2:  - 
Footnote 3:  - 
Footnote 4:  - 
Source 1: Z_ESTAT - Eurostat
Source 2: Z_wiiw - wiiw
Source 3:  - 
</t>
        </r>
      </text>
    </comment>
    <comment ref="AE8" authorId="1" shapeId="0" xr:uid="{CAF26F30-A166-4018-B480-1733C59C155D}">
      <text>
        <r>
          <rPr>
            <sz val="9"/>
            <color indexed="81"/>
            <rFont val="Segoe UI"/>
            <family val="2"/>
          </rPr>
          <t xml:space="preserve">ID: 90517
Label: hug229px_q
Database: wiiw Monthly Database - Public
Status: active
Calculation: 
Calculation_M: Q-&gt;M EOP(L_hug229px_q&gt;mdb)
Calculation_Q: Share(L_hug229n_q&gt;mdb,L_hug11tzn_q&gt;mdb)
Calculation_A: Share(L_hug229n_q&gt;mdb,L_hug11tzn_q&gt;mdb)
Periodicity: Q
Data available M: 1995m3 - 2023m9
Data available Q: 1995q1 - 2023q3
Data available A: 1995 - 2022
Text 99: 
Automatic update period: 1999|2015
Time shift: 
Note: 
Reporter: HU - Hungary
Chapter 1: 02_NA - National accounts
Indicator: SC0222 - Imports of goods and services
Unit: 09_Share_%gdp - in % of GDP
Footnote 1:  - 
Footnote 2:  - 
Footnote 3:  - 
Footnote 4:  - 
Source 1: Z_ESTAT - Eurostat
Source 2: Z_wiiw - wiiw
Source 3:  - 
</t>
        </r>
      </text>
    </comment>
    <comment ref="AF8" authorId="1" shapeId="0" xr:uid="{E4AFC841-F4FA-4204-96C5-50F0D90631D1}">
      <text>
        <r>
          <rPr>
            <sz val="9"/>
            <color indexed="81"/>
            <rFont val="Segoe UI"/>
            <family val="2"/>
          </rPr>
          <t xml:space="preserve">ID: 89615
Label: hufls14scx
Database: wiiw Monthly Database - Public
Status: active
Calculation: SubScal(L_hufls14scx&gt;mdb,100)
Calculation_M: CPPY=100(L_hufls14e&gt;mdb)
Calculation_Q: M-&gt;Q EOP(L_hufls14scx&gt;mdb)
Calculation_A: Q-&gt;A EOP(L_hufls14scx&gt;mdb)
Periodicity: Q
Data available M: 2001m1 - 2023m11
Data available Q: 2001q1 - 2023q3
Data available A: 2001 - 2022
Text 99: 
Automatic update period: 1999|2015
Time shift: 
Note: 
Reporter: HU - Hungary
Chapter 1: 10_DF - Domestic finance
Indicator: SC1066 - Loans households (S14)
Unit: 04_Inom_32 - index nominal, corresponding period of previous year = 100
Footnote 1:  - 
Footnote 2:  - 
Footnote 3:  - 
Footnote 4:  - 
Source 1: QHU2 - National Bank of Hungary
Source 2: Z_wiiw - wiiw
Source 3:  - 
</t>
        </r>
      </text>
    </comment>
    <comment ref="AG8" authorId="1" shapeId="0" xr:uid="{AE82E25C-22E8-4565-92DE-D25D6FD6BD63}">
      <text>
        <r>
          <rPr>
            <sz val="9"/>
            <color indexed="81"/>
            <rFont val="Segoe UI"/>
            <family val="2"/>
          </rPr>
          <t xml:space="preserve">ID: 144766
Label: hubgdtpx_help_q
Database: wiiw Monthly Database - Hidden
Status: active
Calculation: 
Calculation_M: q-&gt;m EOP(L_hubgdtpx_help_q&gt;mdb)
Calculation_Q: Share(L_hubgdtn_help_q&gt;mdb,L_hug11tnx_help_q&gt;mdb)
Calculation_A: q-&gt;a EOP(L_hubgdtpx_help_q&gt;mdb)
Periodicity: Q
Data available M: 1995m3 - 2023m9
Data available Q: 1995q1 - 2023q3
Data available A: 1995 - 2022
Text 99: 
Automatic update period: 1999|2015
Time shift: 
Note: 
Reporter: HU - Hungary
Chapter 1: 10_DF - Domestic finance
Indicator: SC1009 - General government gross debt, total
Unit: 09_Share_%gdp - in % of GDP
Footnote 1:  - 
Footnote 2:  - 
Footnote 3:  - 
Footnote 4:  - 
Source 1: Z_ESTAT - Eurostat
Source 2: Z_wiiw - wiiw
Source 3:  - 
</t>
        </r>
      </text>
    </comment>
    <comment ref="G101" authorId="0" shapeId="0" xr:uid="{ABC076F7-1107-4983-84FF-ACD18B7DCD4A}">
      <text>
        <r>
          <rPr>
            <b/>
            <sz val="9"/>
            <color indexed="81"/>
            <rFont val="Tahoma"/>
            <family val="2"/>
          </rPr>
          <t>BJ:</t>
        </r>
        <r>
          <rPr>
            <sz val="9"/>
            <color indexed="81"/>
            <rFont val="Tahoma"/>
            <family val="2"/>
          </rPr>
          <t xml:space="preserve">
from the budget for 2022</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BJ</author>
    <author>Alexandra Bykova</author>
  </authors>
  <commentList>
    <comment ref="B1" authorId="0" shapeId="0" xr:uid="{8BC3E622-28B1-4D3D-85DC-EC64D13C5D02}">
      <text>
        <r>
          <rPr>
            <b/>
            <sz val="9"/>
            <color indexed="81"/>
            <rFont val="Tahoma"/>
            <family val="2"/>
          </rPr>
          <t>BJ:</t>
        </r>
        <r>
          <rPr>
            <sz val="9"/>
            <color indexed="81"/>
            <rFont val="Tahoma"/>
            <family val="2"/>
          </rPr>
          <t xml:space="preserve">
EU 27, seasonally and calendar adjusted
Eurostat</t>
        </r>
      </text>
    </comment>
    <comment ref="C1" authorId="0" shapeId="0" xr:uid="{2704627A-F467-4B94-8052-BF63D0A2C22D}">
      <text>
        <r>
          <rPr>
            <b/>
            <sz val="9"/>
            <color indexed="81"/>
            <rFont val="Tahoma"/>
            <family val="2"/>
          </rPr>
          <t>BJ:</t>
        </r>
        <r>
          <rPr>
            <sz val="9"/>
            <color indexed="81"/>
            <rFont val="Tahoma"/>
            <family val="2"/>
          </rPr>
          <t xml:space="preserve">
Eurostat</t>
        </r>
      </text>
    </comment>
    <comment ref="D1" authorId="0" shapeId="0" xr:uid="{30A417CE-D350-476D-8E3B-6E7043081AAC}">
      <text>
        <r>
          <rPr>
            <b/>
            <sz val="9"/>
            <color indexed="81"/>
            <rFont val="Tahoma"/>
            <family val="2"/>
          </rPr>
          <t>BJ:</t>
        </r>
        <r>
          <rPr>
            <sz val="9"/>
            <color indexed="81"/>
            <rFont val="Tahoma"/>
            <family val="2"/>
          </rPr>
          <t xml:space="preserve">
EU changing composition
Eurostat</t>
        </r>
      </text>
    </comment>
    <comment ref="E1" authorId="0" shapeId="0" xr:uid="{1755B923-840F-4DD8-B9B9-5B3CD44BEBE8}">
      <text>
        <r>
          <rPr>
            <b/>
            <sz val="9"/>
            <color indexed="81"/>
            <rFont val="Tahoma"/>
            <family val="2"/>
          </rPr>
          <t>BJ:</t>
        </r>
        <r>
          <rPr>
            <sz val="9"/>
            <color indexed="81"/>
            <rFont val="Tahoma"/>
            <family val="2"/>
          </rPr>
          <t xml:space="preserve">
ECB</t>
        </r>
      </text>
    </comment>
    <comment ref="F1" authorId="0" shapeId="0" xr:uid="{117F14DD-F172-40FF-8492-DE8FBB6C16F5}">
      <text>
        <r>
          <rPr>
            <b/>
            <sz val="9"/>
            <color indexed="81"/>
            <rFont val="Tahoma"/>
            <family val="2"/>
          </rPr>
          <t>BJ:</t>
        </r>
        <r>
          <rPr>
            <sz val="9"/>
            <color indexed="81"/>
            <rFont val="Tahoma"/>
            <family val="2"/>
          </rPr>
          <t xml:space="preserve">
Crude oil, average, from WB pink sheets</t>
        </r>
      </text>
    </comment>
    <comment ref="G1" authorId="0" shapeId="0" xr:uid="{285B582C-3777-4995-8F13-EEE30C48AA6D}">
      <text>
        <r>
          <rPr>
            <sz val="9"/>
            <color indexed="81"/>
            <rFont val="Tahoma"/>
            <family val="2"/>
          </rPr>
          <t>General gov, nominal yoy growth, in NCU
wiiw</t>
        </r>
      </text>
    </comment>
    <comment ref="H1" authorId="0" shapeId="0" xr:uid="{F2C8D409-C2E5-4269-A841-A7F977BE2F18}">
      <text>
        <r>
          <rPr>
            <b/>
            <sz val="9"/>
            <color indexed="81"/>
            <rFont val="Tahoma"/>
            <family val="2"/>
          </rPr>
          <t>BJ:</t>
        </r>
        <r>
          <rPr>
            <sz val="9"/>
            <color indexed="81"/>
            <rFont val="Tahoma"/>
            <family val="2"/>
          </rPr>
          <t xml:space="preserve">
General gov. budget - revenues NCU m (incl. 'euro fixed' series)
wiiw</t>
        </r>
      </text>
    </comment>
    <comment ref="I1" authorId="0" shapeId="0" xr:uid="{C5FF5F09-45B0-41DE-9F4B-307748F6A588}">
      <text>
        <r>
          <rPr>
            <b/>
            <sz val="9"/>
            <color indexed="81"/>
            <rFont val="Tahoma"/>
            <family val="2"/>
          </rPr>
          <t>BJ:</t>
        </r>
        <r>
          <rPr>
            <sz val="9"/>
            <color indexed="81"/>
            <rFont val="Tahoma"/>
            <family val="2"/>
          </rPr>
          <t xml:space="preserve">
General gov. budget - balance
 in % of GDP
wiiw</t>
        </r>
      </text>
    </comment>
    <comment ref="J1" authorId="0" shapeId="0" xr:uid="{8B60D49F-1287-46F1-A3CA-7F81A66FE3F5}">
      <text>
        <r>
          <rPr>
            <b/>
            <sz val="9"/>
            <color indexed="81"/>
            <rFont val="Tahoma"/>
            <family val="2"/>
          </rPr>
          <t>BJ:</t>
        </r>
        <r>
          <rPr>
            <sz val="9"/>
            <color indexed="81"/>
            <rFont val="Tahoma"/>
            <family val="2"/>
          </rPr>
          <t xml:space="preserve">
For all GDP: 
NCU m, 2015 reference prices (prev. year prices, incl. 'euro fixed' series)
wiiw</t>
        </r>
      </text>
    </comment>
    <comment ref="K1" authorId="0" shapeId="0" xr:uid="{0C50B358-E890-4917-AE8F-E4B1B4780B26}">
      <text>
        <r>
          <rPr>
            <b/>
            <sz val="9"/>
            <color indexed="81"/>
            <rFont val="Tahoma"/>
            <family val="2"/>
          </rPr>
          <t>BJ:</t>
        </r>
        <r>
          <rPr>
            <sz val="9"/>
            <color indexed="81"/>
            <rFont val="Tahoma"/>
            <family val="2"/>
          </rPr>
          <t xml:space="preserve">
Households + NPISH
Only Households</t>
        </r>
      </text>
    </comment>
    <comment ref="M1" authorId="0" shapeId="0" xr:uid="{E4FC5AAF-FFE9-4D89-9E58-7AE847A58FBE}">
      <text>
        <r>
          <rPr>
            <b/>
            <sz val="9"/>
            <color indexed="81"/>
            <rFont val="Tahoma"/>
            <family val="2"/>
          </rPr>
          <t>BJ:</t>
        </r>
        <r>
          <rPr>
            <sz val="9"/>
            <color indexed="81"/>
            <rFont val="Tahoma"/>
            <family val="2"/>
          </rPr>
          <t xml:space="preserve">
Gross capital formation</t>
        </r>
      </text>
    </comment>
    <comment ref="P1" authorId="0" shapeId="0" xr:uid="{D5D5AF35-E439-4DE7-BCDE-5C6A6C2BBE2B}">
      <text>
        <r>
          <rPr>
            <b/>
            <sz val="9"/>
            <color indexed="81"/>
            <rFont val="Tahoma"/>
            <family val="2"/>
          </rPr>
          <t>Employment, LFS, thousand persons
wiiw</t>
        </r>
      </text>
    </comment>
    <comment ref="Q1" authorId="0" shapeId="0" xr:uid="{0BEFACB0-E667-467C-8FCE-386BB7F1A3C8}">
      <text>
        <r>
          <rPr>
            <b/>
            <sz val="9"/>
            <color indexed="81"/>
            <rFont val="Tahoma"/>
            <family val="2"/>
          </rPr>
          <t>Unemployment, LFS, thousand persons
wiiw</t>
        </r>
      </text>
    </comment>
    <comment ref="R1" authorId="0" shapeId="0" xr:uid="{CFC0C558-AA6B-444F-B987-41AA699BCE18}">
      <text>
        <r>
          <rPr>
            <b/>
            <sz val="9"/>
            <color indexed="81"/>
            <rFont val="Tahoma"/>
            <family val="2"/>
          </rPr>
          <t>Unemployment, LFS, in %
wiiw</t>
        </r>
      </text>
    </comment>
    <comment ref="S1" authorId="0" shapeId="0" xr:uid="{0668FA3D-6E29-4643-92BE-9103FB0C95DD}">
      <text>
        <r>
          <rPr>
            <sz val="9"/>
            <color indexed="81"/>
            <rFont val="Tahoma"/>
            <family val="2"/>
          </rPr>
          <t>Average monthly gross wages total, 
national currency (incl. 'euro fixed' series), yoy growth
wiiw</t>
        </r>
      </text>
    </comment>
    <comment ref="T1" authorId="0" shapeId="0" xr:uid="{B1E61821-5AFB-4EF5-948F-F21060C55CCF}">
      <text>
        <r>
          <rPr>
            <b/>
            <sz val="9"/>
            <color indexed="81"/>
            <rFont val="Tahoma"/>
            <family val="2"/>
          </rPr>
          <t>BJ:</t>
        </r>
        <r>
          <rPr>
            <sz val="9"/>
            <color indexed="81"/>
            <rFont val="Tahoma"/>
            <family val="2"/>
          </rPr>
          <t xml:space="preserve">
Central bank policy rate, nominal
wiiw</t>
        </r>
      </text>
    </comment>
    <comment ref="U1" authorId="0" shapeId="0" xr:uid="{C812929B-6EFD-43C2-B320-EA0252CFA3EE}">
      <text>
        <r>
          <rPr>
            <b/>
            <sz val="9"/>
            <color indexed="81"/>
            <rFont val="Tahoma"/>
            <family val="2"/>
          </rPr>
          <t>BJ:</t>
        </r>
        <r>
          <rPr>
            <sz val="9"/>
            <color indexed="81"/>
            <rFont val="Tahoma"/>
            <family val="2"/>
          </rPr>
          <t xml:space="preserve">
Consumer prices index, monthly average, 2015 = 100
wiiw</t>
        </r>
      </text>
    </comment>
    <comment ref="V1" authorId="0" shapeId="0" xr:uid="{99831983-77C7-42C9-A5AE-F6DFF8C70D62}">
      <text>
        <r>
          <rPr>
            <b/>
            <sz val="9"/>
            <color indexed="81"/>
            <rFont val="Tahoma"/>
            <family val="2"/>
          </rPr>
          <t>BJ:</t>
        </r>
        <r>
          <rPr>
            <sz val="9"/>
            <color indexed="81"/>
            <rFont val="Tahoma"/>
            <family val="2"/>
          </rPr>
          <t xml:space="preserve">
Exchange rate nominal NCU/EUR, period average
wiiw</t>
        </r>
      </text>
    </comment>
    <comment ref="W1" authorId="0" shapeId="0" xr:uid="{95426F90-E5A7-44BD-9330-013606D761DE}">
      <text>
        <r>
          <rPr>
            <b/>
            <sz val="9"/>
            <color indexed="81"/>
            <rFont val="Tahoma"/>
            <family val="2"/>
          </rPr>
          <t>BJ:</t>
        </r>
        <r>
          <rPr>
            <sz val="9"/>
            <color indexed="81"/>
            <rFont val="Tahoma"/>
            <family val="2"/>
          </rPr>
          <t xml:space="preserve">
 Industrial output (BCD - NACE Rev. 2), index real, monthly average, 2015 = 100, yoy growth
wiiw</t>
        </r>
      </text>
    </comment>
    <comment ref="X1" authorId="0" shapeId="0" xr:uid="{1499401B-F08B-46D4-8A01-939055A726B5}">
      <text>
        <r>
          <rPr>
            <b/>
            <sz val="9"/>
            <color indexed="81"/>
            <rFont val="Tahoma"/>
            <family val="2"/>
          </rPr>
          <t>BJ:</t>
        </r>
        <r>
          <rPr>
            <sz val="9"/>
            <color indexed="81"/>
            <rFont val="Tahoma"/>
            <family val="2"/>
          </rPr>
          <t xml:space="preserve">
Exports total, fob EUR m, yoy growth
wiiw
Alexandra: changed to BOP: exports of goods and services</t>
        </r>
      </text>
    </comment>
    <comment ref="Y1" authorId="0" shapeId="0" xr:uid="{0E054C4D-74E4-48FB-85BE-14A2C8919B04}">
      <text>
        <r>
          <rPr>
            <b/>
            <sz val="9"/>
            <color indexed="81"/>
            <rFont val="Tahoma"/>
            <family val="2"/>
          </rPr>
          <t>BJ:</t>
        </r>
        <r>
          <rPr>
            <sz val="9"/>
            <color indexed="81"/>
            <rFont val="Tahoma"/>
            <family val="2"/>
          </rPr>
          <t xml:space="preserve">
 Imports total, cif EUR m
wiiw
Alexandra: changed to BOP: imports of goods and services</t>
        </r>
      </text>
    </comment>
    <comment ref="Z1" authorId="0" shapeId="0" xr:uid="{DC708B75-60EF-4D90-9803-07CE0A0FA58D}">
      <text>
        <r>
          <rPr>
            <b/>
            <sz val="9"/>
            <color indexed="81"/>
            <rFont val="Tahoma"/>
            <family val="2"/>
          </rPr>
          <t>BJ:</t>
        </r>
        <r>
          <rPr>
            <sz val="9"/>
            <color indexed="81"/>
            <rFont val="Tahoma"/>
            <family val="2"/>
          </rPr>
          <t xml:space="preserve">
Current account in % of GDP
wiiw</t>
        </r>
      </text>
    </comment>
    <comment ref="AA1" authorId="0" shapeId="0" xr:uid="{D84DEC50-5485-456D-90B8-BCA1AC9BA056}">
      <text>
        <r>
          <rPr>
            <b/>
            <sz val="9"/>
            <color indexed="81"/>
            <rFont val="Tahoma"/>
            <family val="2"/>
          </rPr>
          <t>BJ:</t>
        </r>
        <r>
          <rPr>
            <sz val="9"/>
            <color indexed="81"/>
            <rFont val="Tahoma"/>
            <family val="2"/>
          </rPr>
          <t xml:space="preserve">
Households + NPISH</t>
        </r>
      </text>
    </comment>
    <comment ref="AC1" authorId="0" shapeId="0" xr:uid="{47550888-9390-4CFC-9C3E-1126842DD081}">
      <text>
        <r>
          <rPr>
            <b/>
            <sz val="9"/>
            <color indexed="81"/>
            <rFont val="Tahoma"/>
            <family val="2"/>
          </rPr>
          <t>BJ:</t>
        </r>
        <r>
          <rPr>
            <sz val="9"/>
            <color indexed="81"/>
            <rFont val="Tahoma"/>
            <family val="2"/>
          </rPr>
          <t xml:space="preserve">
Gross capital formation</t>
        </r>
      </text>
    </comment>
    <comment ref="AF1" authorId="0" shapeId="0" xr:uid="{0CB7DEFF-E459-437C-8682-889F09617B74}">
      <text>
        <r>
          <rPr>
            <b/>
            <sz val="9"/>
            <color indexed="81"/>
            <rFont val="Tahoma"/>
            <family val="2"/>
          </rPr>
          <t>BJ:</t>
        </r>
        <r>
          <rPr>
            <sz val="9"/>
            <color indexed="81"/>
            <rFont val="Tahoma"/>
            <family val="2"/>
          </rPr>
          <t xml:space="preserve">
loans to households, nominal, yoy growth rates</t>
        </r>
      </text>
    </comment>
    <comment ref="B8" authorId="1" shapeId="0" xr:uid="{676A2C3E-7296-4CC0-85D0-53B4789485A7}">
      <text>
        <r>
          <rPr>
            <sz val="9"/>
            <color indexed="81"/>
            <rFont val="Segoe UI"/>
            <family val="2"/>
          </rPr>
          <t xml:space="preserve">ID: 144396
Label: eug11tscrx_q
Database: wiiw Monthly Database - Hidden
Status: active
Calculation: 
Calculation_M: SubScal(L_eug11tscx_q&gt;mdb,100)
Calculation_Q: SubScal(L_eug11tscx_q&gt;mdb,100)
Calculation_A: SubScal(L_eug11tscx_q&gt;mdb,100)
Periodicity: Q
Data available M: 1996m3 - 2023m9
Data available Q: 1996q1 - 2023q3
Data available A: 1996 - 2022
Text 99: 
Automatic update period: 1999|2015
Time shift: 
Note: 
Reporter: EU27_2020 - EU - 27 countries (from 2020)
Chapter 1: 02_NA - National accounts
Indicator: SC0201 - Gross domestic product total
Unit: 05_Ireal_36 - real growth rate to corresponding period of previous year in %
Footnote 1: FZZ05 - According to ESA'10.
Footnote 2:  - 
Footnote 3:  - 
Footnote 4:  - 
Source 1: Z_ESTAT - Eurostat
Source 2: Z_wiiw - wiiw
Source 3:  - 
</t>
        </r>
      </text>
    </comment>
    <comment ref="C8" authorId="1" shapeId="0" xr:uid="{145343D0-F24D-4812-98B7-C4A31B67D872}">
      <text>
        <r>
          <rPr>
            <sz val="9"/>
            <color indexed="81"/>
            <rFont val="Segoe UI"/>
            <family val="2"/>
          </rPr>
          <t xml:space="preserve">ID: 77811
Label: eup1p1tsa
Database: wiiw Monthly Database - Hidden
Status: active
Calculation: 
Calculation_M: 
Calculation_Q: m-&gt;q AVG(L_eup1p1tsa&gt;mdb)
Calculation_A: q-&gt;a AVG(L_eup1p1tsa&gt;mdb)
Periodicity: Q
Data available M: 1999m1 - 2023m12
Data available Q: 1999q1 - 2023q4
Data available A: 1999 - 2023
Text 99: 
Automatic update period: 1999|2015
Time shift: 
Note: 
Reporter: EU - European Union evolutionary
Chapter 1: 07_PRC - Prices
Indicator: SC0701 - Consumer prices
Unit: 03_I_1_085_15avg - index, monthly average, 2015 = 100
Footnote 1: FZZ40 - Based on HICP (Harmonized Index of Consumer Prices).
Footnote 2:  - 
Footnote 3:  - 
Footnote 4:  - 
Source 1: Z_ESTAT - Eurostat
Source 2:  - 
Source 3:  - 
</t>
        </r>
      </text>
    </comment>
    <comment ref="D8" authorId="1" shapeId="0" xr:uid="{3C74F4E4-60F2-4B1C-B28D-B8BC5E526F84}">
      <text>
        <r>
          <rPr>
            <sz val="9"/>
            <color indexed="81"/>
            <rFont val="Segoe UI"/>
            <family val="2"/>
          </rPr>
          <t xml:space="preserve">ID: 77812
Label: eup1p1tscx
Database: wiiw Monthly Database - Hidden
Status: active
Calculation: SubScal(L_eup1p1tscx&gt;mdb,100)
Calculation_M: CPPY=100(L_eup1p1tsa&gt;mdb)
Calculation_Q: CPPY=100(L_eup1p1tsa&gt;mdb)
Calculation_A: CPPY=100(L_eup1p1tsa&gt;mdb)
Periodicity: Q
Data available M: 1992m1 - 2023m12
Data available Q: 1992q1 - 2023q4
Data available A: 1992 - 2023
Text 99: 
Automatic update period: 1999|2015
Time shift: 
Note: 
Reporter: EU - European Union evolutionary
Chapter 1: 07_PRC - Prices
Indicator: SC0701 - Consumer prices
Unit: 03_I_32 - index, corresponding period of previous year = 100
Footnote 1: FZZ40 - Based on HICP (Harmonized Index of Consumer Prices).
Footnote 2:  - 
Footnote 3:  - 
Footnote 4:  - 
Source 1: Z_ESTAT - Eurostat
Source 2: Z_wiiw - wiiw
Source 3:  - 
</t>
        </r>
      </text>
    </comment>
    <comment ref="E8" authorId="1" shapeId="0" xr:uid="{0AD0017A-5934-4639-9362-992832585FC0}">
      <text>
        <r>
          <rPr>
            <sz val="9"/>
            <color indexed="81"/>
            <rFont val="Segoe UI"/>
            <family val="2"/>
          </rPr>
          <t xml:space="preserve">ID: 144399
Label: eafrr1tp_help
Database: wiiw Monthly Database - Hidden
Status: active
Calculation: 
Calculation_M: L_eafrr1tp&gt;mdb
Calculation_Q: m-&gt;q AVG(L_eafrr1tp&gt;mdb)
Calculation_A: q-&gt;a AVG(L_eafrr1tp&gt;mdb)
Periodicity: Q
Data available M: 1999m1 - 2023m12
Data available Q: 1999q1 - 2023q4
Data available A: 1999 - 2023
Text 99: 
Automatic update period: 1999|2015
Time shift: 
Note: 
Reporter: EA - Euro area evolutionary
Chapter 1: 10_DF - Domestic finance
Indicator: SC1050 - Central bank policy rate
Unit: 06_IntR_6 - % p.a., period average
Footnote 1: FZZ50 - Official refinancing operation rates for euro area (ECB), rate in fixed rate tenders (between June 2000 and September 2008 the minimum bid rate in variable rate tenders was applied).
Footnote 2:  - 
Footnote 3:  - 
Footnote 4:  - 
Source 1: Z_ECB - European Central Bank
Source 2:  - 
Source 3:  - 
</t>
        </r>
      </text>
    </comment>
    <comment ref="F8" authorId="1" shapeId="0" xr:uid="{8E2A31DE-4F1C-4A30-8175-FF3A98036934}">
      <text>
        <r>
          <rPr>
            <sz val="9"/>
            <color indexed="81"/>
            <rFont val="Segoe UI"/>
            <family val="2"/>
          </rPr>
          <t xml:space="preserve">ID: 101874
Label: usp2oila
Database: wiiw Monthly Database - Hidden
Status: active
Calculation: 
Calculation_M: 
Calculation_Q: M-&gt;Q AVG(L_usp2oila&gt;mdb)
Calculation_A: Q-&gt;A AVG(L_usp2oila&gt;mdb)
Periodicity: Q
Data available M: 1990m1 - 2023m12
Data available Q: 1990q1 - 2023q4
Data available A: 1990 - 2023
Text 99: 
Automatic update period: 1999|2015
Time shift: 
Note: Oil prices  &amp; Europe Brent Spot Price FOB (Dollars per Barrel) &amp; EIA (US) Source of the data. Gespeichert auf die EU&amp;US Karten.
Reporter: US - United States
Chapter 1: 11_FF - Foreign finance
Indicator:  - 
Unit:  - 
Footnote 1:  - 
Footnote 2:  - 
Footnote 3:  - 
Footnote 4:  - 
Source 1:  - 
Source 2:  - 
Source 3:  - 
</t>
        </r>
      </text>
    </comment>
    <comment ref="G8" authorId="1" shapeId="0" xr:uid="{4D9BDF57-D19D-4148-A550-3C6A54D2C6DD}">
      <text>
        <r>
          <rPr>
            <sz val="9"/>
            <color indexed="81"/>
            <rFont val="Segoe UI"/>
            <family val="2"/>
          </rPr>
          <t xml:space="preserve">ID: 32803
Label: plbg21n_q
Database: wiiw Monthly Database - Public
Status: active
Calculation: SubScal(CPPY=100(L_plbg21n_q&gt;mdb),100)
Calculation_M: q-&gt;m EOP(L_plbg21n_q&gt;mdb)
Calculation_Q: 
Calculation_A: Q-&gt;A CUMPER(L_plbg21n_q&gt;mdb)
Periodicity: Q
Data available M: 1999m3 - 2023m9
Data available Q: 1999q1 - 2023q3
Data available A: 1999 - 2022
Text 99: 
Automatic update period: 1999|2015
Time shift: 
Note: 
Reporter: PL - Poland
Chapter 1: 10_DF - Domestic finance
Indicator: SC1011 - General gov. budget (ESA'10, EDP) - expenditures
Unit: 01_Curr_12 - NCU m (incl. 'euro fixed' series)
Footnote 1: FZZ42 - According to ESA'10 excessive deficit procedure.
Footnote 2:  - 
Footnote 3:  - 
Footnote 4:  - 
Source 1: Z_ESTAT - Eurostat
Source 2:  - 
Source 3:  - 
</t>
        </r>
      </text>
    </comment>
    <comment ref="H8" authorId="1" shapeId="0" xr:uid="{6F3F7D4F-EC47-4668-89DA-D96EDA6A3838}">
      <text>
        <r>
          <rPr>
            <sz val="9"/>
            <color indexed="81"/>
            <rFont val="Segoe UI"/>
            <family val="2"/>
          </rPr>
          <t xml:space="preserve">ID: 32802
Label: plbg11n_q
Database: wiiw Monthly Database - Public
Status: active
Calculation: SubScal(CPPY=100(L_plbg11n_q&gt;mdb),100)
Calculation_M: q-&gt;m EOP(L_plbg11n_q&gt;mdb)
Calculation_Q: 
Calculation_A: Q-&gt;A CUMPER(L_plbg11n_q&gt;mdb)
Periodicity: Q
Data available M: 1999m3 - 2023m9
Data available Q: 1999q1 - 2023q3
Data available A: 1999 - 2022
Text 99: 
Automatic update period: 1999|2015
Time shift: 
Note: 
Reporter: PL - Poland
Chapter 1: 10_DF - Domestic finance
Indicator: SC1010 - General gov. budget (ESA'10, EDP) - revenues
Unit: 01_Curr_12 - NCU m (incl. 'euro fixed' series)
Footnote 1: FZZ42 - According to ESA'10 excessive deficit procedure.
Footnote 2:  - 
Footnote 3:  - 
Footnote 4:  - 
Source 1: Z_ESTAT - Eurostat
Source 2:  - 
Source 3:  - 
</t>
        </r>
      </text>
    </comment>
    <comment ref="I8" authorId="1" shapeId="0" xr:uid="{89357862-B09F-42F4-9AFA-83360DB47E40}">
      <text>
        <r>
          <rPr>
            <sz val="9"/>
            <color indexed="81"/>
            <rFont val="Segoe UI"/>
            <family val="2"/>
          </rPr>
          <t xml:space="preserve">ID: 89169
Label: plbg31px_q
Database: wiiw Monthly Database - Public
Status: active
Calculation: 
Calculation_M: Q-&gt;M EOP(L_plbg31px_q&gt;mdb)
Calculation_Q: Share(L_plbg31nx_q&gt;mdb,L_plg11tn_q&gt;mdb)
Calculation_A: Share(L_plbg31nx_q&gt;mdb,L_plg11tn_q&gt;mdb)
Periodicity: Q
Data available M: 1999m3 - 2023m9
Data available Q: 1999q1 - 2023q3
Data available A: 1999 - 2022
Text 99: 
Automatic update period: 1999|2015
Time shift: 
Note: 
Reporter: PL - Poland
Chapter 1: 10_DF - Domestic finance
Indicator: SC1012 - General gov. budget (ESA'10, EDP) - balance
Unit: 09_Share_%gdp - in % of GDP
Footnote 1: FZZ42 - According to ESA'10 excessive deficit procedure.
Footnote 2:  - 
Footnote 3:  - 
Footnote 4:  - 
Source 1: Z_ESTAT - Eurostat
Source 2: Z_wiiw - wiiw
Source 3:  - 
</t>
        </r>
      </text>
    </comment>
    <comment ref="J8" authorId="1" shapeId="0" xr:uid="{2A81B40A-68C8-4A57-AED9-3515C55777F7}">
      <text>
        <r>
          <rPr>
            <sz val="9"/>
            <color indexed="81"/>
            <rFont val="Segoe UI"/>
            <family val="2"/>
          </rPr>
          <t xml:space="preserve">ID: 88664
Label: plg11tr15_q
Database: wiiw Monthly Database - Public
Status: active
Calculation: SubScal(CPPY=100(L_plg11tr15_q&gt;mdb),100)
Calculation_M: q-&gt;m EOP(L_plg11tr15_q&gt;mdb)
Calculation_Q: 
Calculation_A: q-&gt;a CumPer(L_plg11tr15_q&gt;mdb)
Periodicity: Q
Data available M: 1995m3 - 2023m9
Data available Q: 1995q1 - 2023q3
Data available A: 1995 - 2022
Text 99: 
Automatic update period: 1999|2015
Time shift: 
Note: 
Reporter: PL - Poland
Chapter 1: 02_NA - National accounts
Indicator: SC0201 - Gross domestic product total
Unit: 01_Curr_15_085_15_r - NCU m, 2015 reference prices (prev. year prices, incl. 'euro fixed' series)
Footnote 1: FZZ05 - According to ESA'10.
Footnote 2:  - 
Footnote 3:  - 
Footnote 4:  - 
Source 1: Z_ESTAT - Eurostat
Source 2:  - 
Source 3:  - 
</t>
        </r>
      </text>
    </comment>
    <comment ref="K8" authorId="1" shapeId="0" xr:uid="{3D41AA73-484D-46A7-9A40-5608C35C823C}">
      <text>
        <r>
          <rPr>
            <sz val="9"/>
            <color indexed="81"/>
            <rFont val="Segoe UI"/>
            <family val="2"/>
          </rPr>
          <t xml:space="preserve">ID: 90875
Label: plg222r15_q
Database: wiiw Monthly Database - Public
Status: active
Calculation: SubScal(CPPY=100(L_plg222r15_q&gt;mdb),100)
Calculation_M: q-&gt;m EOP(L_plg222r15_q&gt;mdb)
Calculation_Q: 
Calculation_A: q-&gt;a CumPer(L_plg222r15_q&gt;mdb)
Periodicity: Q
Data available M: 1995m3 - 2023m9
Data available Q: 1995q1 - 2023q3
Data available A: 1995 - 2022
Text 99: 
Automatic update period: 1999|2015
Time shift: 
Note: 
Reporter: PL - Poland
Chapter 1: 02_NA - National accounts
Indicator: SC0212 - Household final consumption expenditure
Unit: 01_Curr_15_085_15_r - NCU m, 2015 reference prices (prev. year prices, incl. 'euro fixed' series)
Footnote 1:  - 
Footnote 2:  - 
Footnote 3:  - 
Footnote 4:  - 
Source 1: Z_ESTAT - Eurostat
Source 2:  - 
Source 3:  - 
</t>
        </r>
      </text>
    </comment>
    <comment ref="L8" authorId="1" shapeId="0" xr:uid="{543DF88B-935F-4AAA-8E59-87CABC3A3CA1}">
      <text>
        <r>
          <rPr>
            <sz val="9"/>
            <color indexed="81"/>
            <rFont val="Segoe UI"/>
            <family val="2"/>
          </rPr>
          <t xml:space="preserve">ID: 90919
Label: plg223r15_q
Database: wiiw Monthly Database - Public
Status: active
Calculation: SubScal(CPPY=100(L_plg223r15_q&gt;mdb),100)
Calculation_M: q-&gt;m EOP(L_plg223r15_q&gt;mdb)
Calculation_Q: 
Calculation_A: q-&gt;a CumPer(L_plg223r15_q&gt;mdb)
Periodicity: Q
Data available M: 1995m3 - 2023m9
Data available Q: 1995q1 - 2023q3
Data available A: 1995 - 2022
Text 99: 
Automatic update period: 1999|2015
Time shift: 
Note: 
Reporter: PL - Poland
Chapter 1: 02_NA - National accounts
Indicator: SC0214 - Government final consumption expenditure
Unit: 01_Curr_15_085_15_r - NCU m, 2015 reference prices (prev. year prices, incl. 'euro fixed' series)
Footnote 1:  - 
Footnote 2:  - 
Footnote 3:  - 
Footnote 4:  - 
Source 1: Z_ESTAT - Eurostat
Source 2:  - 
Source 3:  - 
</t>
        </r>
      </text>
    </comment>
    <comment ref="M8" authorId="1" shapeId="0" xr:uid="{40EC8CA1-F80B-415F-8E26-D22E379AB090}">
      <text>
        <r>
          <rPr>
            <sz val="9"/>
            <color indexed="81"/>
            <rFont val="Segoe UI"/>
            <family val="2"/>
          </rPr>
          <t xml:space="preserve">ID: 90941
Label: plg224r15_q
Database: wiiw Monthly Database - Public
Status: active
Calculation: SubScal(CPPY=100(L_plg224r15_q&gt;mdb),100)
Calculation_M: q-&gt;m EOP(L_plg224r15_q&gt;mdb)
Calculation_Q: 
Calculation_A: q-&gt;a CumPer(L_plg224r15_q&gt;mdb)
Periodicity: Q
Data available M: 1995m3 - 2023m9
Data available Q: 1995q1 - 2023q3
Data available A: 1995 - 2022
Text 99: 
Automatic update period: 1999|2015
Time shift: 
Note: 
Reporter: PL - Poland
Chapter 1: 02_NA - National accounts
Indicator: SC0217 - Gross capital formation
Unit: 01_Curr_15_085_15_r - NCU m, 2015 reference prices (prev. year prices, incl. 'euro fixed' series)
Footnote 1:  - 
Footnote 2:  - 
Footnote 3:  - 
Footnote 4:  - 
Source 1: Z_ESTAT - Eurostat
Source 2:  - 
Source 3:  - 
</t>
        </r>
      </text>
    </comment>
    <comment ref="N8" authorId="1" shapeId="0" xr:uid="{1C414AD7-2AFD-4905-81D8-FD3BA54CE831}">
      <text>
        <r>
          <rPr>
            <sz val="9"/>
            <color indexed="81"/>
            <rFont val="Segoe UI"/>
            <family val="2"/>
          </rPr>
          <t xml:space="preserve">ID: 90985
Label: plg228r15_q
Database: wiiw Monthly Database - Public
Status: active
Calculation: SubScal(CPPY=100(L_plg228r15_q&gt;mdb),100)
Calculation_M: q-&gt;m EOP(L_plg228r15_q&gt;mdb)
Calculation_Q: 
Calculation_A: q-&gt;a CumPer(L_plg228r15_q&gt;mdb)
Periodicity: Q
Data available M: 1995m3 - 2023m9
Data available Q: 1995q1 - 2023q3
Data available A: 1995 - 2022
Text 99: 
Automatic update period: 1999|2015
Time shift: 
Note: 
Reporter: PL - Poland
Chapter 1: 02_NA - National accounts
Indicator: SC0221 - Exports of goods and services
Unit: 01_Curr_15_085_15_r - NCU m, 2015 reference prices (prev. year prices, incl. 'euro fixed' series)
Footnote 1:  - 
Footnote 2:  - 
Footnote 3:  - 
Footnote 4:  - 
Source 1: Z_ESTAT - Eurostat
Source 2:  - 
Source 3:  - 
</t>
        </r>
      </text>
    </comment>
    <comment ref="O8" authorId="1" shapeId="0" xr:uid="{8A0DBF78-D6B6-4879-B2AD-6AB82DAFCED3}">
      <text>
        <r>
          <rPr>
            <sz val="9"/>
            <color indexed="81"/>
            <rFont val="Segoe UI"/>
            <family val="2"/>
          </rPr>
          <t xml:space="preserve">ID: 91007
Label: plg229r15_q
Database: wiiw Monthly Database - Public
Status: active
Calculation: SubScal(CPPY=100(L_plg229r15_q&gt;mdb),100)
Calculation_M: q-&gt;m EOP(L_plg229r15_q&gt;mdb)
Calculation_Q: 
Calculation_A: q-&gt;a CumPer(L_plg229r15_q&gt;mdb)
Periodicity: Q
Data available M: 1995m3 - 2023m9
Data available Q: 1995q1 - 2023q3
Data available A: 1995 - 2022
Text 99: 
Automatic update period: 1999|2015
Time shift: 
Note: 
Reporter: PL - Poland
Chapter 1: 02_NA - National accounts
Indicator: SC0222 - Imports of goods and services
Unit: 01_Curr_15_085_15_r - NCU m, 2015 reference prices (prev. year prices, incl. 'euro fixed' series)
Footnote 1:  - 
Footnote 2:  - 
Footnote 3:  - 
Footnote 4:  - 
Source 1: Z_ESTAT - Eurostat
Source 2:  - 
Source 3:  - 
</t>
        </r>
      </text>
    </comment>
    <comment ref="P8" authorId="1" shapeId="0" xr:uid="{B52F9B62-DF1C-4213-96AE-B326DB5D2F94}">
      <text>
        <r>
          <rPr>
            <sz val="9"/>
            <color indexed="81"/>
            <rFont val="Segoe UI"/>
            <family val="2"/>
          </rPr>
          <t xml:space="preserve">ID: 32650
Label: ple51_ta_q
Database: wiiw Monthly Database - Public
Status: active
Calculation: 
Calculation_M: q-&gt;m EOP(L_ple51_ta_q&gt;mdb)
Calculation_Q: 
Calculation_A: q-&gt;a AVG(L_ple51_ta_q&gt;mdb)
Periodicity: Q
Data available M: 1992m6 - 2023m9
Data available Q: 1992q2 - 2023q3
Data available A: 1992 - 2022
Text 99: 
Automatic update period: 1999|2015
Time shift: 
Note: 1999: Nur zwei Erhebungen
Reporter: PL - Poland
Chapter 1: 05_LAB - Labour market
Indicator: SC0501 - Employment, LFS
Unit: 02_Pers_11 - th persons, period average
Footnote 1: FZZ09 - From 2021 new methodology in line with the Integrated European Social Statistics Regulation (IESS).
Footnote 2: FPL41 - From 2012 according to census March 2011.
Footnote 3: FPL34 - From 2003 according to census May 2002.
Footnote 4:  - 
Source 1: Z_ESTAT - Eurostat
Source 2: QPL1 - Central Statistical Office of Poland
Source 3:  - 
</t>
        </r>
      </text>
    </comment>
    <comment ref="Q8" authorId="1" shapeId="0" xr:uid="{C09CA58A-E140-4330-96C5-7476496A52B5}">
      <text>
        <r>
          <rPr>
            <sz val="9"/>
            <color indexed="81"/>
            <rFont val="Segoe UI"/>
            <family val="2"/>
          </rPr>
          <t xml:space="preserve">ID: 32680
Label: ple5u_ta_q
Database: wiiw Monthly Database - Public
Status: active
Calculation: 
Calculation_M: q-&gt;m EOP(L_ple5u_ta_q&gt;mdb)
Calculation_Q: 
Calculation_A: q-&gt;a AVG(L_ple5u_ta_q&gt;mdb)
Periodicity: Q
Data available M: 1992m6 - 2023m9
Data available Q: 1992q2 - 2023q3
Data available A: 1992 - 2022
Text 99: 
Automatic update period: 1999|2015
Time shift: 
Note: 
Reporter: PL - Poland
Chapter 1: 05_LAB - Labour market
Indicator: SC0507 - Unemployment, LFS
Unit: 02_Pers_11 - th persons, period average
Footnote 1: FZZ09 - From 2021 new methodology in line with the Integrated European Social Statistics Regulation (IESS).
Footnote 2: FPL41 - From 2012 according to census March 2011.
Footnote 3: FPL34 - From 2003 according to census May 2002.
Footnote 4:  - 
Source 1: Z_ESTAT - Eurostat
Source 2: QPL1 - Central Statistical Office of Poland
Source 3:  - 
</t>
        </r>
      </text>
    </comment>
    <comment ref="R8" authorId="1" shapeId="0" xr:uid="{31D62030-0C1E-4000-8417-5EEA983C0BAC}">
      <text>
        <r>
          <rPr>
            <sz val="9"/>
            <color indexed="81"/>
            <rFont val="Segoe UI"/>
            <family val="2"/>
          </rPr>
          <t xml:space="preserve">ID: 32697
Label: ple5u_tp_q
Database: wiiw Monthly Database - Public
Status: active
Calculation: 
Calculation_M: q-&gt;m EOP(L_ple5u_tp_q&gt;mdb)
Calculation_Q: 
Calculation_A: MulScal(Div(L_ple5u_ta_q&gt;mdb,Add(L_ple5u_ta_q&gt;mdb,L_ple51_ta_q&gt;mdb)),100)
Periodicity: Q
Data available M: 1992m6 - 2023m9
Data available Q: 1992q2 - 2023q3
Data available A: 1992 - 2022
Text 99: 
Automatic update period: 1999|2015
Time shift: 
Note: 
Reporter: PL - Poland
Chapter 1: 05_LAB - Labour market
Indicator: SC0508 - Unemployment rate, LFS
Unit: 02_Pers_21 - in %, period average
Footnote 1: FZZ09 - From 2021 new methodology in line with the Integrated European Social Statistics Regulation (IESS).
Footnote 2: FPL41 - From 2012 according to census March 2011.
Footnote 3: FPL34 - From 2003 according to census May 2002.
Footnote 4:  - 
Source 1: Z_ESTAT - Eurostat
Source 2: QPL1 - Central Statistical Office of Poland
Source 3: Z_wiiw - wiiw
</t>
        </r>
      </text>
    </comment>
    <comment ref="S8" authorId="1" shapeId="0" xr:uid="{9D48D81F-14AF-43CD-A323-EED0AA8D7317}">
      <text>
        <r>
          <rPr>
            <sz val="9"/>
            <color indexed="81"/>
            <rFont val="Segoe UI"/>
            <family val="2"/>
          </rPr>
          <t xml:space="preserve">ID: 314
Label: plw11_gccx
Database: wiiw Monthly Database - Public
Status: active
Calculation: SubScal(L_plw11_gccx&gt;mdb,100)
Calculation_M: CPPY=100(L_plw11_gn&gt;mdb)
Calculation_Q: CPPY=100(L_plw11_gn&gt;mdb)
Calculation_A: CPPY=100(L_plw11_gn&gt;mdb)
Periodicity: Q
Data available M: 1994m1 - 2023m12
Data available Q: 1994q1 - 2023q4
Data available A: 1994 - 2023
Text 99: 
Automatic update period: 1999|2015
Time shift: 
Note: 2009 NACE Rev. 2:  kleine Revisionen, die nichts mit NACE Rev.2 zu tun haben, und deswegen keine relevante  Auswirkung auf die Wachstumsraten - deviations are small +/- 0.3 pp - growth rates calculated are ok.
Reporter: PL - Poland
Chapter 1: 06_WS - Wages
Indicator: SC0601 - Average monthly gross wages total
Unit: 04_Inom_32 - index nominal, corresponding period of previous year = 100
Footnote 1: FPL17 - Enterprises employing 6 and more persons, from January 2000 enterprises employing 10 and more persons.
Footnote 2: FPL15 - From January 1999, the gross monthly wages and salary is increased by the mandatory premium for social security.
Footnote 3:  - 
Footnote 4:  - 
Source 1: QPL1 - Central Statistical Office of Poland
Source 2: Z_wiiw - wiiw
Source 3:  - 
</t>
        </r>
      </text>
    </comment>
    <comment ref="T8" authorId="1" shapeId="0" xr:uid="{A28A3884-A6FC-471A-B1D1-A78F987453EC}">
      <text>
        <r>
          <rPr>
            <sz val="9"/>
            <color indexed="81"/>
            <rFont val="Segoe UI"/>
            <family val="2"/>
          </rPr>
          <t xml:space="preserve">ID: 783
Label: plfrr1tp
Database: wiiw Monthly Database - Public
Status: active
Calculation: 
Calculation_M: 
Calculation_Q: M-&gt;Q EOP(L_plfrr1tp&gt;mdb)
Calculation_A: Q-&gt;A EOP(L_plfrr1tp&gt;mdb)
Periodicity: Q
Data available M: 1991m1 - 2023m12
Data available Q: 1991q1 - 2023q4
Data available A: 1991 - 2023
Text 99: 
Automatic update period: 1999|2015
Time shift: 
Note: ab 2000 lt. E-Stat 'off.refinan.operat.rate' = open market operation reference rate = Reference rate lt. PNB (open market operat.rate: 28-days in 98-02, 14-days in 03-04, 7-days from 06-*), 1991-97: basic refinancing rate &amp; Mai 15: alles lt. PNB abgestimmt (paar kleine Korr.) - s. Excel
Reporter: PL - Poland
Chapter 1: 10_DF - Domestic finance
Indicator: SC1050 - Central bank policy rate
Unit: 06_IntR_1 - % p.a., end of period
Footnote 1: FPL39 - From January 1998 reference rate (7-day open market operations fom 2005), basic refinancing rate before.
Footnote 2:  - 
Footnote 3:  - 
Footnote 4:  - 
Source 1: QPL2 - National Bank of Poland
Source 2:  - 
Source 3:  - 
</t>
        </r>
      </text>
    </comment>
    <comment ref="U8" authorId="1" shapeId="0" xr:uid="{095143E8-9F54-4646-A9DA-8F46386453DE}">
      <text>
        <r>
          <rPr>
            <sz val="9"/>
            <color indexed="81"/>
            <rFont val="Segoe UI"/>
            <family val="2"/>
          </rPr>
          <t xml:space="preserve">ID: 32761
Label: plp1p1tsa
Database: wiiw Monthly Database - Public
Status: active
Calculation: 
Calculation_M: 
Calculation_Q: m-&gt;q AVG(L_plp1p1tsa&gt;mdb)
Calculation_A: q-&gt;a AVG(L_plp1p1tsa&gt;mdb)
Periodicity: Q
Data available M: 1999m1 - 2023m12
Data available Q: 1999q1 - 2023q4
Data available A: 1999 - 2023
Text 99: 
Automatic update period: 1999|2015
Time shift: 
Note: 
Reporter: PL - Poland
Chapter 1: 07_PRC - Prices
Indicator: SC0701 - Consumer prices
Unit: 03_I_1_085_15avg - index, monthly average, 2015 = 100
Footnote 1: FZZ40 - Based on HICP (Harmonized Index of Consumer Prices).
Footnote 2:  - 
Footnote 3:  - 
Footnote 4:  - 
Source 1: Z_ESTAT - Eurostat
Source 2:  - 
Source 3:  - 
</t>
        </r>
      </text>
    </comment>
    <comment ref="V8" authorId="1" shapeId="0" xr:uid="{F7340F63-D2FE-4C7C-A315-D32ABFCD57EF}">
      <text>
        <r>
          <rPr>
            <sz val="9"/>
            <color indexed="81"/>
            <rFont val="Segoe UI"/>
            <family val="2"/>
          </rPr>
          <t xml:space="preserve">ID: 963
Label: plp2xea
Database: wiiw Monthly Database - Public
Status: active
Calculation: 
Calculation_M: 
Calculation_Q: m-&gt;q AVG(L_plp2xea&gt;mdb)
Calculation_A: q-&gt;a AVG(L_plp2xea&gt;mdb)
Periodicity: Q
Data available M: 1993m1 - 2023m12
Data available Q: 1993q1 - 2023q4
Data available A: 1993 - 2023
Text 99: 
Automatic update period: 1999|2015
Time shift: 
Note: 
Reporter: PL - Poland
Chapter 1: 11_FF - Foreign finance
Indicator: SC1107 - Exchange rate nominal
Unit: 07_Exch_12 - NCU/EUR, period average
Footnote 1: FZZ21 - Up to December 1998 ECU.
Footnote 2:  - 
Footnote 3:  - 
Footnote 4:  - 
Source 1: Z_ESTAT - Eurostat
Source 2: QPL2 - National Bank of Poland
Source 3:  - 
</t>
        </r>
      </text>
    </comment>
    <comment ref="W8" authorId="1" shapeId="0" xr:uid="{4E2AE9B1-6642-4768-9ABF-62C4F64F654F}">
      <text>
        <r>
          <rPr>
            <sz val="9"/>
            <color indexed="81"/>
            <rFont val="Segoe UI"/>
            <family val="2"/>
          </rPr>
          <t xml:space="preserve">ID: 32209
Label: pla1211tscx
Database: wiiw Monthly Database - Public
Status: active
Calculation: SubScal(L_pla1211tscx&gt;mdb,100)
Calculation_M: CPPY=100(L_pla1211tsa&gt;mdb)
Calculation_Q: CPPY=100(L_pla1211tsa&gt;mdb)
Calculation_A: CPPY=100(L_pla1211tsa&gt;mdb)
Periodicity: Q
Data available M: 2001m1 - 2023m12
Data available Q: 2001q1 - 2023q4
Data available A: 2001 - 2023
Text 99: 
Automatic update period: 1999|2015
Time shift: 
Note: 
Reporter: PL - Poland
Chapter 1: 04_PROD - Production
Indicator: SC0401 - Industrial output (BCD - NACE Rev. 2)
Unit: 05_Ireal_32 - index real, corresponding period of previous year = 100
Footnote 1: FZZ01 - Sold production.
Footnote 2: FZZ49 - Enterprises with 10 and more employees.
Footnote 3:  - 
Footnote 4:  - 
Source 1: Z_ESTAT - Eurostat
Source 2: Z_wiiw - wiiw
Source 3:  - 
</t>
        </r>
      </text>
    </comment>
    <comment ref="X8" authorId="1" shapeId="0" xr:uid="{B3B8097F-0A5D-47BB-B885-8791F6B316CC}">
      <text>
        <r>
          <rPr>
            <sz val="9"/>
            <color indexed="81"/>
            <rFont val="Segoe UI"/>
            <family val="2"/>
          </rPr>
          <t xml:space="preserve">ID: 87273
Label: pllago2e_q
Database: wiiw Monthly Database - Hidden
Status: active
Calculation: SubScal(CPPY=100(AddNull(L_pllago2e_q&gt;mdb,L_pllase2e_q&gt;mdb)),100)
Calculation_M: q-&gt;m EOP(L_pllago2e_q&gt;mdb)
Calculation_Q: 
Calculation_A: Q-&gt;A CUMPER(L_pllago2e_q&gt;mdb)
Periodicity: Q
Data available M: 2008m3 - 2023m9
Data available Q: 2008q1 - 2023q3
Data available A: 2008 - 2022
Text 99: 
Automatic update period: 1999|2015
Time shift: 
Note: 
Reporter: PL - Poland
Chapter 1: 11_FF - Foreign finance
Indicator: SC1111 - 1.A.a. Goods exports, fob, credit
Unit: 01_Curr_23 - EUR m
Footnote 1: FZZ80 - Based on BPM6.
Footnote 2:  - 
Footnote 3:  - 
Footnote 4:  - 
Source 1: Z_ESTAT - Eurostat
Source 2: QPL2 - National Bank of Poland
Source 3:  - 
</t>
        </r>
      </text>
    </comment>
    <comment ref="Y8" authorId="1" shapeId="0" xr:uid="{19F60CB0-BA99-444B-AA87-9F26859BE26F}">
      <text>
        <r>
          <rPr>
            <sz val="9"/>
            <color indexed="81"/>
            <rFont val="Segoe UI"/>
            <family val="2"/>
          </rPr>
          <t xml:space="preserve">ID: 87310
Label: pllago3e_q
Database: wiiw Monthly Database - Hidden
Status: active
Calculation: SubScal(CPPY=100(AddNull(L_pllago3e_q&gt;mdb,L_pllase3e_q&gt;mdb)),100)
Calculation_M: q-&gt;m EOP(L_pllago3e_q&gt;mdb)
Calculation_Q: 
Calculation_A: Q-&gt;A CUMPER(L_pllago3e_q&gt;mdb)
Periodicity: Q
Data available M: 2008m3 - 2023m9
Data available Q: 2008q1 - 2023q3
Data available A: 2008 - 2022
Text 99: 
Automatic update period: 1999|2015
Time shift: 
Note: 
Reporter: PL - Poland
Chapter 1: 11_FF - Foreign finance
Indicator: SC1112 - 1.A.a. Goods imports, fob, debit
Unit: 01_Curr_23 - EUR m
Footnote 1: FZZ80 - Based on BPM6.
Footnote 2:  - 
Footnote 3:  - 
Footnote 4:  - 
Source 1: Z_ESTAT - Eurostat
Source 2: QPL2 - National Bank of Poland
Source 3:  - 
</t>
        </r>
      </text>
    </comment>
    <comment ref="Z8" authorId="1" shapeId="0" xr:uid="{E7675F5E-F07B-40D9-8B89-02587F67EC85}">
      <text>
        <r>
          <rPr>
            <sz val="9"/>
            <color indexed="81"/>
            <rFont val="Segoe UI"/>
            <family val="2"/>
          </rPr>
          <t xml:space="preserve">ID: 88743
Label: pllacaepx_q
Database: wiiw Monthly Database - Public
Status: active
Calculation: 
Calculation_M: Q-&gt;M EOP(L_pllacaepx_q&gt;mdb)
Calculation_Q: Share(L_pllacaen_q&gt;mdb,Div(L_plg11tn_q&gt;mdb,L_plp2xea&gt;mdb))
Calculation_A: Share(L_pllacaen_q&gt;mdb,Div(L_plg11tn_q&gt;mdb,L_plp2xea&gt;mdb))
Periodicity: Q
Data available M: 1997m3 - 2023m9
Data available Q: 1997q1 - 2023q3
Data available A: 1997 - 2022
Text 99: 
Automatic update period: 1999|2015
Time shift: 
Note: 
Reporter: PL - Poland
Chapter 1: 11_FF - Foreign finance
Indicator: SC1101 - Current account
Unit: 09_Share_%gdp - in % of GDP
Footnote 1: FZZ55 - From 2008 based on BPM6.
Footnote 2: FPL28 - From 2004 including SPE (Special Purpose Entities). Up to December 1999 on cash basis.
Footnote 3:  - 
Footnote 4:  - 
Source 1: Z_ESTAT - Eurostat
Source 2: QPL2 - National Bank of Poland
Source 3: Z_wiiw - wiiw
</t>
        </r>
      </text>
    </comment>
    <comment ref="AA8" authorId="1" shapeId="0" xr:uid="{27557CC1-AEC8-40C9-B312-5F16DC482025}">
      <text>
        <r>
          <rPr>
            <sz val="9"/>
            <color indexed="81"/>
            <rFont val="Segoe UI"/>
            <family val="2"/>
          </rPr>
          <t xml:space="preserve">ID: 90347
Label: plg222px_q
Database: wiiw Monthly Database - Public
Status: active
Calculation: AddNull(L_plg222px_q&gt;mdb,L_plg22zpx_q&gt;mdb)
Calculation_M: Q-&gt;M EOP(L_plg222px_q&gt;mdb)
Calculation_Q: Share(L_plg222n_q&gt;mdb,L_plg11tzn_q&gt;mdb)
Calculation_A: Share(L_plg222n_q&gt;mdb,L_plg11tzn_q&gt;mdb)
Periodicity: Q
Data available M: 1995m3 - 2023m9
Data available Q: 1995q1 - 2023q3
Data available A: 1995 - 2022
Text 99: 
Automatic update period: 1999|2015
Time shift: 
Note: 
Reporter: PL - Poland
Chapter 1: 02_NA - National accounts
Indicator: SC0212 - Household final consumption expenditure
Unit: 09_Share_%gdp - in % of GDP
Footnote 1:  - 
Footnote 2:  - 
Footnote 3:  - 
Footnote 4:  - 
Source 1: Z_ESTAT - Eurostat
Source 2: Z_wiiw - wiiw
Source 3:  - 
</t>
        </r>
      </text>
    </comment>
    <comment ref="AB8" authorId="1" shapeId="0" xr:uid="{DC52D062-E88A-4B56-B631-7C18BE63BDDB}">
      <text>
        <r>
          <rPr>
            <sz val="9"/>
            <color indexed="81"/>
            <rFont val="Segoe UI"/>
            <family val="2"/>
          </rPr>
          <t xml:space="preserve">ID: 90391
Label: plg223px_q
Database: wiiw Monthly Database - Public
Status: active
Calculation: 
Calculation_M: Q-&gt;M EOP(L_plg223px_q&gt;mdb)
Calculation_Q: Share(L_plg223n_q&gt;mdb,L_plg11tzn_q&gt;mdb)
Calculation_A: Share(L_plg223n_q&gt;mdb,L_plg11tzn_q&gt;mdb)
Periodicity: Q
Data available M: 1995m3 - 2023m9
Data available Q: 1995q1 - 2023q3
Data available A: 1995 - 2022
Text 99: 
Automatic update period: 1999|2015
Time shift: 
Note: 
Reporter: PL - Poland
Chapter 1: 02_NA - National accounts
Indicator: SC0214 - Government final consumption expenditure
Unit: 09_Share_%gdp - in % of GDP
Footnote 1:  - 
Footnote 2:  - 
Footnote 3:  - 
Footnote 4:  - 
Source 1: Z_ESTAT - Eurostat
Source 2: Z_wiiw - wiiw
Source 3:  - 
</t>
        </r>
      </text>
    </comment>
    <comment ref="AC8" authorId="1" shapeId="0" xr:uid="{3BCD1454-75DC-43A3-B55C-B3BB39055FB6}">
      <text>
        <r>
          <rPr>
            <sz val="9"/>
            <color indexed="81"/>
            <rFont val="Segoe UI"/>
            <family val="2"/>
          </rPr>
          <t xml:space="preserve">ID: 90413
Label: plg224px_q
Database: wiiw Monthly Database - Public
Status: active
Calculation: 
Calculation_M: Q-&gt;M EOP(L_plg224px_q&gt;mdb)
Calculation_Q: Share(L_plg224n_q&gt;mdb,L_plg11tzn_q&gt;mdb)
Calculation_A: Share(L_plg224n_q&gt;mdb,L_plg11tzn_q&gt;mdb)
Periodicity: Q
Data available M: 1995m3 - 2023m9
Data available Q: 1995q1 - 2023q3
Data available A: 1995 - 2022
Text 99: 
Automatic update period: 1999|2015
Time shift: 
Note: 
Reporter: PL - Poland
Chapter 1: 02_NA - National accounts
Indicator: SC0217 - Gross capital formation
Unit: 09_Share_%gdp - in % of GDP
Footnote 1:  - 
Footnote 2:  - 
Footnote 3:  - 
Footnote 4:  - 
Source 1: Z_ESTAT - Eurostat
Source 2: Z_wiiw - wiiw
Source 3:  - 
</t>
        </r>
      </text>
    </comment>
    <comment ref="AD8" authorId="1" shapeId="0" xr:uid="{9F541B52-6FE9-4EA5-9F1B-9E568F821341}">
      <text>
        <r>
          <rPr>
            <sz val="9"/>
            <color indexed="81"/>
            <rFont val="Segoe UI"/>
            <family val="2"/>
          </rPr>
          <t xml:space="preserve">ID: 90501
Label: plg228px_q
Database: wiiw Monthly Database - Public
Status: active
Calculation: 
Calculation_M: Q-&gt;M EOP(L_plg228px_q&gt;mdb)
Calculation_Q: Share(L_plg228n_q&gt;mdb,L_plg11tzn_q&gt;mdb)
Calculation_A: Share(L_plg228n_q&gt;mdb,L_plg11tzn_q&gt;mdb)
Periodicity: Q
Data available M: 1995m3 - 2023m9
Data available Q: 1995q1 - 2023q3
Data available A: 1995 - 2022
Text 99: 
Automatic update period: 1999|2015
Time shift: 
Note: 
Reporter: PL - Poland
Chapter 1: 02_NA - National accounts
Indicator: SC0221 - Exports of goods and services
Unit: 09_Share_%gdp - in % of GDP
Footnote 1:  - 
Footnote 2:  - 
Footnote 3:  - 
Footnote 4:  - 
Source 1: Z_ESTAT - Eurostat
Source 2: Z_wiiw - wiiw
Source 3:  - 
</t>
        </r>
      </text>
    </comment>
    <comment ref="AE8" authorId="1" shapeId="0" xr:uid="{97D573CB-AC9E-4183-AC45-4DB3E0961E5C}">
      <text>
        <r>
          <rPr>
            <sz val="9"/>
            <color indexed="81"/>
            <rFont val="Segoe UI"/>
            <family val="2"/>
          </rPr>
          <t xml:space="preserve">ID: 90523
Label: plg229px_q
Database: wiiw Monthly Database - Public
Status: active
Calculation: 
Calculation_M: Q-&gt;M EOP(L_plg229px_q&gt;mdb)
Calculation_Q: Share(L_plg229n_q&gt;mdb,L_plg11tzn_q&gt;mdb)
Calculation_A: Share(L_plg229n_q&gt;mdb,L_plg11tzn_q&gt;mdb)
Periodicity: Q
Data available M: 1995m3 - 2023m9
Data available Q: 1995q1 - 2023q3
Data available A: 1995 - 2022
Text 99: 
Automatic update period: 1999|2015
Time shift: 
Note: 
Reporter: PL - Poland
Chapter 1: 02_NA - National accounts
Indicator: SC0222 - Imports of goods and services
Unit: 09_Share_%gdp - in % of GDP
Footnote 1:  - 
Footnote 2:  - 
Footnote 3:  - 
Footnote 4:  - 
Source 1: Z_ESTAT - Eurostat
Source 2: Z_wiiw - wiiw
Source 3:  - 
</t>
        </r>
      </text>
    </comment>
    <comment ref="AF8" authorId="1" shapeId="0" xr:uid="{45E4A6B6-06B3-48FB-85D9-7BB13531501B}">
      <text>
        <r>
          <rPr>
            <sz val="9"/>
            <color indexed="81"/>
            <rFont val="Segoe UI"/>
            <family val="2"/>
          </rPr>
          <t xml:space="preserve">ID: 89621
Label: plfls14scx
Database: wiiw Monthly Database - Public
Status: active
Calculation: SubScal(L_plfls14scx&gt;mdb,100)
Calculation_M: CPPY=100(L_plfls14e&gt;mdb)
Calculation_Q: M-&gt;Q EOP(L_plfls14scx&gt;mdb)
Calculation_A: Q-&gt;A EOP(L_plfls14scx&gt;mdb)
Periodicity: Q
Data available M: 2001m1 - 2023m11
Data available Q: 2001q1 - 2023q3
Data available A: 2001 - 2022
Text 99: 
Automatic update period: 1999|2015
Time shift: 
Note: 
Reporter: PL - Poland
Chapter 1: 10_DF - Domestic finance
Indicator: SC1066 - Loans households (S14)
Unit: 04_Inom_32 - index nominal, corresponding period of previous year = 100
Footnote 1:  - 
Footnote 2:  - 
Footnote 3:  - 
Footnote 4:  - 
Source 1: QPL2 - National Bank of Poland
Source 2: Z_wiiw - wiiw
Source 3:  - 
</t>
        </r>
      </text>
    </comment>
    <comment ref="AG8" authorId="1" shapeId="0" xr:uid="{14ABF261-A56E-4C7C-A0D8-073AA1E11822}">
      <text>
        <r>
          <rPr>
            <sz val="9"/>
            <color indexed="81"/>
            <rFont val="Segoe UI"/>
            <family val="2"/>
          </rPr>
          <t xml:space="preserve">ID: 144769
Label: plbgdtpx_help_q
Database: wiiw Monthly Database - Hidden
Status: active
Calculation: 
Calculation_M: q-&gt;m EOP(L_plbgdtpx_help_q&gt;mdb)
Calculation_Q: Share(L_plbgdtn_help_q&gt;mdb,L_plg11tnx_help_q&gt;mdb)
Calculation_A: q-&gt;a EOP(L_plbgdtpx_help_q&gt;mdb)
Periodicity: Q
Data available M: 2000m3 - 2023m9
Data available Q: 2000q1 - 2023q3
Data available A: 2000 - 2022
Text 99: 
Automatic update period: 1999|2015
Time shift: 
Note: 
Reporter: PL - Poland
Chapter 1: 10_DF - Domestic finance
Indicator: SC1009 - General government gross debt, total
Unit: 09_Share_%gdp - in % of GDP
Footnote 1:  - 
Footnote 2:  - 
Footnote 3:  - 
Footnote 4:  - 
Source 1: Z_ESTAT - Eurostat
Source 2: Z_wiiw - wiiw
Source 3:  - 
</t>
        </r>
      </text>
    </comment>
  </commentList>
</comments>
</file>

<file path=xl/sharedStrings.xml><?xml version="1.0" encoding="utf-8"?>
<sst xmlns="http://schemas.openxmlformats.org/spreadsheetml/2006/main" count="17426" uniqueCount="1318">
  <si>
    <t>time</t>
  </si>
  <si>
    <t>EU_GDP_yoy</t>
  </si>
  <si>
    <t>EU_HICP</t>
  </si>
  <si>
    <t>EU_HICP_yoy</t>
  </si>
  <si>
    <t>EU_IR</t>
  </si>
  <si>
    <t>oil</t>
  </si>
  <si>
    <t>gov_exp_yoy</t>
  </si>
  <si>
    <t>gov_bal</t>
  </si>
  <si>
    <t>emp</t>
  </si>
  <si>
    <t>unemp</t>
  </si>
  <si>
    <t>unemp_rate</t>
  </si>
  <si>
    <t>wages_yoy</t>
  </si>
  <si>
    <t>IR</t>
  </si>
  <si>
    <t>CPI</t>
  </si>
  <si>
    <t>ER</t>
  </si>
  <si>
    <t>ind_yoy</t>
  </si>
  <si>
    <t>exp_nom_yoy</t>
  </si>
  <si>
    <t>imp_nom_yoy</t>
  </si>
  <si>
    <t>CA_gdp</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</si>
  <si>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</si>
  <si>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</si>
  <si>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</si>
  <si>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</si>
  <si>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</si>
  <si>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</si>
  <si>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</si>
  <si>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</si>
  <si>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</si>
  <si>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</si>
  <si>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</si>
  <si>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</si>
  <si>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</si>
  <si>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</si>
  <si>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</si>
  <si>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</si>
  <si>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</si>
  <si>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</si>
  <si>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</si>
  <si>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</si>
  <si>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</si>
  <si>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</si>
  <si>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</si>
  <si>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</si>
  <si>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</si>
  <si>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</si>
  <si>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</si>
  <si>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</si>
  <si>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</si>
  <si>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</si>
  <si>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</si>
  <si>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</si>
  <si>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</si>
  <si>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</si>
  <si>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</si>
  <si>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</si>
  <si>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</si>
  <si>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</si>
  <si>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</si>
  <si>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</si>
  <si>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</si>
  <si>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</si>
  <si>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</si>
  <si>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</si>
  <si>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</si>
  <si>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</si>
  <si>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</si>
  <si>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</si>
  <si>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</si>
  <si>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</si>
  <si>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</si>
  <si>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</si>
  <si>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</si>
  <si>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</si>
  <si>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</si>
  <si>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</si>
  <si>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</si>
  <si>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</si>
  <si>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</si>
  <si>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</si>
  <si>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</si>
  <si>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</si>
  <si>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</si>
  <si>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</si>
  <si>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</si>
  <si>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</si>
  <si>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</si>
  <si>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</si>
  <si>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</si>
  <si>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</si>
  <si>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</si>
  <si>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</si>
  <si>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</si>
  <si>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</si>
  <si>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</si>
  <si>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</si>
  <si>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</si>
  <si>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</si>
  <si>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2019Q3</t>
  </si>
  <si>
    <t>2019Q4</t>
  </si>
  <si>
    <t>2020Q1</t>
  </si>
  <si>
    <t>2020Q2</t>
  </si>
  <si>
    <t>2020Q3</t>
  </si>
  <si>
    <t>2020Q4</t>
  </si>
  <si>
    <t>2021Q1</t>
  </si>
  <si>
    <t>2021Q2</t>
  </si>
  <si>
    <t>2021Q3</t>
  </si>
  <si>
    <t>2021Q4</t>
  </si>
  <si>
    <t>.</t>
  </si>
  <si>
    <t>2022Q1</t>
  </si>
  <si>
    <t>2022Q2</t>
  </si>
  <si>
    <t>2022Q3</t>
  </si>
  <si>
    <t>2022Q4</t>
  </si>
  <si>
    <t>2023Q1</t>
  </si>
  <si>
    <t>2023Q2</t>
  </si>
  <si>
    <t>2023Q3</t>
  </si>
  <si>
    <t>2023Q4</t>
  </si>
  <si>
    <t>rsg11tr15_q</t>
  </si>
  <si>
    <t>Serbia</t>
  </si>
  <si>
    <t>NCU m, 2015 reference prices (prev. year prices, incl. 'euro fixed' series)</t>
  </si>
  <si>
    <t>RS</t>
  </si>
  <si>
    <t>SC0201</t>
  </si>
  <si>
    <t>Gross domestic product total</t>
  </si>
  <si>
    <t>01_Curr_15_085_15_r</t>
  </si>
  <si>
    <t>FZZ05 - According to ESA'10.</t>
  </si>
  <si>
    <t>rsg222r15_q</t>
  </si>
  <si>
    <t xml:space="preserve"> - </t>
  </si>
  <si>
    <t>SC0212</t>
  </si>
  <si>
    <t>Household final consumption expenditure</t>
  </si>
  <si>
    <t>rsg223r15_q</t>
  </si>
  <si>
    <t>SC0214</t>
  </si>
  <si>
    <t>Government final consumption expenditure</t>
  </si>
  <si>
    <t>rsg224r15_q</t>
  </si>
  <si>
    <t>SC0217</t>
  </si>
  <si>
    <t>Gross capital formation</t>
  </si>
  <si>
    <t>rsg228r15_q</t>
  </si>
  <si>
    <t>SC0221</t>
  </si>
  <si>
    <t>Exports of goods and services</t>
  </si>
  <si>
    <t>rsg229r15_q</t>
  </si>
  <si>
    <t>SC0222</t>
  </si>
  <si>
    <t>Imports of goods and services</t>
  </si>
  <si>
    <t>rse51_ta_q</t>
  </si>
  <si>
    <t>SC0501</t>
  </si>
  <si>
    <t>Employment, LFS</t>
  </si>
  <si>
    <t>02_Pers_11</t>
  </si>
  <si>
    <t>th persons, period average</t>
  </si>
  <si>
    <t>rse5u_ta_q</t>
  </si>
  <si>
    <t>SC0507</t>
  </si>
  <si>
    <t>Unemployment, LFS</t>
  </si>
  <si>
    <t>rse5u_tp_q</t>
  </si>
  <si>
    <t>SC0508</t>
  </si>
  <si>
    <t>Unemployment rate, LFS</t>
  </si>
  <si>
    <t>02_Pers_21</t>
  </si>
  <si>
    <t>in %, period average</t>
  </si>
  <si>
    <t>rsw11_tccx</t>
  </si>
  <si>
    <t>SC0601</t>
  </si>
  <si>
    <t>Average monthly gross wages total</t>
  </si>
  <si>
    <t>04_Inom_32</t>
  </si>
  <si>
    <t>index nominal, corresponding period of previous year = 100</t>
  </si>
  <si>
    <t>FRS11 - From September 2006 key policy rate, before that various instruments applied.</t>
  </si>
  <si>
    <t>SC1050</t>
  </si>
  <si>
    <t>Central bank policy rate</t>
  </si>
  <si>
    <t>rsp1p1tsax_uni</t>
  </si>
  <si>
    <t>FRS17 - According to COICOP-classification.</t>
  </si>
  <si>
    <t>SC0701</t>
  </si>
  <si>
    <t>Consumer prices</t>
  </si>
  <si>
    <t>03_I_1_085_15avg</t>
  </si>
  <si>
    <t>index, monthly average, 2015 = 100</t>
  </si>
  <si>
    <t>rsp2xea</t>
  </si>
  <si>
    <t>SC1107</t>
  </si>
  <si>
    <t>Exchange rate nominal</t>
  </si>
  <si>
    <t>07_Exch_12</t>
  </si>
  <si>
    <t>NCU/EUR, period average</t>
  </si>
  <si>
    <t>rsbg11n</t>
  </si>
  <si>
    <t>SC1020</t>
  </si>
  <si>
    <t>General gov. budget - revenues</t>
  </si>
  <si>
    <t>01_Curr_12</t>
  </si>
  <si>
    <t>NCU m (incl. 'euro fixed' series)</t>
  </si>
  <si>
    <t>rsbg21n</t>
  </si>
  <si>
    <t>FRS07 - Including net lending</t>
  </si>
  <si>
    <t>SC1021</t>
  </si>
  <si>
    <t>General gov. budget - expenditures</t>
  </si>
  <si>
    <t>rsbg31px_q</t>
  </si>
  <si>
    <t>SC1022</t>
  </si>
  <si>
    <t>General gov. budget - balance</t>
  </si>
  <si>
    <t>09_Share_%gdp</t>
  </si>
  <si>
    <t>in % of GDP</t>
  </si>
  <si>
    <t>FZZ50 - Official refinancing operation rates for euro area (ECB), rate in fixed rate tenders (between June 2000 and September 2008 the minimum bid rate in variable rate tenders was applied).</t>
  </si>
  <si>
    <t>EA</t>
  </si>
  <si>
    <t>Euro area evolutionary</t>
  </si>
  <si>
    <t>usp2oila</t>
  </si>
  <si>
    <t>US</t>
  </si>
  <si>
    <t>United States</t>
  </si>
  <si>
    <t>SubScal(L_rsw11_tccx&gt;mdb,100)</t>
  </si>
  <si>
    <t>SubScal(CPPY=100(L_rsbg21n&gt;mdb),100)</t>
  </si>
  <si>
    <t>eup1p1tsa</t>
  </si>
  <si>
    <t>FZZ40 - Based on HICP (Harmonized Index of Consumer Prices).</t>
  </si>
  <si>
    <t>EU</t>
  </si>
  <si>
    <t>European Union evolutionary</t>
  </si>
  <si>
    <t>SubScal(L_eup1p1tscx&gt;mdb,100)</t>
  </si>
  <si>
    <t>eup1p1tscx</t>
  </si>
  <si>
    <t>03_I_32</t>
  </si>
  <si>
    <t>index, corresponding period of previous year = 100</t>
  </si>
  <si>
    <t>rslacaepx_q</t>
  </si>
  <si>
    <t>FZZ55 - From 2008 based on BPM6.</t>
  </si>
  <si>
    <t>SC1101</t>
  </si>
  <si>
    <t>Current account</t>
  </si>
  <si>
    <t>rslago2e</t>
  </si>
  <si>
    <t>FZZ80 - Based on BPM6.</t>
  </si>
  <si>
    <t>SC1111</t>
  </si>
  <si>
    <t>1.A.a. Goods exports, fob, credit</t>
  </si>
  <si>
    <t>01_Curr_23</t>
  </si>
  <si>
    <t>EUR m</t>
  </si>
  <si>
    <t>rslago3e</t>
  </si>
  <si>
    <t>SC1112</t>
  </si>
  <si>
    <t>1.A.a. Goods imports, fob, debit</t>
  </si>
  <si>
    <t>SubScal(L_rsa1211tscx&gt;mdb,100)</t>
  </si>
  <si>
    <t>rsa1211tscx</t>
  </si>
  <si>
    <t>SC0401</t>
  </si>
  <si>
    <t>Industrial output (BCD - NACE Rev. 2)</t>
  </si>
  <si>
    <t>05_Ireal_32</t>
  </si>
  <si>
    <t>index real, corresponding period of previous year = 100</t>
  </si>
  <si>
    <t>eug11tscrx_q</t>
  </si>
  <si>
    <t>EU27_2020</t>
  </si>
  <si>
    <t>EU - 27 countries (from 2020)</t>
  </si>
  <si>
    <t>05_Ireal_36</t>
  </si>
  <si>
    <t>real growth rate to corresponding period of previous year in %</t>
  </si>
  <si>
    <t>06_IntR_6</t>
  </si>
  <si>
    <t>% p.a., period average</t>
  </si>
  <si>
    <t>SubScal(CPPY=100(AddNull(L_rslago2e&gt;mdb,L_rslase2e&gt;mdb)),100)</t>
  </si>
  <si>
    <t>SubScal(CPPY=100(AddNull(L_rslago3e&gt;mdb,L_rslase3e&gt;mdb)),100)</t>
  </si>
  <si>
    <t>GDP_yoy</t>
  </si>
  <si>
    <t>cons_yoy</t>
  </si>
  <si>
    <t>gov_cons_yoy</t>
  </si>
  <si>
    <t>inv_yoy</t>
  </si>
  <si>
    <t>exp_gdp_yoy</t>
  </si>
  <si>
    <t>imp_gdp_yoy</t>
  </si>
  <si>
    <t>gov_cons_share</t>
  </si>
  <si>
    <t>inv_share</t>
  </si>
  <si>
    <t>exp_gdp_share</t>
  </si>
  <si>
    <t>imp_gdp_share</t>
  </si>
  <si>
    <t>SubScal(CPPY=100(L_rsg11tr15_q&gt;mdb),100)</t>
  </si>
  <si>
    <t>SubScal(CPPY=100(L_rsg222r15_q&gt;mdb),100)</t>
  </si>
  <si>
    <t>SubScal(CPPY=100(L_rsg223r15_q&gt;mdb),100)</t>
  </si>
  <si>
    <t>SubScal(CPPY=100(L_rsg224r15_q&gt;mdb),100)</t>
  </si>
  <si>
    <t>SubScal(CPPY=100(L_rsg228r15_q&gt;mdb),100)</t>
  </si>
  <si>
    <t>SubScal(CPPY=100(L_rsg229r15_q&gt;mdb),100)</t>
  </si>
  <si>
    <t>AddNull(L_rsg222px_q&gt;mdb,L_rsg22zpx_q&gt;mdb)</t>
  </si>
  <si>
    <t>rsg222px_q</t>
  </si>
  <si>
    <t>cons_share</t>
  </si>
  <si>
    <t>rsg223px_q</t>
  </si>
  <si>
    <t>rsg224px_q</t>
  </si>
  <si>
    <t>rsg228px_q</t>
  </si>
  <si>
    <t>rsg229px_q</t>
  </si>
  <si>
    <t>eafrr1tp_help</t>
  </si>
  <si>
    <t>gov_rev_yoy</t>
  </si>
  <si>
    <t>loans_HH</t>
  </si>
  <si>
    <t>czg222px_q</t>
  </si>
  <si>
    <t>CZ</t>
  </si>
  <si>
    <t>Czechia</t>
  </si>
  <si>
    <t>SubScal(CPPY=100(L_czg11tr15_q&gt;mdb),100)</t>
  </si>
  <si>
    <t>czg11tr15_q</t>
  </si>
  <si>
    <t>SubScal(CPPY=100(L_czg222r15_q&gt;mdb),100)</t>
  </si>
  <si>
    <t>czg222r15_q</t>
  </si>
  <si>
    <t>SubScal(CPPY=100(L_czg223r15_q&gt;mdb),100)</t>
  </si>
  <si>
    <t>czg223r15_q</t>
  </si>
  <si>
    <t>SubScal(CPPY=100(L_czg224r15_q&gt;mdb),100)</t>
  </si>
  <si>
    <t>czg224r15_q</t>
  </si>
  <si>
    <t>SubScal(CPPY=100(L_czg228r15_q&gt;mdb),100)</t>
  </si>
  <si>
    <t>czg228r15_q</t>
  </si>
  <si>
    <t>SubScal(CPPY=100(L_czg229r15_q&gt;mdb),100)</t>
  </si>
  <si>
    <t>czg229r15_q</t>
  </si>
  <si>
    <t>AddNull(L_czg222px_q&gt;mdb,L_czg22zpx_q&gt;mdb)</t>
  </si>
  <si>
    <t>czg223px_q</t>
  </si>
  <si>
    <t>czg224px_q</t>
  </si>
  <si>
    <t>czg228px_q</t>
  </si>
  <si>
    <t>czg229px_q</t>
  </si>
  <si>
    <t>czbg31px_q</t>
  </si>
  <si>
    <t>FZZ42 - According to ESA'10 excessive deficit procedure.</t>
  </si>
  <si>
    <t>SC1012</t>
  </si>
  <si>
    <t>General gov. budget (ESA'10, EDP) - balance</t>
  </si>
  <si>
    <t>cze51_ta_q</t>
  </si>
  <si>
    <t>cze5u_ta_q</t>
  </si>
  <si>
    <t>cze5u_tp_q</t>
  </si>
  <si>
    <t>czp2xea</t>
  </si>
  <si>
    <t>FZZ21 - Up to December 1998 ECU.</t>
  </si>
  <si>
    <t>SubScal(L_cza1211tscx&gt;mdb,100)</t>
  </si>
  <si>
    <t>cza1211tscx</t>
  </si>
  <si>
    <t>czlacaepx_q</t>
  </si>
  <si>
    <t>SubScal(CPPY=100(L_czbg21n_q&gt;mdb),100)</t>
  </si>
  <si>
    <t>czbg21n_q</t>
  </si>
  <si>
    <t>SC1011</t>
  </si>
  <si>
    <t>General gov. budget (ESA'10, EDP) - expenditures</t>
  </si>
  <si>
    <t>czbg11n_q</t>
  </si>
  <si>
    <t>SC1010</t>
  </si>
  <si>
    <t>General gov. budget (ESA'10, EDP) - revenues</t>
  </si>
  <si>
    <t>SubScal(L_czw11_tccx_q&gt;mdb,100)</t>
  </si>
  <si>
    <t>czw11_tccx_q</t>
  </si>
  <si>
    <t>czp1p1tsa</t>
  </si>
  <si>
    <t>SubScal(CPPY=100(AddNull(L_czlago2e_q&gt;mdb,L_czlase2e_q&gt;mdb)),100)</t>
  </si>
  <si>
    <t>czlago2e_q</t>
  </si>
  <si>
    <t>SubScal(CPPY=100(AddNull(L_czlago3e_q&gt;mdb,L_czlase3e_q&gt;mdb)),100)</t>
  </si>
  <si>
    <t>czlago3e_q</t>
  </si>
  <si>
    <t>SubScal(CPPY=100(L_rsbg11n&gt;mdb),100)</t>
  </si>
  <si>
    <t>SubScal(CPPY=100(L_czbg11n_q&gt;mdb),100)</t>
  </si>
  <si>
    <t>SubScal(CPPY=100(L_trbg21n_q&gt;mdb),100)</t>
  </si>
  <si>
    <t>trbg21n_q</t>
  </si>
  <si>
    <t>FZZ06 - According to ESA'95.</t>
  </si>
  <si>
    <t>TR</t>
  </si>
  <si>
    <t>Turkey</t>
  </si>
  <si>
    <t>SubScal(CPPY=100(L_trbg11n_q&gt;mdb),100)</t>
  </si>
  <si>
    <t>trbg11n_q</t>
  </si>
  <si>
    <t>SubScal(L_trw1211tccx_q&gt;mdb,100)</t>
  </si>
  <si>
    <t>trw1211tccx_q</t>
  </si>
  <si>
    <t>SC0602</t>
  </si>
  <si>
    <t>Average monthly gross wages in industry (BCD - NACE Rev. 2)</t>
  </si>
  <si>
    <t>trp1p1tsa</t>
  </si>
  <si>
    <t>SubScal(CPPY=100(AddNull(L_trlago2e_q&gt;mdb,L_trlase2e_q&gt;mdb)),100)</t>
  </si>
  <si>
    <t>trlago2e_q</t>
  </si>
  <si>
    <t>SubScal(CPPY=100(AddNull(L_trlago3e_q&gt;mdb,L_trlase3e_q&gt;mdb)),100)</t>
  </si>
  <si>
    <t>trlago3e_q</t>
  </si>
  <si>
    <t>trbg31px_q</t>
  </si>
  <si>
    <t>SubScal(CPPY=100(L_trg11tr15_q&gt;mdb),100)</t>
  </si>
  <si>
    <t>trg11tr15_q</t>
  </si>
  <si>
    <t>FTR10 - From 1998 ESA'10, SNA'68 before.</t>
  </si>
  <si>
    <t>SubScal(CPPY=100(L_trg222r15_q&gt;mdb),100)</t>
  </si>
  <si>
    <t>trg222r15_q</t>
  </si>
  <si>
    <t>FZZ90 - wiiw estimates.</t>
  </si>
  <si>
    <t>SubScal(CPPY=100(L_trg223r15_q&gt;mdb),100)</t>
  </si>
  <si>
    <t>trg223r15_q</t>
  </si>
  <si>
    <t>SubScal(CPPY=100(L_trg224r15_q&gt;mdb),100)</t>
  </si>
  <si>
    <t>trg224r15_q</t>
  </si>
  <si>
    <t>SubScal(CPPY=100(L_trg228r15_q&gt;mdb),100)</t>
  </si>
  <si>
    <t>trg228r15_q</t>
  </si>
  <si>
    <t>SubScal(CPPY=100(L_trg229r15_q&gt;mdb),100)</t>
  </si>
  <si>
    <t>trg229r15_q</t>
  </si>
  <si>
    <t>tre51_ta_q</t>
  </si>
  <si>
    <t>tre5u_ta_q</t>
  </si>
  <si>
    <t>tre5u_tp_q</t>
  </si>
  <si>
    <t>trp2xea</t>
  </si>
  <si>
    <t>SubScal(L_tra1211tscx&gt;mdb,100)</t>
  </si>
  <si>
    <t>tra1211tscx</t>
  </si>
  <si>
    <t>trlacaepx_q</t>
  </si>
  <si>
    <t>FTR30 - From 2010 based on BPM6.</t>
  </si>
  <si>
    <t>AddNull(L_trg222px_q&gt;mdb,L_trg22zpx_q&gt;mdb)</t>
  </si>
  <si>
    <t>trg222px_q</t>
  </si>
  <si>
    <t>trg223px_q</t>
  </si>
  <si>
    <t>trg224px_q</t>
  </si>
  <si>
    <t>trg228px_q</t>
  </si>
  <si>
    <t>trg229px_q</t>
  </si>
  <si>
    <t>SubScal(L_trfls14scx&gt;mdb,100)</t>
  </si>
  <si>
    <t>trfls14scx</t>
  </si>
  <si>
    <t>SC1066</t>
  </si>
  <si>
    <t>Loans households (S14)</t>
  </si>
  <si>
    <t>rug222px_q</t>
  </si>
  <si>
    <t>RU</t>
  </si>
  <si>
    <t>Russia</t>
  </si>
  <si>
    <t>rulacaepx_q</t>
  </si>
  <si>
    <t>AddNull(L_rug222px_q&gt;mdb,L_rug22zpx_q&gt;mdb)</t>
  </si>
  <si>
    <t>rug223px_q</t>
  </si>
  <si>
    <t>rug224px_q</t>
  </si>
  <si>
    <t>rug228px_q</t>
  </si>
  <si>
    <t>rug229px_q</t>
  </si>
  <si>
    <t>SubScal(CPPY=100(AddNull(L_rulago2ex_q&gt;mdb,L_rulase2ex_q&gt;mdb)),100)</t>
  </si>
  <si>
    <t>rulago2ex_q</t>
  </si>
  <si>
    <t>SubScal(CPPY=100(AddNull(L_rulago3ex_q&gt;mdb,L_rulase3ex_q&gt;mdb)),100)</t>
  </si>
  <si>
    <t>rulago3ex_q</t>
  </si>
  <si>
    <t>rup2xea</t>
  </si>
  <si>
    <t>SubScal(L_rua1211tscx&gt;mdb,100)</t>
  </si>
  <si>
    <t>rua1211tscx</t>
  </si>
  <si>
    <t>FZZ46 - Including E (water supply, sewerage, waste managemant, remediation).</t>
  </si>
  <si>
    <t>rup1p1tsax</t>
  </si>
  <si>
    <t>rue5u_tp</t>
  </si>
  <si>
    <t>FRU11 - From 2018 population age group 15+, 15-72 before.</t>
  </si>
  <si>
    <t>rue51_ta</t>
  </si>
  <si>
    <t>rue5u_ta</t>
  </si>
  <si>
    <t>rubg31px_q</t>
  </si>
  <si>
    <t>SubScal(CPPY=100(L_rug11tr15_q&gt;mdb),100)</t>
  </si>
  <si>
    <t>rug11tr15_q</t>
  </si>
  <si>
    <t>FRU05 - From 2012 SNA'08, SNA'93 before (FISIM not reallocated until 2001).</t>
  </si>
  <si>
    <t>SubScal(CPPY=100(L_rug222r15_q&gt;mdb),100)</t>
  </si>
  <si>
    <t>rug222r15_q</t>
  </si>
  <si>
    <t>SubScal(CPPY=100(L_rug223r15_q&gt;mdb),100)</t>
  </si>
  <si>
    <t>rug223r15_q</t>
  </si>
  <si>
    <t>SubScal(CPPY=100(L_rug224r15_q&gt;mdb),100)</t>
  </si>
  <si>
    <t>rug224r15_q</t>
  </si>
  <si>
    <t>SubScal(CPPY=100(L_rug228r15_q&gt;mdb),100)</t>
  </si>
  <si>
    <t>rug228r15_q</t>
  </si>
  <si>
    <t>SubScal(CPPY=100(L_rug229r15_q&gt;mdb),100)</t>
  </si>
  <si>
    <t>rug229r15_q</t>
  </si>
  <si>
    <t>SubScal(L_ruw11_tccx&gt;mdb,100)</t>
  </si>
  <si>
    <t>ruw11_tccx</t>
  </si>
  <si>
    <t>FRU49 - From 2016 including Crimean Federal District.</t>
  </si>
  <si>
    <t>SubScal(CPPY=100(L_rubg21nx&gt;mdb),100)</t>
  </si>
  <si>
    <t>rubg21nx</t>
  </si>
  <si>
    <t>SubScal(CPPY=100(L_rubg11nx&gt;mdb),100)</t>
  </si>
  <si>
    <t>rubg11nx</t>
  </si>
  <si>
    <t>FRU15 - One-week repo rate from September 2013, refinancing rate before.</t>
  </si>
  <si>
    <t>FCZ40 - Discount rate until 1995, from 1996 one-week repo rate, from 1988 two-week repo rate.</t>
  </si>
  <si>
    <t>FTR25 - From January 2010 one-week repo rate, overnight lending rate before.</t>
  </si>
  <si>
    <t>albgdtpx_help_q</t>
  </si>
  <si>
    <t>AL</t>
  </si>
  <si>
    <t>Albania</t>
  </si>
  <si>
    <t>SC1009</t>
  </si>
  <si>
    <t>General government gross debt, total</t>
  </si>
  <si>
    <t>bgbgdtpx_help_q</t>
  </si>
  <si>
    <t>BG</t>
  </si>
  <si>
    <t>Bulgaria</t>
  </si>
  <si>
    <t>bgbg31px_q</t>
  </si>
  <si>
    <t>SubScal(CPPY=100(L_bgg11tr15_q&gt;mdb),100)</t>
  </si>
  <si>
    <t>bgg11tr15_q</t>
  </si>
  <si>
    <t>SubScal(CPPY=100(L_bgg222r15_q&gt;mdb),100)</t>
  </si>
  <si>
    <t>bgg222r15_q</t>
  </si>
  <si>
    <t>SubScal(CPPY=100(L_bgg223r15_q&gt;mdb),100)</t>
  </si>
  <si>
    <t>bgg223r15_q</t>
  </si>
  <si>
    <t>SubScal(CPPY=100(L_bgg224r15_q&gt;mdb),100)</t>
  </si>
  <si>
    <t>bgg224r15_q</t>
  </si>
  <si>
    <t>SubScal(CPPY=100(L_bgg228r15_q&gt;mdb),100)</t>
  </si>
  <si>
    <t>bgg228r15_q</t>
  </si>
  <si>
    <t>SubScal(CPPY=100(L_bgg229r15_q&gt;mdb),100)</t>
  </si>
  <si>
    <t>bgg229r15_q</t>
  </si>
  <si>
    <t>bge51_ta_q</t>
  </si>
  <si>
    <t>bge5u_ta_q</t>
  </si>
  <si>
    <t>bge5u_tp_q</t>
  </si>
  <si>
    <t>SubScal(L_bgw11_tccx&gt;mdb,100)</t>
  </si>
  <si>
    <t>bgw11_tccx</t>
  </si>
  <si>
    <t>FBG13 - Up to 1998 public sector.</t>
  </si>
  <si>
    <t>bgp2xea</t>
  </si>
  <si>
    <t>SubScal(L_bga1211tscx&gt;mdb,100)</t>
  </si>
  <si>
    <t>bga1211tscx</t>
  </si>
  <si>
    <t>bglacaepx_q</t>
  </si>
  <si>
    <t>AddNull(L_bgg222px_q&gt;mdb,L_bgg22zpx_q&gt;mdb)</t>
  </si>
  <si>
    <t>bgg222px_q</t>
  </si>
  <si>
    <t>bgg223px_q</t>
  </si>
  <si>
    <t>bgg224px_q</t>
  </si>
  <si>
    <t>bgg228px_q</t>
  </si>
  <si>
    <t>bgg229px_q</t>
  </si>
  <si>
    <t>FZZ70 - Including NPISHs (S15).</t>
  </si>
  <si>
    <t>SubScal(CPPY=100(L_bgbg21n_q&gt;mdb),100)</t>
  </si>
  <si>
    <t>bgbg21n_q</t>
  </si>
  <si>
    <t>SubScal(CPPY=100(L_bgbg11n_q&gt;mdb),100)</t>
  </si>
  <si>
    <t>bgbg11n_q</t>
  </si>
  <si>
    <t>bgp1p1tsa</t>
  </si>
  <si>
    <t>SubScal(CPPY=100(AddNull(L_bglago2e_q&gt;mdb,L_bglase2e_q&gt;mdb)),100)</t>
  </si>
  <si>
    <t>bglago2e_q</t>
  </si>
  <si>
    <t>SubScal(CPPY=100(AddNull(L_bglago3e_q&gt;mdb,L_bglase3e_q&gt;mdb)),100)</t>
  </si>
  <si>
    <t>bglago3e_q</t>
  </si>
  <si>
    <t>FBG35 - Base interest rate - BIR. From 97 BG has a currency board. The BIR is a ref.rate based on the average interbank LEONIA rate of prev.month (valid from 05), yield on gov.securities before (97-04).</t>
  </si>
  <si>
    <t>06_IntR_1</t>
  </si>
  <si>
    <t>% p.a., end of period</t>
  </si>
  <si>
    <t>SubScal(CPPY=100(L_hrbg21n_q&gt;mdb),100)</t>
  </si>
  <si>
    <t>hrbg21n_q</t>
  </si>
  <si>
    <t>HR</t>
  </si>
  <si>
    <t>Croatia</t>
  </si>
  <si>
    <t>SubScal(CPPY=100(L_hrbg11n_q&gt;mdb),100)</t>
  </si>
  <si>
    <t>hrbg11n_q</t>
  </si>
  <si>
    <t>hrbg31px_q</t>
  </si>
  <si>
    <t>SubScal(CPPY=100(L_hrg11tr15_q&gt;mdb),100)</t>
  </si>
  <si>
    <t>hrg11tr15_q</t>
  </si>
  <si>
    <t>SubScal(CPPY=100(L_hrg222r15_q&gt;mdb),100)</t>
  </si>
  <si>
    <t>hrg222r15_q</t>
  </si>
  <si>
    <t>SubScal(CPPY=100(L_hrg223r15_q&gt;mdb),100)</t>
  </si>
  <si>
    <t>hrg223r15_q</t>
  </si>
  <si>
    <t>SubScal(CPPY=100(L_hrg224r15_q&gt;mdb),100)</t>
  </si>
  <si>
    <t>hrg224r15_q</t>
  </si>
  <si>
    <t>SubScal(CPPY=100(L_hrg228r15_q&gt;mdb),100)</t>
  </si>
  <si>
    <t>hrg228r15_q</t>
  </si>
  <si>
    <t>SubScal(CPPY=100(L_hrg229r15_q&gt;mdb),100)</t>
  </si>
  <si>
    <t>hrg229r15_q</t>
  </si>
  <si>
    <t>hre51_ta_q</t>
  </si>
  <si>
    <t>hre5u_ta_q</t>
  </si>
  <si>
    <t>hre5u_tp_q</t>
  </si>
  <si>
    <t>SubScal(L_hrw11_tccx&gt;mdb,100)</t>
  </si>
  <si>
    <t>hrw11_tccx</t>
  </si>
  <si>
    <t>hrp1p1tsa</t>
  </si>
  <si>
    <t>hrp2xea</t>
  </si>
  <si>
    <t>SubScal(L_hra1211tscx&gt;mdb,100)</t>
  </si>
  <si>
    <t>hra1211tscx</t>
  </si>
  <si>
    <t>SubScal(CPPY=100(AddNull(L_hrlago2e_q&gt;mdb,L_hrlase2e_q&gt;mdb)),100)</t>
  </si>
  <si>
    <t>hrlago2e_q</t>
  </si>
  <si>
    <t>SubScal(CPPY=100(AddNull(L_hrlago3e_q&gt;mdb,L_hrlase3e_q&gt;mdb)),100)</t>
  </si>
  <si>
    <t>hrlago3e_q</t>
  </si>
  <si>
    <t>hrlacaepx_q</t>
  </si>
  <si>
    <t>AddNull(L_hrg222px_q&gt;mdb,L_hrg22zpx_q&gt;mdb)</t>
  </si>
  <si>
    <t>hrg222px_q</t>
  </si>
  <si>
    <t>hrg223px_q</t>
  </si>
  <si>
    <t>hrg224px_q</t>
  </si>
  <si>
    <t>hrg228px_q</t>
  </si>
  <si>
    <t>hrg229px_q</t>
  </si>
  <si>
    <t>hrbgdtpx_help_q</t>
  </si>
  <si>
    <t>Indicator_rsort</t>
  </si>
  <si>
    <t>Indicator_rlong</t>
  </si>
  <si>
    <t>Unit_rsort</t>
  </si>
  <si>
    <t>Unit_rlong</t>
  </si>
  <si>
    <t>SubScal(CPPY=100(L_eebg21n_q&gt;mdb),100)</t>
  </si>
  <si>
    <t>eebg21n_q</t>
  </si>
  <si>
    <t>FZZ56 - From 2002 according to ESA'10 excessive deficit procedure, ESA'95 before.</t>
  </si>
  <si>
    <t>EE</t>
  </si>
  <si>
    <t>Estonia</t>
  </si>
  <si>
    <t>SubScal(CPPY=100(L_eebg11n_q&gt;mdb),100)</t>
  </si>
  <si>
    <t>eebg11n_q</t>
  </si>
  <si>
    <t>eebg31px_q</t>
  </si>
  <si>
    <t>SubScal(CPPY=100(L_eeg11tr15_q&gt;mdb),100)</t>
  </si>
  <si>
    <t>eeg11tr15_q</t>
  </si>
  <si>
    <t>SubScal(CPPY=100(L_eeg222r15_q&gt;mdb),100)</t>
  </si>
  <si>
    <t>eeg222r15_q</t>
  </si>
  <si>
    <t>SubScal(CPPY=100(L_eeg223r15_q&gt;mdb),100)</t>
  </si>
  <si>
    <t>eeg223r15_q</t>
  </si>
  <si>
    <t>SubScal(CPPY=100(L_eeg224r15_q&gt;mdb),100)</t>
  </si>
  <si>
    <t>eeg224r15_q</t>
  </si>
  <si>
    <t>SubScal(CPPY=100(L_eeg228r15_q&gt;mdb),100)</t>
  </si>
  <si>
    <t>eeg228r15_q</t>
  </si>
  <si>
    <t>SubScal(CPPY=100(L_eeg229r15_q&gt;mdb),100)</t>
  </si>
  <si>
    <t>eeg229r15_q</t>
  </si>
  <si>
    <t>eee51_ta_q</t>
  </si>
  <si>
    <t>eee5u_ta_q</t>
  </si>
  <si>
    <t>eee5u_tp_q</t>
  </si>
  <si>
    <t>FEE02 - From January 2011 euro area official refinancing operation rate, 1996-2010 TALIBOR 1-month interbank offered rate (Estonia had a currency board).</t>
  </si>
  <si>
    <t>eep1p1tsa</t>
  </si>
  <si>
    <t>eep2xea</t>
  </si>
  <si>
    <t>SubScal(L_eea1211tscx&gt;mdb,100)</t>
  </si>
  <si>
    <t>eea1211tscx</t>
  </si>
  <si>
    <t>SubScal(CPPY=100(AddNull(L_eelago2e_q&gt;mdb,L_eelase2e_q&gt;mdb)),100)</t>
  </si>
  <si>
    <t>eelago2e_q</t>
  </si>
  <si>
    <t>SubScal(CPPY=100(AddNull(L_eelago3e_q&gt;mdb,L_eelase3e_q&gt;mdb)),100)</t>
  </si>
  <si>
    <t>eelago3e_q</t>
  </si>
  <si>
    <t>eelacaepx_q</t>
  </si>
  <si>
    <t>AddNull(L_eeg222px_q&gt;mdb,L_eeg22zpx_q&gt;mdb)</t>
  </si>
  <si>
    <t>eeg222px_q</t>
  </si>
  <si>
    <t>eeg223px_q</t>
  </si>
  <si>
    <t>eeg224px_q</t>
  </si>
  <si>
    <t>eeg228px_q</t>
  </si>
  <si>
    <t>eeg229px_q</t>
  </si>
  <si>
    <t>eebgdtpx_help_q</t>
  </si>
  <si>
    <t>SubScal(L_eew11_tccx_q&gt;mdb,100)</t>
  </si>
  <si>
    <t>eew11_tccx_q</t>
  </si>
  <si>
    <t>SubScal(L_huw11_gccx&gt;mdb,100)</t>
  </si>
  <si>
    <t>huw11_gccx</t>
  </si>
  <si>
    <t>HU</t>
  </si>
  <si>
    <t>Hungary</t>
  </si>
  <si>
    <t>SubScal(CPPY=100(L_hubg21n_q&gt;mdb),100)</t>
  </si>
  <si>
    <t>hubg21n_q</t>
  </si>
  <si>
    <t>SubScal(CPPY=100(L_hubg11n_q&gt;mdb),100)</t>
  </si>
  <si>
    <t>hubg11n_q</t>
  </si>
  <si>
    <t>hubg31px_q</t>
  </si>
  <si>
    <t>SubScal(CPPY=100(L_hug11tr15_q&gt;mdb),100)</t>
  </si>
  <si>
    <t>hug11tr15_q</t>
  </si>
  <si>
    <t>SubScal(CPPY=100(L_hug222r15_q&gt;mdb),100)</t>
  </si>
  <si>
    <t>hug222r15_q</t>
  </si>
  <si>
    <t>SubScal(CPPY=100(L_hug223r15_q&gt;mdb),100)</t>
  </si>
  <si>
    <t>hug223r15_q</t>
  </si>
  <si>
    <t>SubScal(CPPY=100(L_hug224r15_q&gt;mdb),100)</t>
  </si>
  <si>
    <t>hug224r15_q</t>
  </si>
  <si>
    <t>SubScal(CPPY=100(L_hug228r15_q&gt;mdb),100)</t>
  </si>
  <si>
    <t>hug228r15_q</t>
  </si>
  <si>
    <t>SubScal(CPPY=100(L_hug229r15_q&gt;mdb),100)</t>
  </si>
  <si>
    <t>hug229r15_q</t>
  </si>
  <si>
    <t>hue51_ta_q</t>
  </si>
  <si>
    <t>hue5u_ta_q</t>
  </si>
  <si>
    <t>hue5u_tp_q</t>
  </si>
  <si>
    <t>FHU35 - Base rate (various instruments applied).</t>
  </si>
  <si>
    <t>hup1p1tsa</t>
  </si>
  <si>
    <t>hup2xea</t>
  </si>
  <si>
    <t>SubScal(L_hua1211tscx&gt;mdb,100)</t>
  </si>
  <si>
    <t>hua1211tscx</t>
  </si>
  <si>
    <t>SubScal(CPPY=100(AddNull(L_hulago2e_q&gt;mdb,L_hulase2e_q&gt;mdb)),100)</t>
  </si>
  <si>
    <t>hulago2e_q</t>
  </si>
  <si>
    <t>SubScal(CPPY=100(AddNull(L_hulago3e_q&gt;mdb,L_hulase3e_q&gt;mdb)),100)</t>
  </si>
  <si>
    <t>hulago3e_q</t>
  </si>
  <si>
    <t>hulacaepx_q</t>
  </si>
  <si>
    <t>AddNull(L_hug222px_q&gt;mdb,L_hug22zpx_q&gt;mdb)</t>
  </si>
  <si>
    <t>hug222px_q</t>
  </si>
  <si>
    <t>hug223px_q</t>
  </si>
  <si>
    <t>hug224px_q</t>
  </si>
  <si>
    <t>hug228px_q</t>
  </si>
  <si>
    <t>hug229px_q</t>
  </si>
  <si>
    <t>hubgdtpx_help_q</t>
  </si>
  <si>
    <t>SubScal(CPPY=100(L_lvbg21n_q&gt;mdb),100)</t>
  </si>
  <si>
    <t>lvbg21n_q</t>
  </si>
  <si>
    <t>LV</t>
  </si>
  <si>
    <t>Latvia</t>
  </si>
  <si>
    <t>SubScal(CPPY=100(L_lvbg11n_q&gt;mdb),100)</t>
  </si>
  <si>
    <t>lvbg11n_q</t>
  </si>
  <si>
    <t>lvbg31px_q</t>
  </si>
  <si>
    <t>SubScal(CPPY=100(L_lvg11tr15_q&gt;mdb),100)</t>
  </si>
  <si>
    <t>lvg11tr15_q</t>
  </si>
  <si>
    <t>SubScal(CPPY=100(L_lvg222r15_q&gt;mdb),100)</t>
  </si>
  <si>
    <t>lvg222r15_q</t>
  </si>
  <si>
    <t>SubScal(CPPY=100(L_lvg223r15_q&gt;mdb),100)</t>
  </si>
  <si>
    <t>lvg223r15_q</t>
  </si>
  <si>
    <t>SubScal(CPPY=100(L_lvg224r15_q&gt;mdb),100)</t>
  </si>
  <si>
    <t>lvg224r15_q</t>
  </si>
  <si>
    <t>SubScal(CPPY=100(L_lvg228r15_q&gt;mdb),100)</t>
  </si>
  <si>
    <t>lvg228r15_q</t>
  </si>
  <si>
    <t>SubScal(CPPY=100(L_lvg229r15_q&gt;mdb),100)</t>
  </si>
  <si>
    <t>lvg229r15_q</t>
  </si>
  <si>
    <t>lve51_ta_q</t>
  </si>
  <si>
    <t>lve5u_ta_q</t>
  </si>
  <si>
    <t>lve5u_tp_q</t>
  </si>
  <si>
    <t>SubScal(L_lvw11_tccx&gt;mdb,100)</t>
  </si>
  <si>
    <t>lvw11_tccx</t>
  </si>
  <si>
    <t>FLV03 - From January 2014 euro area official refinancing operation rate, national refinancing rate before.</t>
  </si>
  <si>
    <t>lvp1p1tsa</t>
  </si>
  <si>
    <t>lvp2xea</t>
  </si>
  <si>
    <t>SubScal(L_lva1211tscx&gt;mdb,100)</t>
  </si>
  <si>
    <t>lva1211tscx</t>
  </si>
  <si>
    <t>SubScal(CPPY=100(AddNull(L_lvlago2e_q&gt;mdb,L_lvlase2e_q&gt;mdb)),100)</t>
  </si>
  <si>
    <t>lvlago2e_q</t>
  </si>
  <si>
    <t>SubScal(CPPY=100(AddNull(L_lvlago3e_q&gt;mdb,L_lvlase3e_q&gt;mdb)),100)</t>
  </si>
  <si>
    <t>lvlago3e_q</t>
  </si>
  <si>
    <t>lvlacaepx_q</t>
  </si>
  <si>
    <t>AddNull(L_lvg222px_q&gt;mdb,L_lvg22zpx_q&gt;mdb)</t>
  </si>
  <si>
    <t>lvg222px_q</t>
  </si>
  <si>
    <t>lvg223px_q</t>
  </si>
  <si>
    <t>lvg224px_q</t>
  </si>
  <si>
    <t>lvg228px_q</t>
  </si>
  <si>
    <t>lvg229px_q</t>
  </si>
  <si>
    <t>lvbgdtpx_help_q</t>
  </si>
  <si>
    <t>SubScal(CPPY=100(L_ltbg21n_q&gt;mdb),100)</t>
  </si>
  <si>
    <t>ltbg21n_q</t>
  </si>
  <si>
    <t>LT</t>
  </si>
  <si>
    <t>Lithuania</t>
  </si>
  <si>
    <t>SubScal(CPPY=100(L_ltbg11n_q&gt;mdb),100)</t>
  </si>
  <si>
    <t>ltbg11n_q</t>
  </si>
  <si>
    <t>ltbg31px_q</t>
  </si>
  <si>
    <t>SubScal(CPPY=100(L_ltg11tr15_q&gt;mdb),100)</t>
  </si>
  <si>
    <t>ltg11tr15_q</t>
  </si>
  <si>
    <t>SubScal(CPPY=100(L_ltg222r15_q&gt;mdb),100)</t>
  </si>
  <si>
    <t>ltg222r15_q</t>
  </si>
  <si>
    <t>SubScal(CPPY=100(L_ltg223r15_q&gt;mdb),100)</t>
  </si>
  <si>
    <t>ltg223r15_q</t>
  </si>
  <si>
    <t>SubScal(CPPY=100(L_ltg224r15_q&gt;mdb),100)</t>
  </si>
  <si>
    <t>ltg224r15_q</t>
  </si>
  <si>
    <t>SubScal(CPPY=100(L_ltg228r15_q&gt;mdb),100)</t>
  </si>
  <si>
    <t>ltg228r15_q</t>
  </si>
  <si>
    <t>SubScal(CPPY=100(L_ltg229r15_q&gt;mdb),100)</t>
  </si>
  <si>
    <t>ltg229r15_q</t>
  </si>
  <si>
    <t>lte51_ta_q</t>
  </si>
  <si>
    <t>lte5u_ta_q</t>
  </si>
  <si>
    <t>lte5u_tp_q</t>
  </si>
  <si>
    <t>FLT02 - From January 2015 euro area official refinancing operation rate, VILIBOR 1-month interbank offered rate (Lithuania had a currency board) before.</t>
  </si>
  <si>
    <t>ltp1p1tsa</t>
  </si>
  <si>
    <t>ltp2xea</t>
  </si>
  <si>
    <t>FLT12 - Until December 2014 EUR-LTL per EUR.</t>
  </si>
  <si>
    <t>SubScal(L_lta1211tscx&gt;mdb,100)</t>
  </si>
  <si>
    <t>lta1211tscx</t>
  </si>
  <si>
    <t>FZZ01 - Sold production.</t>
  </si>
  <si>
    <t>SubScal(CPPY=100(AddNull(L_ltlago2e_q&gt;mdb,L_ltlase2e_q&gt;mdb)),100)</t>
  </si>
  <si>
    <t>ltlago2e_q</t>
  </si>
  <si>
    <t>SubScal(CPPY=100(AddNull(L_ltlago3e_q&gt;mdb,L_ltlase3e_q&gt;mdb)),100)</t>
  </si>
  <si>
    <t>ltlago3e_q</t>
  </si>
  <si>
    <t>ltlacaepx_q</t>
  </si>
  <si>
    <t>AddNull(L_ltg222px_q&gt;mdb,L_ltg22zpx_q&gt;mdb)</t>
  </si>
  <si>
    <t>ltg222px_q</t>
  </si>
  <si>
    <t>ltg223px_q</t>
  </si>
  <si>
    <t>ltg224px_q</t>
  </si>
  <si>
    <t>ltg228px_q</t>
  </si>
  <si>
    <t>ltg229px_q</t>
  </si>
  <si>
    <t>ltbgdtpx_help_q</t>
  </si>
  <si>
    <t>SubScal(L_ltw11_tccx_q&gt;mdb,100)</t>
  </si>
  <si>
    <t>ltw11_tccx_q</t>
  </si>
  <si>
    <t>FLT07 - From 2019 the employer's social security contribution (28.9%) was transferred to the employees; growth in 2019 estimated by wiiw.</t>
  </si>
  <si>
    <t>SubScal(CPPY=100(L_plbg21n_q&gt;mdb),100)</t>
  </si>
  <si>
    <t>plbg21n_q</t>
  </si>
  <si>
    <t>PL</t>
  </si>
  <si>
    <t>Poland</t>
  </si>
  <si>
    <t>SubScal(CPPY=100(L_plbg11n_q&gt;mdb),100)</t>
  </si>
  <si>
    <t>plbg11n_q</t>
  </si>
  <si>
    <t>plbg31px_q</t>
  </si>
  <si>
    <t>SubScal(CPPY=100(L_plg11tr15_q&gt;mdb),100)</t>
  </si>
  <si>
    <t>plg11tr15_q</t>
  </si>
  <si>
    <t>SubScal(CPPY=100(L_plg222r15_q&gt;mdb),100)</t>
  </si>
  <si>
    <t>plg222r15_q</t>
  </si>
  <si>
    <t>SubScal(CPPY=100(L_plg223r15_q&gt;mdb),100)</t>
  </si>
  <si>
    <t>plg223r15_q</t>
  </si>
  <si>
    <t>SubScal(CPPY=100(L_plg224r15_q&gt;mdb),100)</t>
  </si>
  <si>
    <t>plg224r15_q</t>
  </si>
  <si>
    <t>SubScal(CPPY=100(L_plg228r15_q&gt;mdb),100)</t>
  </si>
  <si>
    <t>plg228r15_q</t>
  </si>
  <si>
    <t>SubScal(CPPY=100(L_plg229r15_q&gt;mdb),100)</t>
  </si>
  <si>
    <t>plg229r15_q</t>
  </si>
  <si>
    <t>ple51_ta_q</t>
  </si>
  <si>
    <t>ple5u_ta_q</t>
  </si>
  <si>
    <t>ple5u_tp_q</t>
  </si>
  <si>
    <t>FPL39 - From January 1998 reference rate (7-day open market operations fom 2005), basic refinancing rate before.</t>
  </si>
  <si>
    <t>plp1p1tsa</t>
  </si>
  <si>
    <t>plp2xea</t>
  </si>
  <si>
    <t>SubScal(L_pla1211tscx&gt;mdb,100)</t>
  </si>
  <si>
    <t>pla1211tscx</t>
  </si>
  <si>
    <t>SubScal(CPPY=100(AddNull(L_pllago2e_q&gt;mdb,L_pllase2e_q&gt;mdb)),100)</t>
  </si>
  <si>
    <t>pllago2e_q</t>
  </si>
  <si>
    <t>SubScal(CPPY=100(AddNull(L_pllago3e_q&gt;mdb,L_pllase3e_q&gt;mdb)),100)</t>
  </si>
  <si>
    <t>pllago3e_q</t>
  </si>
  <si>
    <t>pllacaepx_q</t>
  </si>
  <si>
    <t>AddNull(L_plg222px_q&gt;mdb,L_plg22zpx_q&gt;mdb)</t>
  </si>
  <si>
    <t>plg222px_q</t>
  </si>
  <si>
    <t>plg223px_q</t>
  </si>
  <si>
    <t>plg224px_q</t>
  </si>
  <si>
    <t>plg228px_q</t>
  </si>
  <si>
    <t>plg229px_q</t>
  </si>
  <si>
    <t>plbgdtpx_help_q</t>
  </si>
  <si>
    <t>SubScal(L_plw11_gccx&gt;mdb,100)</t>
  </si>
  <si>
    <t>plw11_gccx</t>
  </si>
  <si>
    <t>FPL17 - Enterprises employing 6 and more persons, from January 2000 enterprises employing 10 and more persons.</t>
  </si>
  <si>
    <t>SubScal(CPPY=100(L_robg21n_q&gt;mdb),100)</t>
  </si>
  <si>
    <t>robg21n_q</t>
  </si>
  <si>
    <t>RO</t>
  </si>
  <si>
    <t>Romania</t>
  </si>
  <si>
    <t>SubScal(CPPY=100(L_robg11n_q&gt;mdb),100)</t>
  </si>
  <si>
    <t>robg11n_q</t>
  </si>
  <si>
    <t>robg31px_q</t>
  </si>
  <si>
    <t>SubScal(CPPY=100(L_rog11tr15_q&gt;mdb),100)</t>
  </si>
  <si>
    <t>rog11tr15_q</t>
  </si>
  <si>
    <t>SubScal(CPPY=100(L_rog222r15_q&gt;mdb),100)</t>
  </si>
  <si>
    <t>rog222r15_q</t>
  </si>
  <si>
    <t>SubScal(CPPY=100(L_rog223r15_q&gt;mdb),100)</t>
  </si>
  <si>
    <t>rog223r15_q</t>
  </si>
  <si>
    <t>SubScal(CPPY=100(L_rog224r15_q&gt;mdb),100)</t>
  </si>
  <si>
    <t>rog224r15_q</t>
  </si>
  <si>
    <t>SubScal(CPPY=100(L_rog228r15_q&gt;mdb),100)</t>
  </si>
  <si>
    <t>rog228r15_q</t>
  </si>
  <si>
    <t>SubScal(CPPY=100(L_rog229r15_q&gt;mdb),100)</t>
  </si>
  <si>
    <t>rog229r15_q</t>
  </si>
  <si>
    <t>roe51_ta_q</t>
  </si>
  <si>
    <t>roe5u_ta_q</t>
  </si>
  <si>
    <t>roe5u_tp_q</t>
  </si>
  <si>
    <t>SubScal(L_row11_tccx&gt;mdb,100)</t>
  </si>
  <si>
    <t>row11_tccx</t>
  </si>
  <si>
    <t>FRO10 - From January 2002 enterprises with 4 and more employees.</t>
  </si>
  <si>
    <t>FRO06 - One-week repo rate, Feb 2002-Dec 2002 reference rate, discount rate before.</t>
  </si>
  <si>
    <t>rop1p1tsa</t>
  </si>
  <si>
    <t>rop2xea</t>
  </si>
  <si>
    <t>SubScal(L_roa1211tscx&gt;mdb,100)</t>
  </si>
  <si>
    <t>roa1211tscx</t>
  </si>
  <si>
    <t>FRO28 - Enterprises with 4 and more employees.</t>
  </si>
  <si>
    <t>SubScal(CPPY=100(AddNull(L_rolago2e_q&gt;mdb,L_rolase2e_q&gt;mdb)),100)</t>
  </si>
  <si>
    <t>rolago2e_q</t>
  </si>
  <si>
    <t>SubScal(CPPY=100(AddNull(L_rolago3e_q&gt;mdb,L_rolase3e_q&gt;mdb)),100)</t>
  </si>
  <si>
    <t>rolago3e_q</t>
  </si>
  <si>
    <t>rolacaepx_q</t>
  </si>
  <si>
    <t>AddNull(L_rog222px_q&gt;mdb,L_rog22zpx_q&gt;mdb)</t>
  </si>
  <si>
    <t>rog222px_q</t>
  </si>
  <si>
    <t>rog223px_q</t>
  </si>
  <si>
    <t>rog224px_q</t>
  </si>
  <si>
    <t>rog228px_q</t>
  </si>
  <si>
    <t>rog229px_q</t>
  </si>
  <si>
    <t>FRO35 - From 2006 institutional sectors defined by ESA'95, national allocation before.</t>
  </si>
  <si>
    <t>robgdtpx_help_q</t>
  </si>
  <si>
    <t>SubScal(CPPY=100(L_sibg21n_q&gt;mdb),100)</t>
  </si>
  <si>
    <t>sibg21n_q</t>
  </si>
  <si>
    <t>SI</t>
  </si>
  <si>
    <t>Slovenia</t>
  </si>
  <si>
    <t>SubScal(CPPY=100(L_sibg11n_q&gt;mdb),100)</t>
  </si>
  <si>
    <t>sibg11n_q</t>
  </si>
  <si>
    <t>sibg31px_q</t>
  </si>
  <si>
    <t>SubScal(CPPY=100(L_sig11tr15_q&gt;mdb),100)</t>
  </si>
  <si>
    <t>sig11tr15_q</t>
  </si>
  <si>
    <t>SubScal(CPPY=100(L_sig222r15_q&gt;mdb),100)</t>
  </si>
  <si>
    <t>sig222r15_q</t>
  </si>
  <si>
    <t>SubScal(CPPY=100(L_sig223r15_q&gt;mdb),100)</t>
  </si>
  <si>
    <t>sig223r15_q</t>
  </si>
  <si>
    <t>SubScal(CPPY=100(L_sig224r15_q&gt;mdb),100)</t>
  </si>
  <si>
    <t>sig224r15_q</t>
  </si>
  <si>
    <t>SubScal(CPPY=100(L_sig228r15_q&gt;mdb),100)</t>
  </si>
  <si>
    <t>sig228r15_q</t>
  </si>
  <si>
    <t>SubScal(CPPY=100(L_sig229r15_q&gt;mdb),100)</t>
  </si>
  <si>
    <t>sig229r15_q</t>
  </si>
  <si>
    <t>sie51_ta_q</t>
  </si>
  <si>
    <t>sie5u_ta_q</t>
  </si>
  <si>
    <t>sie5u_tp_q</t>
  </si>
  <si>
    <t>SubScal(L_siw11_tccx&gt;mdb,100)</t>
  </si>
  <si>
    <t>siw11_tccx</t>
  </si>
  <si>
    <t>FSI19 - Until Dec 2004 legal persons with 1 or 2 employees in private sector are not taken into account.</t>
  </si>
  <si>
    <t>FSI26 - From January 2007 euro area official refinancing operation rate, Oct 2001-Dec 2006 main refinancing rate, discount rate before.</t>
  </si>
  <si>
    <t>sip1p1tsa</t>
  </si>
  <si>
    <t>sip2xea</t>
  </si>
  <si>
    <t>SubScal(L_sia1211tscx&gt;mdb,100)</t>
  </si>
  <si>
    <t>sia1211tscx</t>
  </si>
  <si>
    <t>SubScal(CPPY=100(AddNull(L_silago2e_q&gt;mdb,L_silase2e_q&gt;mdb)),100)</t>
  </si>
  <si>
    <t>silago2e_q</t>
  </si>
  <si>
    <t>SubScal(CPPY=100(AddNull(L_silago3e_q&gt;mdb,L_silase3e_q&gt;mdb)),100)</t>
  </si>
  <si>
    <t>silago3e_q</t>
  </si>
  <si>
    <t>silacaepx_q</t>
  </si>
  <si>
    <t>AddNull(L_sig222px_q&gt;mdb,L_sig22zpx_q&gt;mdb)</t>
  </si>
  <si>
    <t>sig222px_q</t>
  </si>
  <si>
    <t>sig223px_q</t>
  </si>
  <si>
    <t>sig224px_q</t>
  </si>
  <si>
    <t>sig228px_q</t>
  </si>
  <si>
    <t>sig229px_q</t>
  </si>
  <si>
    <t>sibgdtpx_help_q</t>
  </si>
  <si>
    <t>SubScal(CPPY=100(L_skbg21n_q&gt;mdb),100)</t>
  </si>
  <si>
    <t>skbg21n_q</t>
  </si>
  <si>
    <t>SK</t>
  </si>
  <si>
    <t>Slovakia</t>
  </si>
  <si>
    <t>SubScal(CPPY=100(L_skbg11n_q&gt;mdb),100)</t>
  </si>
  <si>
    <t>skbg11n_q</t>
  </si>
  <si>
    <t>skbg31px_q</t>
  </si>
  <si>
    <t>SubScal(CPPY=100(L_skg11tr15_q&gt;mdb),100)</t>
  </si>
  <si>
    <t>skg11tr15_q</t>
  </si>
  <si>
    <t>SubScal(CPPY=100(L_skg222r15_q&gt;mdb),100)</t>
  </si>
  <si>
    <t>skg222r15_q</t>
  </si>
  <si>
    <t>SubScal(CPPY=100(L_skg223r15_q&gt;mdb),100)</t>
  </si>
  <si>
    <t>skg223r15_q</t>
  </si>
  <si>
    <t>SubScal(CPPY=100(L_skg224r15_q&gt;mdb),100)</t>
  </si>
  <si>
    <t>skg224r15_q</t>
  </si>
  <si>
    <t>SubScal(CPPY=100(L_skg228r15_q&gt;mdb),100)</t>
  </si>
  <si>
    <t>skg228r15_q</t>
  </si>
  <si>
    <t>SubScal(CPPY=100(L_skg229r15_q&gt;mdb),100)</t>
  </si>
  <si>
    <t>skg229r15_q</t>
  </si>
  <si>
    <t>ske51_ta_q</t>
  </si>
  <si>
    <t>ske5u_ta_q</t>
  </si>
  <si>
    <t>ske5u_tp_q</t>
  </si>
  <si>
    <t>FSK45 - From January 2009 euro area official refinancing operation rate, 2003-2008 two-week repo rate, discount rate before.</t>
  </si>
  <si>
    <t>skp1p1tsa</t>
  </si>
  <si>
    <t>skp2xea</t>
  </si>
  <si>
    <t>SubScal(L_ska1211tscx&gt;mdb,100)</t>
  </si>
  <si>
    <t>ska1211tscx</t>
  </si>
  <si>
    <t>SubScal(CPPY=100(AddNull(L_sklago2e_q&gt;mdb,L_sklase2e_q&gt;mdb)),100)</t>
  </si>
  <si>
    <t>sklago2e_q</t>
  </si>
  <si>
    <t>SubScal(CPPY=100(AddNull(L_sklago3e_q&gt;mdb,L_sklase3e_q&gt;mdb)),100)</t>
  </si>
  <si>
    <t>sklago3e_q</t>
  </si>
  <si>
    <t>sklacaepx_q</t>
  </si>
  <si>
    <t>AddNull(L_skg222px_q&gt;mdb,L_skg22zpx_q&gt;mdb)</t>
  </si>
  <si>
    <t>skg222px_q</t>
  </si>
  <si>
    <t>skg223px_q</t>
  </si>
  <si>
    <t>skg224px_q</t>
  </si>
  <si>
    <t>skg228px_q</t>
  </si>
  <si>
    <t>skg229px_q</t>
  </si>
  <si>
    <t>skbgdtpx_help_q</t>
  </si>
  <si>
    <t>SubScal(L_skw11_tccx_q&gt;mdb,100)</t>
  </si>
  <si>
    <t>skw11_tccx_q</t>
  </si>
  <si>
    <t>FSK53 - From 2006 including wages of armed forces.</t>
  </si>
  <si>
    <t>mkbg31px_q</t>
  </si>
  <si>
    <t>FMK10 - Central government budget plus extra-budgetary funds.</t>
  </si>
  <si>
    <t>MK</t>
  </si>
  <si>
    <t>North Macedonia</t>
  </si>
  <si>
    <t>SubScal(CPPY=100(L_mkg11tr15_q&gt;mdb),100)</t>
  </si>
  <si>
    <t>mkg11tr15_q</t>
  </si>
  <si>
    <t>SubScal(CPPY=100(L_mkg222r15_q&gt;mdb),100)</t>
  </si>
  <si>
    <t>mkg222r15_q</t>
  </si>
  <si>
    <t>FZZ07 - Including expenditures of NPISHs.</t>
  </si>
  <si>
    <t>SubScal(CPPY=100(L_mkg223r15_q&gt;mdb),100)</t>
  </si>
  <si>
    <t>mkg223r15_q</t>
  </si>
  <si>
    <t>SubScal(CPPY=100(L_mkg224r15_q&gt;mdb),100)</t>
  </si>
  <si>
    <t>mkg224r15_q</t>
  </si>
  <si>
    <t>SubScal(CPPY=100(L_mkg228r15_q&gt;mdb),100)</t>
  </si>
  <si>
    <t>mkg228r15_q</t>
  </si>
  <si>
    <t>SubScal(CPPY=100(L_mkg229r15_q&gt;mdb),100)</t>
  </si>
  <si>
    <t>mkg229r15_q</t>
  </si>
  <si>
    <t>mke51_ta_q</t>
  </si>
  <si>
    <t>mke5u_ta_q</t>
  </si>
  <si>
    <t>mke5u_tp_q</t>
  </si>
  <si>
    <t>SubScal(L_mkw11_tccx&gt;mdb,100)</t>
  </si>
  <si>
    <t>mkw11_tccx</t>
  </si>
  <si>
    <t>FMK11 - From January 2009 including allowances for food and transport, growth rates not fully comparable.</t>
  </si>
  <si>
    <t>FMK13 - Central bank bills (28 days from Nov 1999, 30 days in 1997-1998, 60 days before).</t>
  </si>
  <si>
    <t>mkp2xea</t>
  </si>
  <si>
    <t>SubScal(L_mka1211tscx&gt;mdb,100)</t>
  </si>
  <si>
    <t>mka1211tscx</t>
  </si>
  <si>
    <t>FZZ49 - Enterprises with 10 and more employees.</t>
  </si>
  <si>
    <t>SubScal(CPPY=100(AddNull(L_mklago2e_q&gt;mdb,L_mklase2e_q&gt;mdb)),100)</t>
  </si>
  <si>
    <t>mklago2e_q</t>
  </si>
  <si>
    <t>SubScal(CPPY=100(AddNull(L_mklago3e_q&gt;mdb,L_mklase3e_q&gt;mdb)),100)</t>
  </si>
  <si>
    <t>mklago3e_q</t>
  </si>
  <si>
    <t>mklacaepx_q</t>
  </si>
  <si>
    <t>mkg222px_q</t>
  </si>
  <si>
    <t>mkg223px_q</t>
  </si>
  <si>
    <t>mkg224px_q</t>
  </si>
  <si>
    <t>mkg228px_q</t>
  </si>
  <si>
    <t>mkg229px_q</t>
  </si>
  <si>
    <t>mkbgdtpx_help_q</t>
  </si>
  <si>
    <t>SubScal(CPPY=100(L_mkbg21n&gt;mdb),100)</t>
  </si>
  <si>
    <t>mkbg21n</t>
  </si>
  <si>
    <t>SubScal(CPPY=100(L_mkbg11n&gt;mdb),100)</t>
  </si>
  <si>
    <t>mkbg11n</t>
  </si>
  <si>
    <t>mkp1p1tsax_uni</t>
  </si>
  <si>
    <t>czbgdtpx_help_q</t>
  </si>
  <si>
    <t>rubgdtpx_help_q</t>
  </si>
  <si>
    <t>SubScal(L_bgfls14scx&gt;mdb,100)</t>
  </si>
  <si>
    <t>bgfls14scx</t>
  </si>
  <si>
    <t>SubScal(L_hrfls14scx&gt;mdb,100)</t>
  </si>
  <si>
    <t>hrfls14scx</t>
  </si>
  <si>
    <t>FHR52 - From December 2010 ESA'10 methodology.</t>
  </si>
  <si>
    <t>SubScal(L_eefls14scx&gt;mdb,100)</t>
  </si>
  <si>
    <t>eefls14scx</t>
  </si>
  <si>
    <t>SubScal(L_xkfls14scx&gt;mdb,100)</t>
  </si>
  <si>
    <t>xkfls14scx</t>
  </si>
  <si>
    <t>XK</t>
  </si>
  <si>
    <t>Kosovo</t>
  </si>
  <si>
    <t>SubScal(L_czfls14scx&gt;mdb,100)</t>
  </si>
  <si>
    <t>czfls14scx</t>
  </si>
  <si>
    <t>SubScal(L_rsfls14scx&gt;mdb,100)</t>
  </si>
  <si>
    <t>rsfls14scx</t>
  </si>
  <si>
    <t>SubScal(L_rufls14scx&gt;mdb,100)</t>
  </si>
  <si>
    <t>rufls14scx</t>
  </si>
  <si>
    <t>SubScal(L_sifls14scx&gt;mdb,100)</t>
  </si>
  <si>
    <t>sifls14scx</t>
  </si>
  <si>
    <t>SubScal(L_skfls14scx&gt;mdb,100)</t>
  </si>
  <si>
    <t>skfls14scx</t>
  </si>
  <si>
    <t>SubScal(L_rofls14scx&gt;mdb,100)</t>
  </si>
  <si>
    <t>rofls14scx</t>
  </si>
  <si>
    <t>SubScal(L_plfls14scx&gt;mdb,100)</t>
  </si>
  <si>
    <t>plfls14scx</t>
  </si>
  <si>
    <t>SubScal(L_mkfls14scx&gt;mdb,100)</t>
  </si>
  <si>
    <t>mkfls14scx</t>
  </si>
  <si>
    <t>SubScal(L_ltfls14scx&gt;mdb,100)</t>
  </si>
  <si>
    <t>ltfls14scx</t>
  </si>
  <si>
    <t>SubScal(L_lvfls14scx&gt;mdb,100)</t>
  </si>
  <si>
    <t>lvfls14scx</t>
  </si>
  <si>
    <t>SubScal(L_hufls14scx&gt;mdb,100)</t>
  </si>
  <si>
    <t>hufls14scx</t>
  </si>
  <si>
    <t>rsbgdtpx_help_q</t>
  </si>
  <si>
    <t>trbgdtpx_help_q</t>
  </si>
  <si>
    <t>albg31px_q</t>
  </si>
  <si>
    <t>SubScal(CPPY=100(L_alg11tr15_q&gt;mdb),100)</t>
  </si>
  <si>
    <t>alg11tr15_q</t>
  </si>
  <si>
    <t>SubScal(CPPY=100(L_alg222r15_q&gt;mdb),100)</t>
  </si>
  <si>
    <t>alg222r15_q</t>
  </si>
  <si>
    <t>SubScal(CPPY=100(L_alg223r15_q&gt;mdb),100)</t>
  </si>
  <si>
    <t>alg223r15_q</t>
  </si>
  <si>
    <t>SubScal(CPPY=100(L_alg228r15_q&gt;mdb),100)</t>
  </si>
  <si>
    <t>alg228r15_q</t>
  </si>
  <si>
    <t>SubScal(CPPY=100(L_alg229r15_q&gt;mdb),100)</t>
  </si>
  <si>
    <t>alg229r15_q</t>
  </si>
  <si>
    <t>ale51_ta_q</t>
  </si>
  <si>
    <t>FAL09 - According to census October 2011.</t>
  </si>
  <si>
    <t>ale5u_ta_q</t>
  </si>
  <si>
    <t>ale5u_tp_q</t>
  </si>
  <si>
    <t>alp1p1tsax_uni</t>
  </si>
  <si>
    <t>alp2xea</t>
  </si>
  <si>
    <t>SubScal(CPPY=100(AddNull(L_allago2e_q&gt;mdb,L_allase2e_q&gt;mdb)),100)</t>
  </si>
  <si>
    <t>allago2e_q</t>
  </si>
  <si>
    <t>SubScal(CPPY=100(AddNull(L_allago3e_q&gt;mdb,L_allase3e_q&gt;mdb)),100)</t>
  </si>
  <si>
    <t>allago3e_q</t>
  </si>
  <si>
    <t>allacaepx_q</t>
  </si>
  <si>
    <t>alg222px_q</t>
  </si>
  <si>
    <t>alg223px_q</t>
  </si>
  <si>
    <t>alg228px_q</t>
  </si>
  <si>
    <t>alg229px_q</t>
  </si>
  <si>
    <t>SubScal(L_alfls14scx&gt;mdb,100)</t>
  </si>
  <si>
    <t>alfls14scx</t>
  </si>
  <si>
    <t>SubScal(CPPY=100(L_albg21nx&gt;mdb),100)</t>
  </si>
  <si>
    <t>albg21nx</t>
  </si>
  <si>
    <t>SubScal(CPPY=100(L_albg11nx&gt;mdb),100)</t>
  </si>
  <si>
    <t>albg11nx</t>
  </si>
  <si>
    <t>SubScal(L_alw11_tccx_q&gt;mdb,100)</t>
  </si>
  <si>
    <t>alw11_tccx_q</t>
  </si>
  <si>
    <t>FAL02 - Excluding private sector until 2015.</t>
  </si>
  <si>
    <t>SubScal(L_ala1211tscx_q&gt;mdb,100)</t>
  </si>
  <si>
    <t>ala1211tscx_q</t>
  </si>
  <si>
    <t>05_Ireal_42_q</t>
  </si>
  <si>
    <t>index real, corresponding period of previous year = 100 (quarterly data)</t>
  </si>
  <si>
    <t>babg31px_q</t>
  </si>
  <si>
    <t>FBA16 - Excluding local government and public companies for roads and motorways.</t>
  </si>
  <si>
    <t>BA</t>
  </si>
  <si>
    <t>Bosnia and Herzegovina</t>
  </si>
  <si>
    <t>SubScal(CPPY=100(L_bag11tr15_q&gt;mdb),100)</t>
  </si>
  <si>
    <t>bag11tr15_q</t>
  </si>
  <si>
    <t>SubScal(CPPY=100(L_bag222r15_q&gt;mdb),100)</t>
  </si>
  <si>
    <t>bag222r15_q</t>
  </si>
  <si>
    <t>SubScal(CPPY=100(L_bag223r15_q&gt;mdb),100)</t>
  </si>
  <si>
    <t>bag223r15_q</t>
  </si>
  <si>
    <t>SubScal(CPPY=100(L_bag224r15_q&gt;mdb),100)</t>
  </si>
  <si>
    <t>bag224r15_q</t>
  </si>
  <si>
    <t>SubScal(CPPY=100(L_bag228r15_q&gt;mdb),100)</t>
  </si>
  <si>
    <t>bag228r15_q</t>
  </si>
  <si>
    <t>SubScal(CPPY=100(L_bag229r15_q&gt;mdb),100)</t>
  </si>
  <si>
    <t>bag229r15_q</t>
  </si>
  <si>
    <t>bae51_ta_q</t>
  </si>
  <si>
    <t>bae5u_ta_q</t>
  </si>
  <si>
    <t>FBA03 - Population 15+; according to census 2013.</t>
  </si>
  <si>
    <t>bae5u_tp_q</t>
  </si>
  <si>
    <t>SubScal(L_baw11_tccx&gt;mdb,100)</t>
  </si>
  <si>
    <t>baw11_tccx</t>
  </si>
  <si>
    <t>FBA15 - From 2005 District Brcko included.</t>
  </si>
  <si>
    <t>bap1p1tsax_uni</t>
  </si>
  <si>
    <t>bap2xea</t>
  </si>
  <si>
    <t>SubScal(L_baa1211tscx&gt;mdb,100)</t>
  </si>
  <si>
    <t>baa1211tscx</t>
  </si>
  <si>
    <t>balacaepx_q</t>
  </si>
  <si>
    <t>bag222px_q</t>
  </si>
  <si>
    <t>bag223px_q</t>
  </si>
  <si>
    <t>bag224px_q</t>
  </si>
  <si>
    <t>bag228px_q</t>
  </si>
  <si>
    <t>bag229px_q</t>
  </si>
  <si>
    <t>SubScal(L_bafls14scx&gt;mdb,100)</t>
  </si>
  <si>
    <t>bafls14scx</t>
  </si>
  <si>
    <t>SubScal(CPPY=100(L_xkbg21n&gt;mdb),100)</t>
  </si>
  <si>
    <t>xkbg21n</t>
  </si>
  <si>
    <t>SubScal(CPPY=100(L_xkbg11n&gt;mdb),100)</t>
  </si>
  <si>
    <t>xkbg11n</t>
  </si>
  <si>
    <t>xkbg31px_q</t>
  </si>
  <si>
    <t>SubScal(CPPY=100(L_xkg11tr15_q&gt;mdb),100)</t>
  </si>
  <si>
    <t>xkg11tr15_q</t>
  </si>
  <si>
    <t>SubScal(CPPY=100(L_xkg222r15_q&gt;mdb),100)</t>
  </si>
  <si>
    <t>xkg222r15_q</t>
  </si>
  <si>
    <t>SubScal(CPPY=100(L_xkg223r15_q&gt;mdb),100)</t>
  </si>
  <si>
    <t>xkg223r15_q</t>
  </si>
  <si>
    <t>SubScal(CPPY=100(L_xkg224r15_q&gt;mdb),100)</t>
  </si>
  <si>
    <t>xkg224r15_q</t>
  </si>
  <si>
    <t>SubScal(CPPY=100(L_xkg228r15_q&gt;mdb),100)</t>
  </si>
  <si>
    <t>xkg228r15_q</t>
  </si>
  <si>
    <t>SubScal(CPPY=100(L_xkg229r15_q&gt;mdb),100)</t>
  </si>
  <si>
    <t>xkg229r15_q</t>
  </si>
  <si>
    <t>xke51_ta_q</t>
  </si>
  <si>
    <t>xke5u_ta_q</t>
  </si>
  <si>
    <t>xke5u_tp_q</t>
  </si>
  <si>
    <t>SubScal(L_xka1211tscx&gt;mdb,100)</t>
  </si>
  <si>
    <t>xka1211tscx</t>
  </si>
  <si>
    <t>FXK09 - Manufacturing industry (NACE C), enterprises that represent 95% of the turnover.</t>
  </si>
  <si>
    <t>SubScal(CPPY=100(AddNull(L_xklago2e_q&gt;mdb,L_xklase2e_q&gt;mdb)),100)</t>
  </si>
  <si>
    <t>xklago2e_q</t>
  </si>
  <si>
    <t>SubScal(CPPY=100(AddNull(L_xklago3e_q&gt;mdb,L_xklase3e_q&gt;mdb)),100)</t>
  </si>
  <si>
    <t>xklago3e_q</t>
  </si>
  <si>
    <t>xklacaepx_q</t>
  </si>
  <si>
    <t>xkg222px_q</t>
  </si>
  <si>
    <t>xkg223px_q</t>
  </si>
  <si>
    <t>xkg224px_q</t>
  </si>
  <si>
    <t>xkg228px_q</t>
  </si>
  <si>
    <t>xkg229px_q</t>
  </si>
  <si>
    <t>alg225px_q</t>
  </si>
  <si>
    <t>SC0218</t>
  </si>
  <si>
    <t>Gross fixed capital formation</t>
  </si>
  <si>
    <t>SubScal(CPPY=100(L_alg225r15_q&gt;mdb),100)</t>
  </si>
  <si>
    <t>alg225r15_q</t>
  </si>
  <si>
    <t>FAL06 - One-week repo rate from August 2000, refinancing rate before.</t>
  </si>
  <si>
    <t>SubScal(CPPY=100(L_babg21n_q&gt;mdb),100)</t>
  </si>
  <si>
    <t>babg21n_q</t>
  </si>
  <si>
    <t>SubScal(CPPY=100(L_babg11n_q&gt;mdb),100)</t>
  </si>
  <si>
    <t>babg11n_q</t>
  </si>
  <si>
    <t>SubScal(CPPY=100(AddNull(L_balago2ex_q&gt;mdb,L_balase2ex_q&gt;mdb)),100)</t>
  </si>
  <si>
    <t>balago2ex_q</t>
  </si>
  <si>
    <t>SubScal(CPPY=100(AddNull(L_balago3ex_q&gt;mdb,L_balase3ex_q&gt;mdb)),100)</t>
  </si>
  <si>
    <t>balago3ex_q</t>
  </si>
  <si>
    <t>mebg31px_q</t>
  </si>
  <si>
    <t>FME14 - From 2012 central government budget only.</t>
  </si>
  <si>
    <t>ME</t>
  </si>
  <si>
    <t>Montenegro</t>
  </si>
  <si>
    <t>SubScal(CPPY=100(L_meg11tr15_q&gt;mdb),100)</t>
  </si>
  <si>
    <t>meg11tr15_q</t>
  </si>
  <si>
    <t>SubScal(CPPY=100(L_meg222r15_q&gt;mdb),100)</t>
  </si>
  <si>
    <t>meg222r15_q</t>
  </si>
  <si>
    <t>SubScal(CPPY=100(L_meg223r15_q&gt;mdb),100)</t>
  </si>
  <si>
    <t>meg223r15_q</t>
  </si>
  <si>
    <t>SubScal(CPPY=100(L_meg224r15_q&gt;mdb),100)</t>
  </si>
  <si>
    <t>meg224r15_q</t>
  </si>
  <si>
    <t>SubScal(CPPY=100(L_meg228r15_q&gt;mdb),100)</t>
  </si>
  <si>
    <t>meg228r15_q</t>
  </si>
  <si>
    <t>SubScal(CPPY=100(L_meg229r15_q&gt;mdb),100)</t>
  </si>
  <si>
    <t>meg229r15_q</t>
  </si>
  <si>
    <t>mee51_ta_q</t>
  </si>
  <si>
    <t>mee5u_ta_q</t>
  </si>
  <si>
    <t>mee5u_tp_q</t>
  </si>
  <si>
    <t>SubScal(L_mew11_tccx&gt;mdb,100)</t>
  </si>
  <si>
    <t>mew11_tccx</t>
  </si>
  <si>
    <t>FME01 - From 2007 wages actually received (previous wages divided by all registered employees).</t>
  </si>
  <si>
    <t>SubScal(L_mea1211tscx&gt;mdb,100)</t>
  </si>
  <si>
    <t>mea1211tscx</t>
  </si>
  <si>
    <t>SubScal(CPPY=100(AddNull(L_melago2e_q&gt;mdb,L_melase2e_q&gt;mdb)),100)</t>
  </si>
  <si>
    <t>melago2e_q</t>
  </si>
  <si>
    <t>SubScal(CPPY=100(AddNull(L_melago3e_q&gt;mdb,L_melase3e_q&gt;mdb)),100)</t>
  </si>
  <si>
    <t>melago3e_q</t>
  </si>
  <si>
    <t>melacaepx_q</t>
  </si>
  <si>
    <t>FME11 - From 2010 based on BPM6.</t>
  </si>
  <si>
    <t>meg222px_q</t>
  </si>
  <si>
    <t>meg223px_q</t>
  </si>
  <si>
    <t>meg224px_q</t>
  </si>
  <si>
    <t>meg228px_q</t>
  </si>
  <si>
    <t>meg229px_q</t>
  </si>
  <si>
    <t>SubScal(L_mefls14scx&gt;mdb,100)</t>
  </si>
  <si>
    <t>mefls14scx</t>
  </si>
  <si>
    <t>FME15 - From 2010 according to ESA'10.</t>
  </si>
  <si>
    <t>FME08 - Average weighted lending interest rate of commercial banks (Montenegro uses euro as national currency).</t>
  </si>
  <si>
    <t>mep1p1tsax</t>
  </si>
  <si>
    <t>FZZ10 - Index caluclated based on previous period growth rates. Please do not use for comparisons with previous year.</t>
  </si>
  <si>
    <t>mep2xea</t>
  </si>
  <si>
    <t>xkp2xea</t>
  </si>
  <si>
    <t>FXK30 - Average weighted effective lending interest rate of commercial banks (Kosovo uses the euro as national currency).</t>
  </si>
  <si>
    <t>xkp1p1tsa</t>
  </si>
  <si>
    <t>bybg31px_q</t>
  </si>
  <si>
    <t>BY</t>
  </si>
  <si>
    <t>Belarus</t>
  </si>
  <si>
    <t>SubScal(CPPY=100(L_byg11tr15_q&gt;mdb),100)</t>
  </si>
  <si>
    <t>byg11tr15_q</t>
  </si>
  <si>
    <t>FBY01 - From 2010 SNA'08 (SNA'93 before, FISIM not reallocated until 2009).</t>
  </si>
  <si>
    <t>SubScal(CPPY=100(L_byg222r15_q&gt;mdb),100)</t>
  </si>
  <si>
    <t>byg222r15_q</t>
  </si>
  <si>
    <t>SubScal(CPPY=100(L_byg223r15_q&gt;mdb),100)</t>
  </si>
  <si>
    <t>byg223r15_q</t>
  </si>
  <si>
    <t>SubScal(CPPY=100(L_byg224r15_q&gt;mdb),100)</t>
  </si>
  <si>
    <t>byg224r15_q</t>
  </si>
  <si>
    <t>SubScal(CPPY=100(L_byg228r15_q&gt;mdb),100)</t>
  </si>
  <si>
    <t>byg228r15_q</t>
  </si>
  <si>
    <t>SubScal(CPPY=100(L_byg229r15_q&gt;mdb),100)</t>
  </si>
  <si>
    <t>byg229r15_q</t>
  </si>
  <si>
    <t>SubScal(L_byw11_tccx&gt;mdb,100)</t>
  </si>
  <si>
    <t>byw11_tccx</t>
  </si>
  <si>
    <t>FBY22 - Excluding micro and small organisations.</t>
  </si>
  <si>
    <t>FBY30 - Refinancing rate.</t>
  </si>
  <si>
    <t>byp1p1tsax</t>
  </si>
  <si>
    <t>byp2xea</t>
  </si>
  <si>
    <t>SubScal(CPPY=100(AddNull(L_bylago2ex_q&gt;mdb,L_bylase2ex_q&gt;mdb)),100)</t>
  </si>
  <si>
    <t>bylago2ex_q</t>
  </si>
  <si>
    <t>SubScal(CPPY=100(AddNull(L_bylago3ex_q&gt;mdb,L_bylase3ex_q&gt;mdb)),100)</t>
  </si>
  <si>
    <t>bylago3ex_q</t>
  </si>
  <si>
    <t>bylacaepx_q</t>
  </si>
  <si>
    <t>AddNull(L_byg222px_q&gt;mdb,L_byg22zpx_q&gt;mdb)</t>
  </si>
  <si>
    <t>byg222px_q</t>
  </si>
  <si>
    <t>byg223px_q</t>
  </si>
  <si>
    <t>byg224px_q</t>
  </si>
  <si>
    <t>byg228px_q</t>
  </si>
  <si>
    <t>byg229px_q</t>
  </si>
  <si>
    <t>SubScal(L_byfls14scx&gt;mdb,100)</t>
  </si>
  <si>
    <t>byfls14scx</t>
  </si>
  <si>
    <t>SubScal(CPPY=100(L_mebg21nx&gt;mdb),100)</t>
  </si>
  <si>
    <t>mebg21nx</t>
  </si>
  <si>
    <t>SubScal(CPPY=100(L_mebg11nx&gt;mdb),100)</t>
  </si>
  <si>
    <t>mebg11nx</t>
  </si>
  <si>
    <t>SubScal(CPPY=100(L_bybg21n_q&gt;mdb),100)</t>
  </si>
  <si>
    <t>bybg21n_q</t>
  </si>
  <si>
    <t>SubScal(CPPY=100(L_bybg11n_q&gt;mdb),100)</t>
  </si>
  <si>
    <t>bybg11n_q</t>
  </si>
  <si>
    <t>bye51_ta_q</t>
  </si>
  <si>
    <t>FBY20 - Population 15-74, excluding conscripts.</t>
  </si>
  <si>
    <t>bye5u_ta_q</t>
  </si>
  <si>
    <t>bye5u_tp_q</t>
  </si>
  <si>
    <t>SubScal(L_bya1211tsc&gt;mdb,100)</t>
  </si>
  <si>
    <t>bya1211tsc</t>
  </si>
  <si>
    <t>SubScal(CPPY=100(L_mdbg21nx&gt;mdb),100)</t>
  </si>
  <si>
    <t>mdbg21nx</t>
  </si>
  <si>
    <t>FMD01 - Excluding data on districts from the left side of the river Nistru and municipality Bender.</t>
  </si>
  <si>
    <t>MD</t>
  </si>
  <si>
    <t>Moldova</t>
  </si>
  <si>
    <t>SubScal(CPPY=100(L_mdbg11nx&gt;mdb),100)</t>
  </si>
  <si>
    <t>mdbg11nx</t>
  </si>
  <si>
    <t>mdbg31px_q</t>
  </si>
  <si>
    <t>SubScal(CPPY=100(L_mdg11tr15_q&gt;mdb),100)</t>
  </si>
  <si>
    <t>mdg11tr15_q</t>
  </si>
  <si>
    <t>SubScal(CPPY=100(L_mdg222r15_q&gt;mdb),100)</t>
  </si>
  <si>
    <t>mdg222r15_q</t>
  </si>
  <si>
    <t>SubScal(CPPY=100(L_mdg223r15_q&gt;mdb),100)</t>
  </si>
  <si>
    <t>mdg223r15_q</t>
  </si>
  <si>
    <t>SubScal(CPPY=100(L_mdg228r15_q&gt;mdb),100)</t>
  </si>
  <si>
    <t>mdg228r15_q</t>
  </si>
  <si>
    <t>SubScal(CPPY=100(L_mdg229r15_q&gt;mdb),100)</t>
  </si>
  <si>
    <t>mdg229r15_q</t>
  </si>
  <si>
    <t>mde51_ta_q</t>
  </si>
  <si>
    <t>mde5u_ta_q</t>
  </si>
  <si>
    <t>mde5u_tp_q</t>
  </si>
  <si>
    <t>SubScal(L_mdw11_tccx_q&gt;mdb,100)</t>
  </si>
  <si>
    <t>mdw11_tccx_q</t>
  </si>
  <si>
    <t>SubScal(CPPY=100(L_mdg225r15_q&gt;mdb),100)</t>
  </si>
  <si>
    <t>mdg225r15_q</t>
  </si>
  <si>
    <t>mdg225px_q</t>
  </si>
  <si>
    <t>mdp1p1tsax</t>
  </si>
  <si>
    <t>mdp2xea</t>
  </si>
  <si>
    <t>SubScal(L_mda1211tscx&gt;mdb,100)</t>
  </si>
  <si>
    <t>mda1211tscx</t>
  </si>
  <si>
    <t>SubScal(CPPY=100(AddNull(L_mdlago2ex_q&gt;mdb,L_mdlase2ex_q&gt;mdb)),100)</t>
  </si>
  <si>
    <t>mdlago2ex_q</t>
  </si>
  <si>
    <t>SubScal(CPPY=100(AddNull(L_mdlago3ex_q&gt;mdb,L_mdlase3ex_q&gt;mdb)),100)</t>
  </si>
  <si>
    <t>mdlago3ex_q</t>
  </si>
  <si>
    <t>mdlacaepx_q</t>
  </si>
  <si>
    <t>AddNull(L_mdg222px_q&gt;mdb,L_mdg22zpx_q&gt;mdb)</t>
  </si>
  <si>
    <t>mdg222px_q</t>
  </si>
  <si>
    <t>mdg223px_q</t>
  </si>
  <si>
    <t>mdg228px_q</t>
  </si>
  <si>
    <t>mdg229px_q</t>
  </si>
  <si>
    <t>SubScal(L_mdfls14scx&gt;mdb,100)</t>
  </si>
  <si>
    <t>mdfls14scx</t>
  </si>
  <si>
    <t>mdbgdtpx_help_q</t>
  </si>
  <si>
    <t>SubScal(CPPY=100(L_kzbg21nx&gt;mdb),100)</t>
  </si>
  <si>
    <t>kzbg21nx</t>
  </si>
  <si>
    <t>KZ</t>
  </si>
  <si>
    <t>Kazakhstan</t>
  </si>
  <si>
    <t>SubScal(CPPY=100(L_kzbg11nx&gt;mdb),100)</t>
  </si>
  <si>
    <t>kzbg11nx</t>
  </si>
  <si>
    <t>kzbg31px_q</t>
  </si>
  <si>
    <t>SubScal(CPPY=100(L_kzg11tr15_q&gt;mdb),100)</t>
  </si>
  <si>
    <t>kzg11tr15_q</t>
  </si>
  <si>
    <t>FKZ05 - From 2011 SNA'08, SNA'93 (FISIM not reallocated) before.</t>
  </si>
  <si>
    <t>SubScal(CPPY=100(L_kzg222r15_q&gt;mdb),100)</t>
  </si>
  <si>
    <t>kzg222r15_q</t>
  </si>
  <si>
    <t>SubScal(CPPY=100(L_kzg223r15_q&gt;mdb),100)</t>
  </si>
  <si>
    <t>kzg223r15_q</t>
  </si>
  <si>
    <t>SubScal(CPPY=100(L_kzg224r15_q&gt;mdb),100)</t>
  </si>
  <si>
    <t>kzg224r15_q</t>
  </si>
  <si>
    <t>SubScal(CPPY=100(L_kzg228r15_q&gt;mdb),100)</t>
  </si>
  <si>
    <t>kzg228r15_q</t>
  </si>
  <si>
    <t>SubScal(CPPY=100(L_kzg229r15_q&gt;mdb),100)</t>
  </si>
  <si>
    <t>kzg229r15_q</t>
  </si>
  <si>
    <t>SubScal(L_kzw11_tccx&gt;mdb,100)</t>
  </si>
  <si>
    <t>kzw11_tccx</t>
  </si>
  <si>
    <t>FKZ11 - Excluding small enterprises engaged in entrepreneurial activity.</t>
  </si>
  <si>
    <t>FKZ15 - From September 2015 base rate (overnight repo rate as a target), refinancing rate before.</t>
  </si>
  <si>
    <t>kzp1p1tsax</t>
  </si>
  <si>
    <t>kzp2xea</t>
  </si>
  <si>
    <t>SubScal(CPPY=100(AddNull(L_kzlago2ex_q&gt;mdb,L_kzlase2ex_q&gt;mdb)),100)</t>
  </si>
  <si>
    <t>kzlago2ex_q</t>
  </si>
  <si>
    <t>SubScal(CPPY=100(AddNull(L_kzlago3ex_q&gt;mdb,L_kzlase3ex_q&gt;mdb)),100)</t>
  </si>
  <si>
    <t>kzlago3ex_q</t>
  </si>
  <si>
    <t>kzlacaepx_q</t>
  </si>
  <si>
    <t>AddNull(L_kzg222px_q&gt;mdb,L_kzg22zpx_q&gt;mdb)</t>
  </si>
  <si>
    <t>kzg222px_q</t>
  </si>
  <si>
    <t>kzg223px_q</t>
  </si>
  <si>
    <t>kzg224px_q</t>
  </si>
  <si>
    <t>kzg228px_q</t>
  </si>
  <si>
    <t>kzg229px_q</t>
  </si>
  <si>
    <t>SubScal(L_kzfls14scx&gt;mdb,100)</t>
  </si>
  <si>
    <t>kzfls14scx</t>
  </si>
  <si>
    <t>kzbgdtpx_help_q</t>
  </si>
  <si>
    <t>kze51_ta_q</t>
  </si>
  <si>
    <t>kze5u_ta_q</t>
  </si>
  <si>
    <t>kze5u_tp_q</t>
  </si>
  <si>
    <t>SubScal(L_kza1211tsc&gt;mdb,100)</t>
  </si>
  <si>
    <t>kza1211tsc</t>
  </si>
  <si>
    <t>SubScal(L_uaw11_gccx&gt;mdb,100)</t>
  </si>
  <si>
    <t>uaw11_gccx</t>
  </si>
  <si>
    <t>FUA01 - Excluding small firms, from 2010 enterpr.with 10 and more employees.</t>
  </si>
  <si>
    <t>UA</t>
  </si>
  <si>
    <t>Ukraine</t>
  </si>
  <si>
    <t>SubScal(CPPY=100(L_uabg21nx&gt;mdb),100)</t>
  </si>
  <si>
    <t>uabg21nx</t>
  </si>
  <si>
    <t>FUA12 - From April 2014 excluding  the occupied territories of Crimea and Sevastopol.</t>
  </si>
  <si>
    <t>SubScal(CPPY=100(L_uabg11nx&gt;mdb),100)</t>
  </si>
  <si>
    <t>uabg11nx</t>
  </si>
  <si>
    <t>uabg31px_q</t>
  </si>
  <si>
    <t>SubScal(CPPY=100(L_uag11tr15_q&gt;mdb),100)</t>
  </si>
  <si>
    <t>uag11tr15_q</t>
  </si>
  <si>
    <t>FUA05 - From 2014 SNA'08, SNA'93 (FISIM not reallocated) before.</t>
  </si>
  <si>
    <t>SubScal(CPPY=100(L_uag222r15_q&gt;mdb),100)</t>
  </si>
  <si>
    <t>uag222r15_q</t>
  </si>
  <si>
    <t>SubScal(CPPY=100(L_uag223r15_q&gt;mdb),100)</t>
  </si>
  <si>
    <t>uag223r15_q</t>
  </si>
  <si>
    <t>SubScal(CPPY=100(L_uag224r15_q&gt;mdb),100)</t>
  </si>
  <si>
    <t>uag224r15_q</t>
  </si>
  <si>
    <t>SubScal(CPPY=100(L_uag228r15_q&gt;mdb),100)</t>
  </si>
  <si>
    <t>uag228r15_q</t>
  </si>
  <si>
    <t>SubScal(CPPY=100(L_uag229r15_q&gt;mdb),100)</t>
  </si>
  <si>
    <t>uag229r15_q</t>
  </si>
  <si>
    <t>uae51_ta_q</t>
  </si>
  <si>
    <t>FUA13 - From 2014 excluding the occupied territories of Crimea and Sevastopol.</t>
  </si>
  <si>
    <t>uae5u_ta_q</t>
  </si>
  <si>
    <t>uae5u_tp_q</t>
  </si>
  <si>
    <t>FZZ66 - Discount rate.</t>
  </si>
  <si>
    <t>uap1p1tsax</t>
  </si>
  <si>
    <t>uap2xea</t>
  </si>
  <si>
    <t>SubScal(L_uaa1211tscx&gt;mdb,100)</t>
  </si>
  <si>
    <t>uaa1211tscx</t>
  </si>
  <si>
    <t>FUA17 - From 2010 excluding the occupied territories of Crimea and Sevastopol, from 2014  excluding temporarily occupied territories in the Donetsk and Luhansk regions.</t>
  </si>
  <si>
    <t>SubScal(CPPY=100(AddNull(L_ualago2ex_q&gt;mdb,L_ualase2ex_q&gt;mdb)),100)</t>
  </si>
  <si>
    <t>ualago2ex_q</t>
  </si>
  <si>
    <t>SubScal(CPPY=100(AddNull(L_ualago3ex_q&gt;mdb,L_ualase3ex_q&gt;mdb)),100)</t>
  </si>
  <si>
    <t>ualago3ex_q</t>
  </si>
  <si>
    <t>ualacaepx_q</t>
  </si>
  <si>
    <t>AddNull(L_uag222px_q&gt;mdb,L_uag22zpx_q&gt;mdb)</t>
  </si>
  <si>
    <t>uag222px_q</t>
  </si>
  <si>
    <t>uag223px_q</t>
  </si>
  <si>
    <t>uag224px_q</t>
  </si>
  <si>
    <t>uag228px_q</t>
  </si>
  <si>
    <t>uag229px_q</t>
  </si>
  <si>
    <t>SubScal(L_uafls14scx&gt;mdb,100)</t>
  </si>
  <si>
    <t>uafls14scx</t>
  </si>
  <si>
    <t>uabgdtpx_help_q</t>
  </si>
  <si>
    <t>SubScal(L_xkw21_tccx&gt;mdb,100)</t>
  </si>
  <si>
    <t>xkw21_tccx</t>
  </si>
  <si>
    <t>SC0650</t>
  </si>
  <si>
    <t>Average monthly net wages total</t>
  </si>
  <si>
    <t>FZZ09 - From 2021 new methodology in line with the Integrated European Social Statistics Regulation (IESS).</t>
  </si>
  <si>
    <t>FHR25 - From January 2023 euro area official refinancing operation rate, discount rate of the central bank before.</t>
  </si>
  <si>
    <t>FHR31 - Until December 2022 EUR-HRK per EUR.</t>
  </si>
  <si>
    <t>FXK18 - Wages in the budget sector only.</t>
  </si>
  <si>
    <t>FRS30 - From 2018 based on tax administration data and full-time equivalent (FTE) employees, before that survey data supplemented by tax administration data.</t>
  </si>
  <si>
    <t>FBA01 - According to ESA'10, FISIM not reallocated until 2014.</t>
  </si>
  <si>
    <t>FKZ10 - From 2022 according to census 2021, from  3 Q 2011 acording to census March 2009.</t>
  </si>
  <si>
    <t>FHR16 - Until December 2022 time series in HRK have been divided by the conversion factor 7.5345 (HRK per EUR) to EUR-HRK.</t>
  </si>
  <si>
    <t>FHR08 - From 2016 based on tax administration data, survey data before.</t>
  </si>
  <si>
    <t>FHU10 - Enterprises with more than 50 persons, in 1993, 1994 more than 20, from 1995 more than 10, from 1999 with 5 and more persons, from 2019 total economy.</t>
  </si>
  <si>
    <t>FBG40 - From 2023 according to census 2021.</t>
  </si>
  <si>
    <t>FHR35 - From 2023 according to census 2021.</t>
  </si>
  <si>
    <t>FEE20 - From 2022 based on tax administration data, survey data before.</t>
  </si>
  <si>
    <t>FXK15 - Population 15-64, survey based on EU guidelines and according to census April 2011.</t>
  </si>
  <si>
    <t>FZZ03 - frei</t>
  </si>
  <si>
    <t>FZZ11 - Enterprises with 20 and more employees.</t>
  </si>
  <si>
    <t>FZZ13 - Enterprises with 20 and more employees and smaller enterprises with additional criteria.</t>
  </si>
  <si>
    <t>FCZ15 - From 2023 a new methodology in the LFS survey is applied. From 2021 new methodolgy in line with the Integrated European Social Statistics Regulation (IESS), excluding persons on parental leave from employed persons.</t>
  </si>
  <si>
    <t>FZZ02 - Enterprises with 5 and more employees.</t>
  </si>
  <si>
    <t>FMK06 - From 2023 new methodology in line with the Integrated European Social Statistics Regulation (IESS).</t>
  </si>
  <si>
    <t>bgfrr1tp</t>
  </si>
  <si>
    <t>ID</t>
  </si>
  <si>
    <t>Reporter_short</t>
  </si>
  <si>
    <t>Reporter_long</t>
  </si>
  <si>
    <t>Label</t>
  </si>
  <si>
    <t>Calculation</t>
  </si>
  <si>
    <t>Footnote</t>
  </si>
  <si>
    <t>eafrr1tp</t>
  </si>
  <si>
    <t>hrfrr1tp</t>
  </si>
  <si>
    <t>eefrr1tp</t>
  </si>
  <si>
    <t>hufrr1tp</t>
  </si>
  <si>
    <t>lvfrr1tp</t>
  </si>
  <si>
    <t>ltfrr1tp</t>
  </si>
  <si>
    <t>plfrr1tp</t>
  </si>
  <si>
    <t>rofrr1tp</t>
  </si>
  <si>
    <t>skfrr1tp</t>
  </si>
  <si>
    <t>sifrr1tp</t>
  </si>
  <si>
    <t>czfrr1tp</t>
  </si>
  <si>
    <t>alfrr1tp</t>
  </si>
  <si>
    <t>bafrr1tp</t>
  </si>
  <si>
    <t>mefrr1tp</t>
  </si>
  <si>
    <t>mkfrr1tp</t>
  </si>
  <si>
    <t>rsfrr1tp</t>
  </si>
  <si>
    <t>xkfrr1tp</t>
  </si>
  <si>
    <t>trfrr1tp</t>
  </si>
  <si>
    <t>byfrr1tp</t>
  </si>
  <si>
    <t>rufrr1tp</t>
  </si>
  <si>
    <t>mdfrr1tp</t>
  </si>
  <si>
    <t>kzfrr1tp</t>
  </si>
  <si>
    <t>uafrr1tp</t>
  </si>
  <si>
    <t>pub_debt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</si>
</sst>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1" x14ac:knownFonts="1">
    <font>
      <sz val="11"/>
      <color theme="1"/>
      <name val="Calibri"/>
      <family val="2"/>
      <scheme val="minor"/>
    </font>
    <font>
      <sz val="10"/>
      <name val="Arial"/>
      <family val="2"/>
    </font>
    <font>
      <sz val="9"/>
      <color indexed="81"/>
      <name val="Tahoma"/>
      <family val="2"/>
    </font>
    <font>
      <b/>
      <sz val="9"/>
      <color indexed="81"/>
      <name val="Tahoma"/>
      <family val="2"/>
    </font>
    <font>
      <sz val="9"/>
      <color indexed="81"/>
      <name val="Segoe UI"/>
      <family val="2"/>
    </font>
    <font>
      <b/>
      <sz val="7"/>
      <color rgb="FFFF0000"/>
      <name val="Arial"/>
      <family val="2"/>
    </font>
    <font>
      <sz val="8"/>
      <color theme="1"/>
      <name val="Calibri"/>
      <family val="2"/>
    </font>
    <font>
      <sz val="8"/>
      <color rgb="FF000000"/>
      <name val="Calibri"/>
      <family val="2"/>
    </font>
    <font>
      <sz val="8"/>
      <color rgb="FF3366FF"/>
      <name val="Calibri"/>
      <family val="2"/>
    </font>
    <font>
      <sz val="8"/>
      <color rgb="FF3366FF"/>
      <name val="Arial"/>
      <family val="2"/>
    </font>
    <font>
      <b/>
      <sz val="7"/>
      <color rgb="FF3366FF"/>
      <name val="Arial"/>
      <family val="2"/>
    </font>
    <font>
      <sz val="11"/>
      <name val="Calibri"/>
      <family val="2"/>
      <scheme val="minor"/>
    </font>
    <font>
      <sz val="8"/>
      <color rgb="FF000000"/>
      <name val="Arial"/>
      <family val="2"/>
    </font>
    <font>
      <sz val="8"/>
      <color rgb="FF339966"/>
      <name val="Calibri"/>
      <family val="2"/>
    </font>
    <font>
      <b/>
      <sz val="11"/>
      <name val="Calibri"/>
      <family val="2"/>
      <scheme val="minor"/>
    </font>
    <font>
      <b/>
      <sz val="11"/>
      <color theme="6"/>
      <name val="Calibri"/>
      <family val="2"/>
      <scheme val="minor"/>
    </font>
    <font>
      <b/>
      <sz val="8"/>
      <color theme="6"/>
      <name val="Calibri"/>
      <family val="2"/>
    </font>
    <font>
      <sz val="8"/>
      <color rgb="FF808080"/>
      <name val="Calibri"/>
      <family val="2"/>
    </font>
    <font>
      <sz val="8"/>
      <name val="Calibri"/>
      <family val="2"/>
    </font>
    <font>
      <i/>
      <sz val="11"/>
      <color theme="1"/>
      <name val="Calibri"/>
      <family val="2"/>
      <scheme val="minor"/>
    </font>
    <font>
      <b/>
      <sz val="7"/>
      <color rgb="FFFF00FF"/>
      <name val="Arial"/>
      <family val="2"/>
    </font>
  </fonts>
  <fills count="8">
    <fill>
      <patternFill patternType="none"/>
    </fill>
    <fill>
      <patternFill patternType="gray125"/>
    </fill>
    <fill>
      <patternFill patternType="solid">
        <fgColor rgb="FFFFFF00"/>
        <bgColor indexed="64"/>
      </patternFill>
    </fill>
    <fill>
      <patternFill patternType="solid">
        <fgColor rgb="FFCCFFFF"/>
        <bgColor indexed="64"/>
      </patternFill>
    </fill>
    <fill>
      <patternFill patternType="solid">
        <fgColor rgb="FFCCFFCC"/>
        <bgColor indexed="64"/>
      </patternFill>
    </fill>
    <fill>
      <patternFill patternType="solid">
        <fgColor rgb="FFEAEAEA"/>
        <bgColor indexed="64"/>
      </patternFill>
    </fill>
    <fill>
      <patternFill patternType="solid">
        <fgColor rgb="FFFFC000"/>
        <bgColor indexed="64"/>
      </patternFill>
    </fill>
    <fill>
      <patternFill patternType="solid">
        <fgColor rgb="FFFFFFFF"/>
        <bgColor indexed="64"/>
      </patternFill>
    </fill>
  </fills>
  <borders count="1">
    <border>
      <left/>
      <right/>
      <top/>
      <bottom/>
      <diagonal/>
    </border>
  </borders>
  <cellStyleXfs count="3">
    <xf numFmtId="0" fontId="0" fillId="0" borderId="0"/>
    <xf numFmtId="0" fontId="1" fillId="0" borderId="0"/>
    <xf numFmtId="0" fontId="12" fillId="0" borderId="0"/>
  </cellStyleXfs>
  <cellXfs count="29">
    <xf numFmtId="0" fontId="0" fillId="0" borderId="0" xfId="0"/>
    <xf numFmtId="0" fontId="5" fillId="3" borderId="0" xfId="0" applyFont="1" applyFill="1"/>
    <xf numFmtId="0" fontId="6" fillId="4" borderId="0" xfId="0" applyFont="1" applyFill="1"/>
    <xf numFmtId="0" fontId="0" fillId="2" borderId="0" xfId="0" applyFill="1"/>
    <xf numFmtId="0" fontId="5" fillId="5" borderId="0" xfId="0" applyFont="1" applyFill="1"/>
    <xf numFmtId="0" fontId="10" fillId="3" borderId="0" xfId="0" applyFont="1" applyFill="1"/>
    <xf numFmtId="0" fontId="10" fillId="5" borderId="0" xfId="0" applyFont="1" applyFill="1"/>
    <xf numFmtId="2" fontId="7" fillId="0" borderId="0" xfId="0" applyNumberFormat="1" applyFont="1"/>
    <xf numFmtId="0" fontId="11" fillId="0" borderId="0" xfId="0" applyFont="1"/>
    <xf numFmtId="0" fontId="14" fillId="0" borderId="0" xfId="0" applyFont="1"/>
    <xf numFmtId="0" fontId="15" fillId="0" borderId="0" xfId="0" applyFont="1"/>
    <xf numFmtId="164" fontId="0" fillId="0" borderId="0" xfId="0" applyNumberFormat="1"/>
    <xf numFmtId="2" fontId="8" fillId="0" borderId="0" xfId="0" applyNumberFormat="1" applyFont="1"/>
    <xf numFmtId="2" fontId="9" fillId="0" borderId="0" xfId="0" applyNumberFormat="1" applyFont="1" applyAlignment="1">
      <alignment horizontal="right"/>
    </xf>
    <xf numFmtId="0" fontId="11" fillId="2" borderId="0" xfId="0" applyFont="1" applyFill="1"/>
    <xf numFmtId="0" fontId="0" fillId="6" borderId="0" xfId="0" applyFill="1"/>
    <xf numFmtId="0" fontId="19" fillId="0" borderId="0" xfId="0" applyFont="1"/>
    <xf numFmtId="2" fontId="8" fillId="0" borderId="0" xfId="0" applyNumberFormat="1" applyFont="1" applyAlignment="1">
      <alignment vertical="center"/>
    </xf>
    <xf numFmtId="2" fontId="13" fillId="0" borderId="0" xfId="0" applyNumberFormat="1" applyFont="1"/>
    <xf numFmtId="2" fontId="17" fillId="0" borderId="0" xfId="0" applyNumberFormat="1" applyFont="1"/>
    <xf numFmtId="2" fontId="7" fillId="2" borderId="0" xfId="0" applyNumberFormat="1" applyFont="1" applyFill="1"/>
    <xf numFmtId="2" fontId="8" fillId="2" borderId="0" xfId="0" applyNumberFormat="1" applyFont="1" applyFill="1"/>
    <xf numFmtId="2" fontId="7" fillId="6" borderId="0" xfId="0" applyNumberFormat="1" applyFont="1" applyFill="1"/>
    <xf numFmtId="0" fontId="6" fillId="6" borderId="0" xfId="0" applyFont="1" applyFill="1"/>
    <xf numFmtId="0" fontId="18" fillId="6" borderId="0" xfId="0" applyFont="1" applyFill="1"/>
    <xf numFmtId="0" fontId="20" fillId="7" borderId="0" xfId="0" applyFont="1" applyFill="1"/>
    <xf numFmtId="0" fontId="16" fillId="0" borderId="0" xfId="0" applyFont="1"/>
    <xf numFmtId="0" fontId="6" fillId="0" borderId="0" xfId="0" applyFont="1"/>
    <xf numFmtId="0" fontId="18" fillId="0" borderId="0" xfId="0" applyFont="1"/>
  </cellXfs>
  <cellStyles count="3">
    <cellStyle name="Normal" xfId="0" builtinId="0"/>
    <cellStyle name="Normal 2" xfId="2" xr:uid="{D38F3477-78BC-4E2B-B089-0FA52DF11623}"/>
    <cellStyle name="Standard 2" xfId="1" xr:uid="{C8EA133B-7B9D-4F0A-A125-A7692CBCC25B}"/>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theme/theme1.xml><?xml version="1.0" encoding="utf-8"?>
<a:theme xmlns:a="http://schemas.openxmlformats.org/drawingml/2006/main" name="Office">
  <a:themeElements>
    <a:clrScheme name="wiiw farbdesign_neu ordnung">
      <a:dk1>
        <a:srgbClr val="000000"/>
      </a:dk1>
      <a:lt1>
        <a:sysClr val="window" lastClr="FFFFFF"/>
      </a:lt1>
      <a:dk2>
        <a:srgbClr val="000000"/>
      </a:dk2>
      <a:lt2>
        <a:srgbClr val="FFFFFF"/>
      </a:lt2>
      <a:accent1>
        <a:srgbClr val="86868A"/>
      </a:accent1>
      <a:accent2>
        <a:srgbClr val="D48600"/>
      </a:accent2>
      <a:accent3>
        <a:srgbClr val="004872"/>
      </a:accent3>
      <a:accent4>
        <a:srgbClr val="E9EAEB"/>
      </a:accent4>
      <a:accent5>
        <a:srgbClr val="B7B9BC"/>
      </a:accent5>
      <a:accent6>
        <a:srgbClr val="D48600"/>
      </a:accent6>
      <a:hlink>
        <a:srgbClr val="004872"/>
      </a:hlink>
      <a:folHlink>
        <a:srgbClr val="00000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6EFC4-D0DC-471F-9F6A-9924B073561F}">
  <sheetPr codeName="Tabelle6">
    <tabColor rgb="FF00B0F0"/>
  </sheetPr>
  <dimension ref="A1:AG108"/>
  <sheetViews>
    <sheetView workbookViewId="0">
      <pane xSplit="1" ySplit="12" topLeftCell="P13" activePane="bottomRight" state="frozen"/>
      <selection activeCell="AI1" sqref="AI1:AN1048576"/>
      <selection pane="topRight" activeCell="AI1" sqref="AI1:AN1048576"/>
      <selection pane="bottomLeft" activeCell="AI1" sqref="AI1:AN1048576"/>
      <selection pane="bottomRight" activeCell="AG1" sqref="AG1"/>
    </sheetView>
  </sheetViews>
  <sheetFormatPr defaultColWidth="9.109375" defaultRowHeight="14.4" outlineLevelRow="1" x14ac:dyDescent="0.3"/>
  <cols>
    <col min="1" max="1" width="13" customWidth="1"/>
    <col min="2" max="2" width="11.5546875" bestFit="1" customWidth="1"/>
    <col min="4" max="4" width="12.44140625" customWidth="1"/>
    <col min="7" max="7" width="12.44140625" bestFit="1" customWidth="1"/>
    <col min="8" max="8" width="12.33203125" customWidth="1"/>
    <col min="18" max="18" width="11.109375" bestFit="1" customWidth="1"/>
    <col min="19" max="19" width="12.44140625" bestFit="1" customWidth="1"/>
    <col min="24" max="24" width="12.5546875" bestFit="1" customWidth="1"/>
    <col min="25" max="25" width="12.6640625" bestFit="1" customWidth="1"/>
    <col min="27" max="27" width="13.6640625" customWidth="1"/>
  </cols>
  <sheetData>
    <row r="1" spans="1:33" s="8" customFormat="1" x14ac:dyDescent="0.3">
      <c r="A1" s="8" t="s">
        <v>0</v>
      </c>
      <c r="B1" s="8" t="s">
        <v>1</v>
      </c>
      <c r="C1" s="8" t="s">
        <v>2</v>
      </c>
      <c r="D1" s="8" t="s">
        <v>3</v>
      </c>
      <c r="E1" s="14" t="s">
        <v>4</v>
      </c>
      <c r="F1" s="8" t="s">
        <v>5</v>
      </c>
      <c r="G1" s="8" t="s">
        <v>6</v>
      </c>
      <c r="H1" s="8" t="s">
        <v>254</v>
      </c>
      <c r="I1" s="8" t="s">
        <v>7</v>
      </c>
      <c r="J1" s="8" t="s">
        <v>230</v>
      </c>
      <c r="K1" s="8" t="s">
        <v>231</v>
      </c>
      <c r="L1" s="8" t="s">
        <v>232</v>
      </c>
      <c r="M1" s="8" t="s">
        <v>233</v>
      </c>
      <c r="N1" s="8" t="s">
        <v>234</v>
      </c>
      <c r="O1" s="8" t="s">
        <v>235</v>
      </c>
      <c r="P1" s="8" t="s">
        <v>8</v>
      </c>
      <c r="Q1" s="8" t="s">
        <v>9</v>
      </c>
      <c r="R1" s="8" t="s">
        <v>10</v>
      </c>
      <c r="S1" s="8" t="s">
        <v>11</v>
      </c>
      <c r="T1" s="14" t="s">
        <v>12</v>
      </c>
      <c r="U1" s="8" t="s">
        <v>13</v>
      </c>
      <c r="V1" s="8" t="s">
        <v>14</v>
      </c>
      <c r="W1" s="8" t="s">
        <v>15</v>
      </c>
      <c r="X1" s="8" t="s">
        <v>16</v>
      </c>
      <c r="Y1" s="8" t="s">
        <v>17</v>
      </c>
      <c r="Z1" s="8" t="s">
        <v>18</v>
      </c>
      <c r="AA1" s="9" t="s">
        <v>248</v>
      </c>
      <c r="AB1" s="8" t="s">
        <v>236</v>
      </c>
      <c r="AC1" s="8" t="s">
        <v>237</v>
      </c>
      <c r="AD1" s="8" t="s">
        <v>238</v>
      </c>
      <c r="AE1" s="8" t="s">
        <v>239</v>
      </c>
      <c r="AF1" s="14" t="s">
        <v>255</v>
      </c>
      <c r="AG1" s="14" t="s">
        <v>1317</v>
      </c>
    </row>
    <row r="2" spans="1:33" s="10" customFormat="1" outlineLevel="1" x14ac:dyDescent="0.3">
      <c r="A2" s="16" t="s">
        <v>1292</v>
      </c>
      <c r="B2" s="26"/>
      <c r="C2" s="26"/>
      <c r="D2" s="26" t="s">
        <v>198</v>
      </c>
      <c r="E2" s="26"/>
      <c r="F2" s="26"/>
      <c r="G2" s="26" t="s">
        <v>449</v>
      </c>
      <c r="H2" s="26" t="s">
        <v>453</v>
      </c>
      <c r="I2" s="26"/>
      <c r="J2" s="26" t="s">
        <v>456</v>
      </c>
      <c r="K2" s="26" t="s">
        <v>458</v>
      </c>
      <c r="L2" s="26" t="s">
        <v>460</v>
      </c>
      <c r="M2" s="26" t="s">
        <v>462</v>
      </c>
      <c r="N2" s="26" t="s">
        <v>464</v>
      </c>
      <c r="O2" s="26" t="s">
        <v>466</v>
      </c>
      <c r="P2" s="26"/>
      <c r="Q2" s="26"/>
      <c r="R2" s="26"/>
      <c r="S2" s="26" t="s">
        <v>471</v>
      </c>
      <c r="T2" s="26"/>
      <c r="U2" s="26"/>
      <c r="V2" s="26"/>
      <c r="W2" s="26" t="s">
        <v>475</v>
      </c>
      <c r="X2" s="26" t="s">
        <v>477</v>
      </c>
      <c r="Y2" s="26" t="s">
        <v>479</v>
      </c>
      <c r="Z2" s="26"/>
      <c r="AA2" s="26" t="s">
        <v>482</v>
      </c>
      <c r="AB2" s="26"/>
      <c r="AC2" s="26"/>
      <c r="AD2" s="26"/>
      <c r="AE2" s="26"/>
      <c r="AF2" s="26" t="s">
        <v>879</v>
      </c>
      <c r="AG2" s="26"/>
    </row>
    <row r="3" spans="1:33" outlineLevel="1" x14ac:dyDescent="0.3">
      <c r="A3" s="16" t="s">
        <v>1293</v>
      </c>
      <c r="B3" s="27" t="s">
        <v>123</v>
      </c>
      <c r="C3" s="27" t="s">
        <v>195</v>
      </c>
      <c r="D3" s="27" t="s">
        <v>195</v>
      </c>
      <c r="E3" s="27" t="s">
        <v>186</v>
      </c>
      <c r="F3" s="27" t="s">
        <v>125</v>
      </c>
      <c r="G3" s="27" t="s">
        <v>277</v>
      </c>
      <c r="H3" s="27" t="s">
        <v>277</v>
      </c>
      <c r="I3" s="27" t="s">
        <v>277</v>
      </c>
      <c r="J3" s="27" t="s">
        <v>123</v>
      </c>
      <c r="K3" s="27" t="s">
        <v>1274</v>
      </c>
      <c r="L3" s="27" t="s">
        <v>1274</v>
      </c>
      <c r="M3" s="27" t="s">
        <v>1274</v>
      </c>
      <c r="N3" s="27" t="s">
        <v>1274</v>
      </c>
      <c r="O3" s="27" t="s">
        <v>1274</v>
      </c>
      <c r="P3" s="27" t="s">
        <v>1278</v>
      </c>
      <c r="Q3" s="27" t="s">
        <v>1278</v>
      </c>
      <c r="R3" s="27" t="s">
        <v>1278</v>
      </c>
      <c r="S3" s="27" t="s">
        <v>1275</v>
      </c>
      <c r="T3" s="27" t="s">
        <v>1268</v>
      </c>
      <c r="U3" s="27" t="s">
        <v>195</v>
      </c>
      <c r="V3" s="27" t="s">
        <v>1269</v>
      </c>
      <c r="W3" s="27" t="s">
        <v>1282</v>
      </c>
      <c r="X3" s="27" t="s">
        <v>207</v>
      </c>
      <c r="Y3" s="27" t="s">
        <v>207</v>
      </c>
      <c r="Z3" s="27" t="s">
        <v>203</v>
      </c>
      <c r="AA3" s="27" t="s">
        <v>125</v>
      </c>
      <c r="AB3" s="27" t="s">
        <v>125</v>
      </c>
      <c r="AC3" s="27" t="s">
        <v>125</v>
      </c>
      <c r="AD3" s="27" t="s">
        <v>125</v>
      </c>
      <c r="AE3" s="27" t="s">
        <v>125</v>
      </c>
      <c r="AF3" s="27" t="s">
        <v>881</v>
      </c>
      <c r="AG3" s="27" t="s">
        <v>125</v>
      </c>
    </row>
    <row r="4" spans="1:33" outlineLevel="1" x14ac:dyDescent="0.3">
      <c r="A4" s="16" t="s">
        <v>1288</v>
      </c>
      <c r="B4" s="2">
        <v>144396</v>
      </c>
      <c r="C4" s="2">
        <v>77811</v>
      </c>
      <c r="D4" s="2">
        <v>77812</v>
      </c>
      <c r="E4" s="2">
        <v>91417</v>
      </c>
      <c r="F4" s="27">
        <v>101874</v>
      </c>
      <c r="G4" s="2">
        <v>74548</v>
      </c>
      <c r="H4" s="2">
        <v>74547</v>
      </c>
      <c r="I4" s="2">
        <v>89165</v>
      </c>
      <c r="J4" s="2">
        <v>88628</v>
      </c>
      <c r="K4" s="2">
        <v>90868</v>
      </c>
      <c r="L4" s="2">
        <v>90912</v>
      </c>
      <c r="M4" s="2">
        <v>90934</v>
      </c>
      <c r="N4" s="2">
        <v>90978</v>
      </c>
      <c r="O4" s="2">
        <v>91000</v>
      </c>
      <c r="P4" s="2">
        <v>32654</v>
      </c>
      <c r="Q4" s="2">
        <v>32684</v>
      </c>
      <c r="R4" s="2">
        <v>32701</v>
      </c>
      <c r="S4" s="2">
        <v>312</v>
      </c>
      <c r="T4" s="2">
        <v>781</v>
      </c>
      <c r="U4" s="2">
        <v>74567</v>
      </c>
      <c r="V4" s="2">
        <v>960</v>
      </c>
      <c r="W4" s="2">
        <v>32375</v>
      </c>
      <c r="X4" s="2">
        <v>87261</v>
      </c>
      <c r="Y4" s="2">
        <v>87298</v>
      </c>
      <c r="Z4" s="2">
        <v>88730</v>
      </c>
      <c r="AA4" s="27">
        <v>90340</v>
      </c>
      <c r="AB4" s="27">
        <v>90384</v>
      </c>
      <c r="AC4" s="27">
        <v>90406</v>
      </c>
      <c r="AD4" s="27">
        <v>90494</v>
      </c>
      <c r="AE4" s="27">
        <v>90516</v>
      </c>
      <c r="AF4" s="2">
        <v>89614</v>
      </c>
      <c r="AG4" s="27">
        <v>144765</v>
      </c>
    </row>
    <row r="5" spans="1:33" outlineLevel="1" x14ac:dyDescent="0.3">
      <c r="A5" t="s">
        <v>1291</v>
      </c>
      <c r="B5" s="27" t="s">
        <v>221</v>
      </c>
      <c r="C5" s="27" t="s">
        <v>194</v>
      </c>
      <c r="D5" s="27" t="s">
        <v>199</v>
      </c>
      <c r="E5" s="27" t="s">
        <v>1294</v>
      </c>
      <c r="F5" s="27" t="s">
        <v>189</v>
      </c>
      <c r="G5" s="27" t="s">
        <v>450</v>
      </c>
      <c r="H5" s="27" t="s">
        <v>454</v>
      </c>
      <c r="I5" s="27" t="s">
        <v>455</v>
      </c>
      <c r="J5" s="27" t="s">
        <v>457</v>
      </c>
      <c r="K5" s="27" t="s">
        <v>459</v>
      </c>
      <c r="L5" s="27" t="s">
        <v>461</v>
      </c>
      <c r="M5" s="27" t="s">
        <v>463</v>
      </c>
      <c r="N5" s="27" t="s">
        <v>465</v>
      </c>
      <c r="O5" s="27" t="s">
        <v>467</v>
      </c>
      <c r="P5" s="27" t="s">
        <v>468</v>
      </c>
      <c r="Q5" s="27" t="s">
        <v>469</v>
      </c>
      <c r="R5" s="27" t="s">
        <v>470</v>
      </c>
      <c r="S5" s="27" t="s">
        <v>472</v>
      </c>
      <c r="T5" s="27" t="s">
        <v>1295</v>
      </c>
      <c r="U5" s="27" t="s">
        <v>473</v>
      </c>
      <c r="V5" s="27" t="s">
        <v>474</v>
      </c>
      <c r="W5" s="27" t="s">
        <v>476</v>
      </c>
      <c r="X5" s="27" t="s">
        <v>478</v>
      </c>
      <c r="Y5" s="27" t="s">
        <v>480</v>
      </c>
      <c r="Z5" s="27" t="s">
        <v>481</v>
      </c>
      <c r="AA5" s="27" t="s">
        <v>483</v>
      </c>
      <c r="AB5" s="27" t="s">
        <v>484</v>
      </c>
      <c r="AC5" s="27" t="s">
        <v>485</v>
      </c>
      <c r="AD5" s="27" t="s">
        <v>486</v>
      </c>
      <c r="AE5" s="27" t="s">
        <v>487</v>
      </c>
      <c r="AF5" s="27" t="s">
        <v>880</v>
      </c>
      <c r="AG5" s="27" t="s">
        <v>488</v>
      </c>
    </row>
    <row r="6" spans="1:33" outlineLevel="1" x14ac:dyDescent="0.3">
      <c r="A6" t="s">
        <v>1289</v>
      </c>
      <c r="B6" s="27" t="s">
        <v>222</v>
      </c>
      <c r="C6" s="27" t="s">
        <v>196</v>
      </c>
      <c r="D6" s="27" t="s">
        <v>196</v>
      </c>
      <c r="E6" s="27" t="s">
        <v>187</v>
      </c>
      <c r="F6" s="27" t="s">
        <v>190</v>
      </c>
      <c r="G6" s="27" t="s">
        <v>451</v>
      </c>
      <c r="H6" s="27" t="s">
        <v>451</v>
      </c>
      <c r="I6" s="27" t="s">
        <v>451</v>
      </c>
      <c r="J6" s="27" t="s">
        <v>451</v>
      </c>
      <c r="K6" s="27" t="s">
        <v>451</v>
      </c>
      <c r="L6" s="27" t="s">
        <v>451</v>
      </c>
      <c r="M6" s="27" t="s">
        <v>451</v>
      </c>
      <c r="N6" s="27" t="s">
        <v>451</v>
      </c>
      <c r="O6" s="27" t="s">
        <v>451</v>
      </c>
      <c r="P6" s="27" t="s">
        <v>451</v>
      </c>
      <c r="Q6" s="27" t="s">
        <v>451</v>
      </c>
      <c r="R6" s="27" t="s">
        <v>451</v>
      </c>
      <c r="S6" s="27" t="s">
        <v>451</v>
      </c>
      <c r="T6" s="27" t="s">
        <v>451</v>
      </c>
      <c r="U6" s="27" t="s">
        <v>451</v>
      </c>
      <c r="V6" s="27" t="s">
        <v>451</v>
      </c>
      <c r="W6" s="27" t="s">
        <v>451</v>
      </c>
      <c r="X6" s="27" t="s">
        <v>451</v>
      </c>
      <c r="Y6" s="27" t="s">
        <v>451</v>
      </c>
      <c r="Z6" s="27" t="s">
        <v>451</v>
      </c>
      <c r="AA6" s="27" t="s">
        <v>451</v>
      </c>
      <c r="AB6" s="27" t="s">
        <v>451</v>
      </c>
      <c r="AC6" s="27" t="s">
        <v>451</v>
      </c>
      <c r="AD6" s="27" t="s">
        <v>451</v>
      </c>
      <c r="AE6" s="27" t="s">
        <v>451</v>
      </c>
      <c r="AF6" s="27" t="s">
        <v>451</v>
      </c>
      <c r="AG6" s="27" t="s">
        <v>451</v>
      </c>
    </row>
    <row r="7" spans="1:33" outlineLevel="1" x14ac:dyDescent="0.3">
      <c r="A7" t="s">
        <v>1290</v>
      </c>
      <c r="B7" s="27" t="s">
        <v>223</v>
      </c>
      <c r="C7" s="27" t="s">
        <v>197</v>
      </c>
      <c r="D7" s="27" t="s">
        <v>197</v>
      </c>
      <c r="E7" s="27" t="s">
        <v>188</v>
      </c>
      <c r="F7" s="27" t="s">
        <v>191</v>
      </c>
      <c r="G7" s="27" t="s">
        <v>452</v>
      </c>
      <c r="H7" s="27" t="s">
        <v>452</v>
      </c>
      <c r="I7" s="27" t="s">
        <v>452</v>
      </c>
      <c r="J7" s="27" t="s">
        <v>452</v>
      </c>
      <c r="K7" s="27" t="s">
        <v>452</v>
      </c>
      <c r="L7" s="27" t="s">
        <v>452</v>
      </c>
      <c r="M7" s="27" t="s">
        <v>452</v>
      </c>
      <c r="N7" s="27" t="s">
        <v>452</v>
      </c>
      <c r="O7" s="27" t="s">
        <v>452</v>
      </c>
      <c r="P7" s="27" t="s">
        <v>452</v>
      </c>
      <c r="Q7" s="27" t="s">
        <v>452</v>
      </c>
      <c r="R7" s="27" t="s">
        <v>452</v>
      </c>
      <c r="S7" s="27" t="s">
        <v>452</v>
      </c>
      <c r="T7" s="27" t="s">
        <v>452</v>
      </c>
      <c r="U7" s="27" t="s">
        <v>452</v>
      </c>
      <c r="V7" s="27" t="s">
        <v>452</v>
      </c>
      <c r="W7" s="27" t="s">
        <v>452</v>
      </c>
      <c r="X7" s="27" t="s">
        <v>452</v>
      </c>
      <c r="Y7" s="27" t="s">
        <v>452</v>
      </c>
      <c r="Z7" s="27" t="s">
        <v>452</v>
      </c>
      <c r="AA7" s="27" t="s">
        <v>452</v>
      </c>
      <c r="AB7" s="27" t="s">
        <v>452</v>
      </c>
      <c r="AC7" s="27" t="s">
        <v>452</v>
      </c>
      <c r="AD7" s="27" t="s">
        <v>452</v>
      </c>
      <c r="AE7" s="27" t="s">
        <v>452</v>
      </c>
      <c r="AF7" s="27" t="s">
        <v>452</v>
      </c>
      <c r="AG7" s="27" t="s">
        <v>452</v>
      </c>
    </row>
    <row r="8" spans="1:33" outlineLevel="1" x14ac:dyDescent="0.3">
      <c r="A8" s="16" t="s">
        <v>489</v>
      </c>
      <c r="B8" s="27" t="s">
        <v>120</v>
      </c>
      <c r="C8" s="27" t="s">
        <v>163</v>
      </c>
      <c r="D8" s="27" t="s">
        <v>163</v>
      </c>
      <c r="E8" s="27" t="s">
        <v>159</v>
      </c>
      <c r="F8" s="27"/>
      <c r="G8" s="27" t="s">
        <v>290</v>
      </c>
      <c r="H8" s="27" t="s">
        <v>293</v>
      </c>
      <c r="I8" s="27" t="s">
        <v>278</v>
      </c>
      <c r="J8" s="27" t="s">
        <v>120</v>
      </c>
      <c r="K8" s="27" t="s">
        <v>126</v>
      </c>
      <c r="L8" s="27" t="s">
        <v>129</v>
      </c>
      <c r="M8" s="27" t="s">
        <v>132</v>
      </c>
      <c r="N8" s="27" t="s">
        <v>135</v>
      </c>
      <c r="O8" s="27" t="s">
        <v>138</v>
      </c>
      <c r="P8" s="27" t="s">
        <v>141</v>
      </c>
      <c r="Q8" s="27" t="s">
        <v>146</v>
      </c>
      <c r="R8" s="27" t="s">
        <v>149</v>
      </c>
      <c r="S8" s="27" t="s">
        <v>154</v>
      </c>
      <c r="T8" s="27" t="s">
        <v>159</v>
      </c>
      <c r="U8" s="27" t="s">
        <v>163</v>
      </c>
      <c r="V8" s="27" t="s">
        <v>168</v>
      </c>
      <c r="W8" s="27" t="s">
        <v>217</v>
      </c>
      <c r="X8" s="27" t="s">
        <v>208</v>
      </c>
      <c r="Y8" s="27" t="s">
        <v>213</v>
      </c>
      <c r="Z8" s="27" t="s">
        <v>204</v>
      </c>
      <c r="AA8" s="27" t="s">
        <v>126</v>
      </c>
      <c r="AB8" s="27" t="s">
        <v>129</v>
      </c>
      <c r="AC8" s="27" t="s">
        <v>132</v>
      </c>
      <c r="AD8" s="27" t="s">
        <v>135</v>
      </c>
      <c r="AE8" s="27" t="s">
        <v>138</v>
      </c>
      <c r="AF8" s="27" t="s">
        <v>351</v>
      </c>
      <c r="AG8" s="27" t="s">
        <v>402</v>
      </c>
    </row>
    <row r="9" spans="1:33" outlineLevel="1" x14ac:dyDescent="0.3">
      <c r="A9" s="16" t="s">
        <v>490</v>
      </c>
      <c r="B9" s="27" t="s">
        <v>121</v>
      </c>
      <c r="C9" s="27" t="s">
        <v>164</v>
      </c>
      <c r="D9" s="27" t="s">
        <v>164</v>
      </c>
      <c r="E9" s="27" t="s">
        <v>160</v>
      </c>
      <c r="F9" s="27"/>
      <c r="G9" s="27" t="s">
        <v>291</v>
      </c>
      <c r="H9" s="27" t="s">
        <v>294</v>
      </c>
      <c r="I9" s="27" t="s">
        <v>279</v>
      </c>
      <c r="J9" s="27" t="s">
        <v>121</v>
      </c>
      <c r="K9" s="27" t="s">
        <v>127</v>
      </c>
      <c r="L9" s="27" t="s">
        <v>130</v>
      </c>
      <c r="M9" s="27" t="s">
        <v>133</v>
      </c>
      <c r="N9" s="27" t="s">
        <v>136</v>
      </c>
      <c r="O9" s="27" t="s">
        <v>139</v>
      </c>
      <c r="P9" s="27" t="s">
        <v>142</v>
      </c>
      <c r="Q9" s="27" t="s">
        <v>147</v>
      </c>
      <c r="R9" s="27" t="s">
        <v>150</v>
      </c>
      <c r="S9" s="27" t="s">
        <v>155</v>
      </c>
      <c r="T9" s="27" t="s">
        <v>160</v>
      </c>
      <c r="U9" s="27" t="s">
        <v>164</v>
      </c>
      <c r="V9" s="27" t="s">
        <v>169</v>
      </c>
      <c r="W9" s="27" t="s">
        <v>218</v>
      </c>
      <c r="X9" s="27" t="s">
        <v>209</v>
      </c>
      <c r="Y9" s="27" t="s">
        <v>214</v>
      </c>
      <c r="Z9" s="27" t="s">
        <v>205</v>
      </c>
      <c r="AA9" s="27" t="s">
        <v>127</v>
      </c>
      <c r="AB9" s="27" t="s">
        <v>130</v>
      </c>
      <c r="AC9" s="27" t="s">
        <v>133</v>
      </c>
      <c r="AD9" s="27" t="s">
        <v>136</v>
      </c>
      <c r="AE9" s="27" t="s">
        <v>139</v>
      </c>
      <c r="AF9" s="27" t="s">
        <v>352</v>
      </c>
      <c r="AG9" s="28" t="s">
        <v>403</v>
      </c>
    </row>
    <row r="10" spans="1:33" outlineLevel="1" x14ac:dyDescent="0.3">
      <c r="A10" s="16" t="s">
        <v>491</v>
      </c>
      <c r="B10" s="27" t="s">
        <v>224</v>
      </c>
      <c r="C10" s="27" t="s">
        <v>165</v>
      </c>
      <c r="D10" s="27" t="s">
        <v>200</v>
      </c>
      <c r="E10" s="27" t="s">
        <v>447</v>
      </c>
      <c r="F10" s="27"/>
      <c r="G10" s="27" t="s">
        <v>175</v>
      </c>
      <c r="H10" s="27" t="s">
        <v>175</v>
      </c>
      <c r="I10" s="27" t="s">
        <v>184</v>
      </c>
      <c r="J10" s="27" t="s">
        <v>122</v>
      </c>
      <c r="K10" s="27" t="s">
        <v>122</v>
      </c>
      <c r="L10" s="27" t="s">
        <v>122</v>
      </c>
      <c r="M10" s="27" t="s">
        <v>122</v>
      </c>
      <c r="N10" s="27" t="s">
        <v>122</v>
      </c>
      <c r="O10" s="27" t="s">
        <v>122</v>
      </c>
      <c r="P10" s="27" t="s">
        <v>143</v>
      </c>
      <c r="Q10" s="27" t="s">
        <v>143</v>
      </c>
      <c r="R10" s="27" t="s">
        <v>151</v>
      </c>
      <c r="S10" s="27" t="s">
        <v>156</v>
      </c>
      <c r="T10" s="27" t="s">
        <v>447</v>
      </c>
      <c r="U10" s="27" t="s">
        <v>165</v>
      </c>
      <c r="V10" s="27" t="s">
        <v>170</v>
      </c>
      <c r="W10" s="27" t="s">
        <v>219</v>
      </c>
      <c r="X10" s="27" t="s">
        <v>210</v>
      </c>
      <c r="Y10" s="27" t="s">
        <v>210</v>
      </c>
      <c r="Z10" s="27" t="s">
        <v>184</v>
      </c>
      <c r="AA10" s="27" t="s">
        <v>184</v>
      </c>
      <c r="AB10" s="27" t="s">
        <v>184</v>
      </c>
      <c r="AC10" s="27" t="s">
        <v>184</v>
      </c>
      <c r="AD10" s="27" t="s">
        <v>184</v>
      </c>
      <c r="AE10" s="27" t="s">
        <v>184</v>
      </c>
      <c r="AF10" s="27" t="s">
        <v>156</v>
      </c>
      <c r="AG10" s="27" t="s">
        <v>184</v>
      </c>
    </row>
    <row r="11" spans="1:33" ht="15.6" customHeight="1" outlineLevel="1" x14ac:dyDescent="0.3">
      <c r="A11" s="16" t="s">
        <v>492</v>
      </c>
      <c r="B11" s="27" t="s">
        <v>225</v>
      </c>
      <c r="C11" s="27" t="s">
        <v>166</v>
      </c>
      <c r="D11" s="27" t="s">
        <v>201</v>
      </c>
      <c r="E11" s="27" t="s">
        <v>448</v>
      </c>
      <c r="F11" s="27"/>
      <c r="G11" s="27" t="s">
        <v>176</v>
      </c>
      <c r="H11" s="27" t="s">
        <v>176</v>
      </c>
      <c r="I11" s="27" t="s">
        <v>185</v>
      </c>
      <c r="J11" s="27" t="s">
        <v>118</v>
      </c>
      <c r="K11" s="27" t="s">
        <v>118</v>
      </c>
      <c r="L11" s="27" t="s">
        <v>118</v>
      </c>
      <c r="M11" s="27" t="s">
        <v>118</v>
      </c>
      <c r="N11" s="27" t="s">
        <v>118</v>
      </c>
      <c r="O11" s="27" t="s">
        <v>118</v>
      </c>
      <c r="P11" s="27" t="s">
        <v>144</v>
      </c>
      <c r="Q11" s="27" t="s">
        <v>144</v>
      </c>
      <c r="R11" s="27" t="s">
        <v>152</v>
      </c>
      <c r="S11" s="27" t="s">
        <v>157</v>
      </c>
      <c r="T11" s="27" t="s">
        <v>448</v>
      </c>
      <c r="U11" s="27" t="s">
        <v>166</v>
      </c>
      <c r="V11" s="27" t="s">
        <v>171</v>
      </c>
      <c r="W11" s="27" t="s">
        <v>220</v>
      </c>
      <c r="X11" s="27" t="s">
        <v>211</v>
      </c>
      <c r="Y11" s="27" t="s">
        <v>211</v>
      </c>
      <c r="Z11" s="27" t="s">
        <v>185</v>
      </c>
      <c r="AA11" s="27" t="s">
        <v>185</v>
      </c>
      <c r="AB11" s="27" t="s">
        <v>185</v>
      </c>
      <c r="AC11" s="27" t="s">
        <v>185</v>
      </c>
      <c r="AD11" s="27" t="s">
        <v>185</v>
      </c>
      <c r="AE11" s="27" t="s">
        <v>185</v>
      </c>
      <c r="AF11" s="27" t="s">
        <v>157</v>
      </c>
      <c r="AG11" s="27" t="s">
        <v>185</v>
      </c>
    </row>
    <row r="12" spans="1:33" outlineLevel="1" x14ac:dyDescent="0.3">
      <c r="B12" s="4" t="str">
        <f>INDEX({"31/01/2024 @ 15:41","macro_id=DBGlobal","label_id=144396","time=Q","year_from=2000","year_to=2023","direction=V","opt_font=true","fontsize=8","opt_color=true","col_desc=Calculation:10;Footnote 1:9;ID:8;Label:7;Reporter:6:s;Reporter:5:long;Indicator:4:s;Indicator:3:l;Unit:2:s;Unit:1:long;","numberformat=0.00","auto_tr=1999|2015","com=true","comp=4"},1,1)</f>
        <v>31/01/2024 @ 15:41</v>
      </c>
      <c r="C12" s="4" t="str">
        <f>INDEX({"31/01/2024 @ 15:41","macro_id=DBGlobal","label_id=77811","time=Q","year_from=2000","year_to=2023","direction=V","opt_font=true","fontsize=8","opt_color=true","col_desc=Calculation:10;Footnote 1:9;ID:8;Label:7;Reporter:6:s;Reporter:5:long;Indicator:4:s;Indicator:3:l;Unit:2:s;Unit:1:long;","numberformat=0.00","auto_tr=1999|2015","com=true","comp=4"},1,1)</f>
        <v>31/01/2024 @ 15:41</v>
      </c>
      <c r="D12" s="6" t="str">
        <f>INDEX({"31/01/2024 @ 15:41","macro_id=DBGlobal","label_id=77812","calc=SubScal(L_77812,100)","time=Q","year_from=2000","year_to=2023","direction=V","opt_font=true","fontsize=8","opt_color=true","col_desc=Calculation:10;Footnote 1:9;ID:8;Label:7;Reporter:6:s;Reporter:5:long;Indicator:4:s;Indicator:3:l;Unit:2:s;Unit:1:long;","numberformat=0.00","auto_tr=1999|2015","com=true","comp=4"},1,1)</f>
        <v>31/01/2024 @ 15:41</v>
      </c>
      <c r="E12" s="4" t="str">
        <f>INDEX({"31/01/2024 @ 15:41","macro_id=DBGlobal","label_id=91417","time=Q","year_from=2000","year_to=2023","direction=V","opt_font=true","fontsize=8","opt_color=true","col_desc=Calculation:10;Footnote 1:9;ID:8;Label:7;Reporter:6:s;Reporter:5:long;Indicator:4:s;Indicator:3:l;Unit:2:s;Unit:1:long;","numberformat=0.00","auto_tr=1999|2015","com=true","comp=4"},1,1)</f>
        <v>31/01/2024 @ 15:41</v>
      </c>
      <c r="F12" s="4" t="str">
        <f>INDEX({"31/01/2024 @ 15:41","macro_id=DBGlobal","label_id=101874","time=Q","year_from=2000","year_to=2023","direction=V","opt_font=true","fontsize=8","opt_color=true","col_desc=Calculation:10;Footnote 1:9;ID:8;Label:7;Reporter:6:s;Reporter:5:long;Indicator:4:s;Indicator:3:l;Unit:2:s;Unit:1:long;","numberformat=0.00","auto_tr=1999|2015","com=true","comp=4"},1,1)</f>
        <v>31/01/2024 @ 15:41</v>
      </c>
      <c r="G12" s="5" t="str">
        <f>INDEX({"31/01/2024 @ 15:41","macro_id=DBGlobal","label_id=74548","calc=SubScal(CPPY=100(L_74548),100)","time=Q","year_from=2000","year_to=2023","direction=V","opt_font=true","fontsize=8","opt_color=true","col_desc=Calculation:10;Footnote 1:9;ID:8;Label:7;Reporter:6:s;Reporter:5:long;Indicator:4:s;Indicator:3:l;Unit:2:s;Unit:1:long;","numberformat=0.00","auto_tr=1999|2015","com=true","comp=4"},1,1)</f>
        <v>31/01/2024 @ 15:41</v>
      </c>
      <c r="H12" s="5" t="str">
        <f>INDEX({"31/01/2024 @ 15:41","macro_id=DBGlobal","label_id=74547","calc=SubScal(CPPY=100(L_74547),100)","time=Q","year_from=2000","year_to=2023","direction=V","opt_font=true","fontsize=8","opt_color=true","col_desc=Calculation:10;Footnote 1:9;ID:8;Label:7;Reporter:6:s;Reporter:5:long;Indicator:4:s;Indicator:3:l;Unit:2:s;Unit:1:long;","numberformat=0.00","auto_tr=1999|2015","com=true","comp=4"},1,1)</f>
        <v>31/01/2024 @ 15:41</v>
      </c>
      <c r="I12" s="1" t="str">
        <f>INDEX({"31/01/2024 @ 15:41","macro_id=DBGlobal","label_id=89165","time=Q","year_from=2000","year_to=2023","direction=V","opt_font=true","fontsize=8","opt_color=true","col_desc=Calculation:10;Footnote 1:9;ID:8;Label:7;Reporter:6:s;Reporter:5:long;Indicator:4:s;Indicator:3:l;Unit:2:s;Unit:1:long;","numberformat=0.00","auto_tr=1999|2015","com=true","comp=4"},1,1)</f>
        <v>31/01/2024 @ 15:41</v>
      </c>
      <c r="J12" s="5" t="str">
        <f>INDEX({"31/01/2024 @ 15:41","macro_id=DBGlobal","label_id=88628","calc=SubScal(CPPY=100(L_88628),100)","time=Q","year_from=2000","year_to=2023","direction=V","opt_font=true","fontsize=8","opt_color=true","col_desc=Calculation:10;Footnote 1:9;ID:8;Label:7;Reporter:6:s;Reporter:5:long;Indicator:4:s;Indicator:3:l;Unit:2:s;Unit:1:long;","numberformat=0.00","auto_tr=1999|2015","com=true","comp=4"},1,1)</f>
        <v>31/01/2024 @ 15:41</v>
      </c>
      <c r="K12" s="5" t="str">
        <f>INDEX({"31/01/2024 @ 15:41","macro_id=DBGlobal","label_id=90868","calc=SubScal(CPPY=100(L_90868),100)","time=Q","year_from=2000","year_to=2023","direction=V","opt_font=true","fontsize=8","opt_color=true","col_desc=Calculation:10;Footnote 1:9;ID:8;Label:7;Reporter:6:s;Reporter:5:long;Indicator:4:s;Indicator:3:l;Unit:2:s;Unit:1:long;","numberformat=0.00","auto_tr=1999|2015","com=true","comp=4"},1,1)</f>
        <v>31/01/2024 @ 15:41</v>
      </c>
      <c r="L12" s="5" t="str">
        <f>INDEX({"31/01/2024 @ 15:41","macro_id=DBGlobal","label_id=90912","calc=SubScal(CPPY=100(L_90912),100)","time=Q","year_from=2000","year_to=2023","direction=V","opt_font=true","fontsize=8","opt_color=true","col_desc=Calculation:10;Footnote 1:9;ID:8;Label:7;Reporter:6:s;Reporter:5:long;Indicator:4:s;Indicator:3:l;Unit:2:s;Unit:1:long;","numberformat=0.00","auto_tr=1999|2015","com=true","comp=4"},1,1)</f>
        <v>31/01/2024 @ 15:41</v>
      </c>
      <c r="M12" s="5" t="str">
        <f>INDEX({"31/01/2024 @ 15:41","macro_id=DBGlobal","label_id=90934","calc=SubScal(CPPY=100(L_90934),100)","time=Q","year_from=2000","year_to=2023","direction=V","opt_font=true","fontsize=8","opt_color=true","col_desc=Calculation:10;Footnote 1:9;ID:8;Label:7;Reporter:6:s;Reporter:5:long;Indicator:4:s;Indicator:3:l;Unit:2:s;Unit:1:long;","numberformat=0.00","auto_tr=1999|2015","com=true","comp=4"},1,1)</f>
        <v>31/01/2024 @ 15:41</v>
      </c>
      <c r="N12" s="5" t="str">
        <f>INDEX({"31/01/2024 @ 15:41","macro_id=DBGlobal","label_id=90978","calc=SubScal(CPPY=100(L_90978),100)","time=Q","year_from=2000","year_to=2023","direction=V","opt_font=true","fontsize=8","opt_color=true","col_desc=Calculation:10;Footnote 1:9;ID:8;Label:7;Reporter:6:s;Reporter:5:long;Indicator:4:s;Indicator:3:l;Unit:2:s;Unit:1:long;","numberformat=0.00","auto_tr=1999|2015","com=true","comp=4"},1,1)</f>
        <v>31/01/2024 @ 15:41</v>
      </c>
      <c r="O12" s="5" t="str">
        <f>INDEX({"31/01/2024 @ 15:41","macro_id=DBGlobal","label_id=91000","calc=SubScal(CPPY=100(L_91000),100)","time=Q","year_from=2000","year_to=2023","direction=V","opt_font=true","fontsize=8","opt_color=true","col_desc=Calculation:10;Footnote 1:9;ID:8;Label:7;Reporter:6:s;Reporter:5:long;Indicator:4:s;Indicator:3:l;Unit:2:s;Unit:1:long;","numberformat=0.00","auto_tr=1999|2015","com=true","comp=4"},1,1)</f>
        <v>31/01/2024 @ 15:41</v>
      </c>
      <c r="P12" s="1" t="str">
        <f>INDEX({"31/01/2024 @ 15:41","macro_id=DBGlobal","label_id=32654","time=Q","year_from=2000","year_to=2023","direction=V","opt_font=true","fontsize=8","opt_color=true","col_desc=Calculation:10;Footnote 1:9;ID:8;Label:7;Reporter:6:s;Reporter:5:long;Indicator:4:s;Indicator:3:l;Unit:2:s;Unit:1:long;","numberformat=0.00","auto_tr=1999|2015","com=true","comp=4"},1,1)</f>
        <v>31/01/2024 @ 15:41</v>
      </c>
      <c r="Q12" s="1" t="str">
        <f>INDEX({"31/01/2024 @ 15:41","macro_id=DBGlobal","label_id=32684","time=Q","year_from=2000","year_to=2023","direction=V","opt_font=true","fontsize=8","opt_color=true","col_desc=Calculation:10;Footnote 1:9;ID:8;Label:7;Reporter:6:s;Reporter:5:long;Indicator:4:s;Indicator:3:l;Unit:2:s;Unit:1:long;","numberformat=0.00","auto_tr=1999|2015","com=true","comp=4"},1,1)</f>
        <v>31/01/2024 @ 15:41</v>
      </c>
      <c r="R12" s="1" t="str">
        <f>INDEX({"31/01/2024 @ 15:41","macro_id=DBGlobal","label_id=32701","time=Q","year_from=2000","year_to=2023","direction=V","opt_font=true","fontsize=8","opt_color=true","col_desc=Calculation:10;Footnote 1:9;ID:8;Label:7;Reporter:6:s;Reporter:5:long;Indicator:4:s;Indicator:3:l;Unit:2:s;Unit:1:long;","numberformat=0.00","auto_tr=1999|2015","com=true","comp=4"},1,1)</f>
        <v>31/01/2024 @ 15:41</v>
      </c>
      <c r="S12" s="5" t="str">
        <f>INDEX({"31/01/2024 @ 15:41","macro_id=DBGlobal","label_id=312","calc=SubScal(L_312,100)","time=Q","year_from=2000","year_to=2023","direction=V","opt_font=true","fontsize=8","opt_color=true","col_desc=Calculation:10;Footnote 1:9;ID:8;Label:7;Reporter:6:s;Reporter:5:long;Indicator:4:s;Indicator:3:l;Unit:2:s;Unit:1:long;","numberformat=0.00","auto_tr=1999|2015","com=true","comp=4"},1,1)</f>
        <v>31/01/2024 @ 15:41</v>
      </c>
      <c r="T12" s="1" t="str">
        <f>INDEX({"31/01/2024 @ 15:41","macro_id=DBGlobal","label_id=781","time=Q","year_from=2000","year_to=2023","direction=V","opt_font=true","fontsize=8","opt_color=true","col_desc=Calculation:10;Footnote 1:9;ID:8;Label:7;Reporter:6:s;Reporter:5:long;Indicator:4:s;Indicator:3:l;Unit:2:s;Unit:1:long;","numberformat=0.00","auto_tr=1999|2015","com=true","comp=4"},1,1)</f>
        <v>31/01/2024 @ 15:41</v>
      </c>
      <c r="U12" s="1" t="str">
        <f>INDEX({"31/01/2024 @ 15:41","macro_id=DBGlobal","label_id=74567","time=Q","year_from=2000","year_to=2023","direction=V","opt_font=true","fontsize=8","opt_color=true","col_desc=Calculation:10;Footnote 1:9;ID:8;Label:7;Reporter:6:s;Reporter:5:long;Indicator:4:s;Indicator:3:l;Unit:2:s;Unit:1:long;","numberformat=0.00","auto_tr=1999|2015","com=true","comp=4"},1,1)</f>
        <v>31/01/2024 @ 15:41</v>
      </c>
      <c r="V12" s="1" t="str">
        <f>INDEX({"31/01/2024 @ 15:41","macro_id=DBGlobal","label_id=960","time=Q","year_from=2000","year_to=2023","direction=V","opt_font=true","fontsize=8","opt_color=true","col_desc=Calculation:10;Footnote 1:9;ID:8;Label:7;Reporter:6:s;Reporter:5:long;Indicator:4:s;Indicator:3:l;Unit:2:s;Unit:1:long;","numberformat=0.00","auto_tr=1999|2015","com=true","comp=4"},1,1)</f>
        <v>31/01/2024 @ 15:41</v>
      </c>
      <c r="W12" s="5" t="str">
        <f>INDEX({"31/01/2024 @ 15:41","macro_id=DBGlobal","label_id=32375","calc=SubScal(L_32375,100)","time=Q","year_from=2000","year_to=2023","direction=V","opt_font=true","fontsize=8","opt_color=true","col_desc=Calculation:10;Footnote 1:9;ID:8;Label:7;Reporter:6:s;Reporter:5:long;Indicator:4:s;Indicator:3:l;Unit:2:s;Unit:1:long;","numberformat=0.00","auto_tr=1999|2015","com=true","comp=4"},1,1)</f>
        <v>31/01/2024 @ 15:41</v>
      </c>
      <c r="X12" s="6" t="str">
        <f>INDEX({"31/01/2024 @ 15:41","macro_id=DBGlobal","label_id=87261","calc=SubScal(CPPY=100(AddNull(L_87261,L_87335)),100)","time=Q","year_from=2000","year_to=2023","direction=V","opt_font=true","fontsize=8","opt_color=true","col_desc=Calculation:10;Footnote 1:9;ID:8;Label:7;Reporter:6:s;Reporter:5:long;Indicator:4:s;Indicator:3:l;Unit:2:s;Unit:1:long;","numberformat=0.00","auto_tr=1999|2015","com=true","comp=4"},1,1)</f>
        <v>31/01/2024 @ 15:41</v>
      </c>
      <c r="Y12" s="6" t="str">
        <f>INDEX({"31/01/2024 @ 15:41","macro_id=DBGlobal","label_id=87298","calc=SubScal(CPPY=100(AddNull(L_87298,L_87372)),100)","time=Q","year_from=2000","year_to=2023","direction=V","opt_font=true","fontsize=8","opt_color=true","col_desc=Calculation:10;Footnote 1:9;ID:8;Label:7;Reporter:6:s;Reporter:5:long;Indicator:4:s;Indicator:3:l;Unit:2:s;Unit:1:long;","numberformat=0.00","auto_tr=1999|2015","com=true","comp=4"},1,1)</f>
        <v>31/01/2024 @ 15:41</v>
      </c>
      <c r="Z12" s="1" t="str">
        <f>INDEX({"31/01/2024 @ 15:41","macro_id=DBGlobal","label_id=88730","time=Q","year_from=2000","year_to=2023","direction=V","opt_font=true","fontsize=8","opt_color=true","col_desc=Calculation:10;Footnote 1:9;ID:8;Label:7;Reporter:6:s;Reporter:5:long;Indicator:4:s;Indicator:3:l;Unit:2:s;Unit:1:long;","numberformat=0.00","auto_tr=1999|2015","com=true","comp=4"},1,1)</f>
        <v>31/01/2024 @ 15:41</v>
      </c>
      <c r="AA12" s="5" t="str">
        <f>INDEX({"31/01/2024 @ 15:41","macro_id=DBGlobal","label_id=90340","calc=AddNull(L_90340,L_90362)","time=Q","year_from=2000","year_to=2023","direction=V","opt_font=true","fontsize=8","opt_color=true","col_desc=Calculation:10;Footnote 1:9;ID:8;Label:7;Reporter:6:s;Reporter:5:long;Indicator:4:s;Indicator:3:l;Unit:2:s;Unit:1:long;","numberformat=0.00","auto_tr=1999|2015","com=true","comp=4"},1,1)</f>
        <v>31/01/2024 @ 15:41</v>
      </c>
      <c r="AB12" s="1" t="str">
        <f>INDEX({"31/01/2024 @ 15:41","macro_id=DBGlobal","label_id=90384","time=Q","year_from=2000","year_to=2023","direction=V","opt_font=true","fontsize=8","opt_color=true","col_desc=Calculation:10;Footnote 1:9;ID:8;Label:7;Reporter:6:s;Reporter:5:long;Indicator:4:s;Indicator:3:l;Unit:2:s;Unit:1:long;","numberformat=0.00","auto_tr=1999|2015","com=true","comp=4"},1,1)</f>
        <v>31/01/2024 @ 15:41</v>
      </c>
      <c r="AC12" s="1" t="str">
        <f>INDEX({"31/01/2024 @ 15:41","macro_id=DBGlobal","label_id=90406","time=Q","year_from=2000","year_to=2023","direction=V","opt_font=true","fontsize=8","opt_color=true","col_desc=Calculation:10;Footnote 1:9;ID:8;Label:7;Reporter:6:s;Reporter:5:long;Indicator:4:s;Indicator:3:l;Unit:2:s;Unit:1:long;","numberformat=0.00","auto_tr=1999|2015","com=true","comp=4"},1,1)</f>
        <v>31/01/2024 @ 15:41</v>
      </c>
      <c r="AD12" s="1" t="str">
        <f>INDEX({"31/01/2024 @ 15:41","macro_id=DBGlobal","label_id=90494","time=Q","year_from=2000","year_to=2023","direction=V","opt_font=true","fontsize=8","opt_color=true","col_desc=Calculation:10;Footnote 1:9;ID:8;Label:7;Reporter:6:s;Reporter:5:long;Indicator:4:s;Indicator:3:l;Unit:2:s;Unit:1:long;","numberformat=0.00","auto_tr=1999|2015","com=true","comp=4"},1,1)</f>
        <v>31/01/2024 @ 15:41</v>
      </c>
      <c r="AE12" s="1" t="str">
        <f>INDEX({"31/01/2024 @ 15:41","macro_id=DBGlobal","label_id=90516","time=Q","year_from=2000","year_to=2023","direction=V","opt_font=true","fontsize=8","opt_color=true","col_desc=Calculation:10;Footnote 1:9;ID:8;Label:7;Reporter:6:s;Reporter:5:long;Indicator:4:s;Indicator:3:l;Unit:2:s;Unit:1:long;","numberformat=0.00","auto_tr=1999|2015","com=true","comp=4"},1,1)</f>
        <v>31/01/2024 @ 15:41</v>
      </c>
      <c r="AF12" s="5" t="str">
        <f>INDEX({"31/01/2024 @ 15:41","macro_id=DBGlobal","label_id=89614","calc=SubScal(L_89614,100)","time=Q","year_from=2000","year_to=2023","direction=V","opt_font=true","fontsize=8","opt_color=true","col_desc=Calculation:10;Footnote 1:9;ID:8;Label:7;Reporter:6:s;Reporter:5:long;Indicator:4:s;Indicator:3:l;Unit:2:s;Unit:1:long;","numberformat=0.00","auto_tr=1999|2015","com=true","comp=4"},1,1)</f>
        <v>31/01/2024 @ 15:41</v>
      </c>
      <c r="AG12" s="4" t="str">
        <f>INDEX({"31/01/2024 @ 15:41","macro_id=DBGlobal","label_id=144765","time=Q","year_from=2000","year_to=2023","direction=V","opt_font=true","fontsize=8","opt_color=true","col_desc=Calculation:10;Footnote 1:9;ID:8;Label:7;Reporter:6:s;Reporter:5:long;Indicator:4:s;Indicator:3:l;Unit:2:s;Unit:1:long;","numberformat=0.00","auto_tr=1999|2015","com=true","comp=4"},1,1)</f>
        <v>31/01/2024 @ 15:41</v>
      </c>
    </row>
    <row r="13" spans="1:33" s="11" customFormat="1" x14ac:dyDescent="0.3">
      <c r="A13" s="11" t="s">
        <v>19</v>
      </c>
      <c r="B13" s="12">
        <v>4.8214176000000002</v>
      </c>
      <c r="C13" s="12">
        <v>73.989999999999995</v>
      </c>
      <c r="D13" s="12">
        <v>1.7557532</v>
      </c>
      <c r="E13" s="12">
        <v>3.5</v>
      </c>
      <c r="F13" s="13">
        <v>26.926666699999998</v>
      </c>
      <c r="G13" s="12">
        <v>0.37318499999999999</v>
      </c>
      <c r="H13" s="12">
        <v>3.4947385999999998</v>
      </c>
      <c r="I13" s="12">
        <v>-10.179380699999999</v>
      </c>
      <c r="J13" s="12">
        <v>4.4065887999999998</v>
      </c>
      <c r="K13" s="12">
        <v>6.8687125</v>
      </c>
      <c r="L13" s="12">
        <v>-0.77091359999999998</v>
      </c>
      <c r="M13" s="12">
        <v>-8.0094308000000005</v>
      </c>
      <c r="N13" s="12">
        <v>17.5719718</v>
      </c>
      <c r="O13" s="12">
        <v>5.4496700000000002</v>
      </c>
      <c r="P13" s="7" t="s">
        <v>107</v>
      </c>
      <c r="Q13" s="7" t="s">
        <v>107</v>
      </c>
      <c r="R13" s="7" t="s">
        <v>107</v>
      </c>
      <c r="S13" s="12">
        <v>10.357772199999999</v>
      </c>
      <c r="T13" s="12">
        <v>7.9</v>
      </c>
      <c r="U13" s="12">
        <v>67.7933333</v>
      </c>
      <c r="V13" s="12">
        <v>1.0279426</v>
      </c>
      <c r="W13" s="7" t="s">
        <v>107</v>
      </c>
      <c r="X13" s="7" t="s">
        <v>107</v>
      </c>
      <c r="Y13" s="7" t="s">
        <v>107</v>
      </c>
      <c r="Z13" s="12">
        <v>-6.9869428999999998</v>
      </c>
      <c r="AA13" s="12">
        <v>65.700528700000007</v>
      </c>
      <c r="AB13" s="12">
        <v>24.932024200000001</v>
      </c>
      <c r="AC13" s="12">
        <v>19.2938066</v>
      </c>
      <c r="AD13" s="12">
        <v>27.651057399999999</v>
      </c>
      <c r="AE13" s="12">
        <v>37.579305099999999</v>
      </c>
      <c r="AF13" s="7" t="s">
        <v>107</v>
      </c>
      <c r="AG13" s="12">
        <v>29.796025700000001</v>
      </c>
    </row>
    <row r="14" spans="1:33" s="11" customFormat="1" outlineLevel="1" x14ac:dyDescent="0.3">
      <c r="A14" s="11" t="s">
        <v>20</v>
      </c>
      <c r="B14" s="12">
        <v>4.3154814000000004</v>
      </c>
      <c r="C14" s="12">
        <v>74.493333300000003</v>
      </c>
      <c r="D14" s="12">
        <v>1.6742492</v>
      </c>
      <c r="E14" s="12">
        <v>4.25</v>
      </c>
      <c r="F14" s="13">
        <v>26.766666699999998</v>
      </c>
      <c r="G14" s="12">
        <v>3.9466890000000001</v>
      </c>
      <c r="H14" s="12">
        <v>3.1759235000000001</v>
      </c>
      <c r="I14" s="12">
        <v>-8.2554805000000009</v>
      </c>
      <c r="J14" s="12">
        <v>0.92485810000000002</v>
      </c>
      <c r="K14" s="12">
        <v>6.8360398</v>
      </c>
      <c r="L14" s="12">
        <v>-3.5482906000000001</v>
      </c>
      <c r="M14" s="12">
        <v>-15.341931600000001</v>
      </c>
      <c r="N14" s="12">
        <v>12.8491388</v>
      </c>
      <c r="O14" s="12">
        <v>3.9753303999999998</v>
      </c>
      <c r="P14" s="7">
        <v>1534</v>
      </c>
      <c r="Q14" s="7">
        <v>273</v>
      </c>
      <c r="R14" s="7">
        <v>15.1</v>
      </c>
      <c r="S14" s="12">
        <v>5.9400864000000002</v>
      </c>
      <c r="T14" s="12">
        <v>5.9</v>
      </c>
      <c r="U14" s="12">
        <v>68.849999999999994</v>
      </c>
      <c r="V14" s="12">
        <v>1.0212445000000001</v>
      </c>
      <c r="W14" s="7" t="s">
        <v>107</v>
      </c>
      <c r="X14" s="7" t="s">
        <v>107</v>
      </c>
      <c r="Y14" s="7" t="s">
        <v>107</v>
      </c>
      <c r="Z14" s="12">
        <v>-6.8202297999999999</v>
      </c>
      <c r="AA14" s="12">
        <v>62.649066699999999</v>
      </c>
      <c r="AB14" s="12">
        <v>23.006994200000001</v>
      </c>
      <c r="AC14" s="12">
        <v>21.797688699999998</v>
      </c>
      <c r="AD14" s="12">
        <v>31.4268462</v>
      </c>
      <c r="AE14" s="12">
        <v>38.880595800000002</v>
      </c>
      <c r="AF14" s="7" t="s">
        <v>107</v>
      </c>
      <c r="AG14" s="12">
        <v>30.051880499999999</v>
      </c>
    </row>
    <row r="15" spans="1:33" s="11" customFormat="1" outlineLevel="1" x14ac:dyDescent="0.3">
      <c r="A15" s="11" t="s">
        <v>21</v>
      </c>
      <c r="B15" s="12">
        <v>3.5071058000000002</v>
      </c>
      <c r="C15" s="12">
        <v>74.819999999999993</v>
      </c>
      <c r="D15" s="12">
        <v>1.9670194000000001</v>
      </c>
      <c r="E15" s="17">
        <v>4.5</v>
      </c>
      <c r="F15" s="13">
        <v>30.673333299999999</v>
      </c>
      <c r="G15" s="12">
        <v>4.8126685</v>
      </c>
      <c r="H15" s="12">
        <v>2.8914637999999999</v>
      </c>
      <c r="I15" s="12">
        <v>-7.0189078</v>
      </c>
      <c r="J15" s="12">
        <v>3.5518616999999999</v>
      </c>
      <c r="K15" s="12">
        <v>1.5204559</v>
      </c>
      <c r="L15" s="12">
        <v>-3.6265317000000001</v>
      </c>
      <c r="M15" s="12">
        <v>12.496958899999999</v>
      </c>
      <c r="N15" s="12">
        <v>12.834014099999999</v>
      </c>
      <c r="O15" s="12">
        <v>11.5472337</v>
      </c>
      <c r="P15" s="7" t="s">
        <v>107</v>
      </c>
      <c r="Q15" s="7" t="s">
        <v>107</v>
      </c>
      <c r="R15" s="7" t="s">
        <v>107</v>
      </c>
      <c r="S15" s="12">
        <v>6.4464022999999999</v>
      </c>
      <c r="T15" s="12">
        <v>5.9</v>
      </c>
      <c r="U15" s="12">
        <v>69.953333299999997</v>
      </c>
      <c r="V15" s="12">
        <v>1.005393</v>
      </c>
      <c r="W15" s="7" t="s">
        <v>107</v>
      </c>
      <c r="X15" s="7" t="s">
        <v>107</v>
      </c>
      <c r="Y15" s="7" t="s">
        <v>107</v>
      </c>
      <c r="Z15" s="12">
        <v>13.4203809</v>
      </c>
      <c r="AA15" s="12">
        <v>51.753626799999999</v>
      </c>
      <c r="AB15" s="12">
        <v>20.423041399999999</v>
      </c>
      <c r="AC15" s="12">
        <v>16.509468600000002</v>
      </c>
      <c r="AD15" s="12">
        <v>47.083156099999997</v>
      </c>
      <c r="AE15" s="12">
        <v>35.767825999999999</v>
      </c>
      <c r="AF15" s="7" t="s">
        <v>107</v>
      </c>
      <c r="AG15" s="12">
        <v>32.897587100000003</v>
      </c>
    </row>
    <row r="16" spans="1:33" s="11" customFormat="1" outlineLevel="1" x14ac:dyDescent="0.3">
      <c r="A16" s="11" t="s">
        <v>22</v>
      </c>
      <c r="B16" s="12">
        <v>2.8994336000000001</v>
      </c>
      <c r="C16" s="12">
        <v>75.3</v>
      </c>
      <c r="D16" s="12">
        <v>2.2218200000000001</v>
      </c>
      <c r="E16" s="17">
        <v>4.75</v>
      </c>
      <c r="F16" s="13">
        <v>29.7233333</v>
      </c>
      <c r="G16" s="12">
        <v>5.7879363000000001</v>
      </c>
      <c r="H16" s="12">
        <v>2.5327603000000001</v>
      </c>
      <c r="I16" s="12">
        <v>-10.2354041</v>
      </c>
      <c r="J16" s="12">
        <v>3.0606772000000002</v>
      </c>
      <c r="K16" s="12">
        <v>3.7059066999999999</v>
      </c>
      <c r="L16" s="12">
        <v>-5.0618011000000003</v>
      </c>
      <c r="M16" s="12">
        <v>7.2663618000000003</v>
      </c>
      <c r="N16" s="12">
        <v>14.121950099999999</v>
      </c>
      <c r="O16" s="12">
        <v>7.4329425999999996</v>
      </c>
      <c r="P16" s="7">
        <v>1572</v>
      </c>
      <c r="Q16" s="7">
        <v>322</v>
      </c>
      <c r="R16" s="7">
        <v>17</v>
      </c>
      <c r="S16" s="12">
        <v>5.3176601999999997</v>
      </c>
      <c r="T16" s="12">
        <v>5.9</v>
      </c>
      <c r="U16" s="12">
        <v>70.69</v>
      </c>
      <c r="V16" s="12">
        <v>1.0039596</v>
      </c>
      <c r="W16" s="7" t="s">
        <v>107</v>
      </c>
      <c r="X16" s="7" t="s">
        <v>107</v>
      </c>
      <c r="Y16" s="7" t="s">
        <v>107</v>
      </c>
      <c r="Z16" s="12">
        <v>-11.7755153</v>
      </c>
      <c r="AA16" s="12">
        <v>70.8234894</v>
      </c>
      <c r="AB16" s="12">
        <v>23.696779100000001</v>
      </c>
      <c r="AC16" s="12">
        <v>20.113877800000001</v>
      </c>
      <c r="AD16" s="12">
        <v>31.639330300000001</v>
      </c>
      <c r="AE16" s="12">
        <v>46.273476700000003</v>
      </c>
      <c r="AF16" s="7" t="s">
        <v>107</v>
      </c>
      <c r="AG16" s="12">
        <v>35.444031199999998</v>
      </c>
    </row>
    <row r="17" spans="1:33" s="11" customFormat="1" outlineLevel="1" x14ac:dyDescent="0.3">
      <c r="A17" s="11" t="s">
        <v>23</v>
      </c>
      <c r="B17" s="12">
        <v>3.0047543999999999</v>
      </c>
      <c r="C17" s="12">
        <v>75.393333299999995</v>
      </c>
      <c r="D17" s="12">
        <v>1.8966527</v>
      </c>
      <c r="E17" s="17">
        <v>4.75</v>
      </c>
      <c r="F17" s="13">
        <v>25.873333299999999</v>
      </c>
      <c r="G17" s="12">
        <v>1.2742513</v>
      </c>
      <c r="H17" s="12">
        <v>7.4726182999999997</v>
      </c>
      <c r="I17" s="12">
        <v>-6.9319236000000002</v>
      </c>
      <c r="J17" s="12">
        <v>2.0520741</v>
      </c>
      <c r="K17" s="12">
        <v>6.3975793999999997</v>
      </c>
      <c r="L17" s="12">
        <v>-3.4750656000000002</v>
      </c>
      <c r="M17" s="12">
        <v>16.490919699999999</v>
      </c>
      <c r="N17" s="12">
        <v>2.6611227</v>
      </c>
      <c r="O17" s="12">
        <v>12.0926411</v>
      </c>
      <c r="P17" s="7" t="s">
        <v>107</v>
      </c>
      <c r="Q17" s="7" t="s">
        <v>107</v>
      </c>
      <c r="R17" s="7" t="s">
        <v>107</v>
      </c>
      <c r="S17" s="12">
        <v>3.8528289</v>
      </c>
      <c r="T17" s="12">
        <v>5.9</v>
      </c>
      <c r="U17" s="12">
        <v>71.256666699999997</v>
      </c>
      <c r="V17" s="12">
        <v>1.0201296</v>
      </c>
      <c r="W17" s="12">
        <v>5.5105348000000003</v>
      </c>
      <c r="X17" s="7" t="s">
        <v>107</v>
      </c>
      <c r="Y17" s="7" t="s">
        <v>107</v>
      </c>
      <c r="Z17" s="12">
        <v>-10.8377274</v>
      </c>
      <c r="AA17" s="12">
        <v>68.020375700000002</v>
      </c>
      <c r="AB17" s="12">
        <v>22.845589700000001</v>
      </c>
      <c r="AC17" s="12">
        <v>22.971624599999998</v>
      </c>
      <c r="AD17" s="12">
        <v>28.231834299999999</v>
      </c>
      <c r="AE17" s="12">
        <v>42.069424300000001</v>
      </c>
      <c r="AF17" s="12">
        <v>28.372834900000001</v>
      </c>
      <c r="AG17" s="12">
        <v>36.723233999999998</v>
      </c>
    </row>
    <row r="18" spans="1:33" s="11" customFormat="1" outlineLevel="1" x14ac:dyDescent="0.3">
      <c r="A18" s="11" t="s">
        <v>24</v>
      </c>
      <c r="B18" s="12">
        <v>2.2522867999999998</v>
      </c>
      <c r="C18" s="12">
        <v>76.483333299999998</v>
      </c>
      <c r="D18" s="12">
        <v>2.6713800000000001</v>
      </c>
      <c r="E18" s="17">
        <v>4.5</v>
      </c>
      <c r="F18" s="13">
        <v>27.273333300000001</v>
      </c>
      <c r="G18" s="12">
        <v>1.9837944000000001</v>
      </c>
      <c r="H18" s="12">
        <v>8.8277327999999997</v>
      </c>
      <c r="I18" s="12">
        <v>-4.8681792000000002</v>
      </c>
      <c r="J18" s="12">
        <v>3.7932424999999999</v>
      </c>
      <c r="K18" s="12">
        <v>8.1788523000000009</v>
      </c>
      <c r="L18" s="12">
        <v>-3.3429782000000001</v>
      </c>
      <c r="M18" s="12">
        <v>28.674343100000002</v>
      </c>
      <c r="N18" s="12">
        <v>2.4677283000000001</v>
      </c>
      <c r="O18" s="12">
        <v>17.981222200000001</v>
      </c>
      <c r="P18" s="7">
        <v>1460</v>
      </c>
      <c r="Q18" s="7">
        <v>264</v>
      </c>
      <c r="R18" s="7">
        <v>15.3</v>
      </c>
      <c r="S18" s="12">
        <v>5.1092367000000003</v>
      </c>
      <c r="T18" s="12">
        <v>5.9</v>
      </c>
      <c r="U18" s="12">
        <v>72.650000000000006</v>
      </c>
      <c r="V18" s="12">
        <v>0.98475460000000004</v>
      </c>
      <c r="W18" s="12">
        <v>6.3764795999999997</v>
      </c>
      <c r="X18" s="7" t="s">
        <v>107</v>
      </c>
      <c r="Y18" s="7" t="s">
        <v>107</v>
      </c>
      <c r="Z18" s="12">
        <v>-14.372303799999999</v>
      </c>
      <c r="AA18" s="12">
        <v>65.771387099999998</v>
      </c>
      <c r="AB18" s="12">
        <v>21.0017453</v>
      </c>
      <c r="AC18" s="12">
        <v>27.100869500000002</v>
      </c>
      <c r="AD18" s="12">
        <v>31.022286699999999</v>
      </c>
      <c r="AE18" s="12">
        <v>44.896288599999998</v>
      </c>
      <c r="AF18" s="12">
        <v>31.909193500000001</v>
      </c>
      <c r="AG18" s="12">
        <v>36.435089900000001</v>
      </c>
    </row>
    <row r="19" spans="1:33" s="11" customFormat="1" outlineLevel="1" x14ac:dyDescent="0.3">
      <c r="A19" s="11" t="s">
        <v>25</v>
      </c>
      <c r="B19" s="12">
        <v>1.8991327</v>
      </c>
      <c r="C19" s="12">
        <v>76.516666700000002</v>
      </c>
      <c r="D19" s="12">
        <v>2.2676647000000001</v>
      </c>
      <c r="E19" s="17">
        <v>3.75</v>
      </c>
      <c r="F19" s="13">
        <v>25.303333299999998</v>
      </c>
      <c r="G19" s="12">
        <v>-3.1370114</v>
      </c>
      <c r="H19" s="12">
        <v>8.0827908999999991</v>
      </c>
      <c r="I19" s="12">
        <v>-1.8964852000000001</v>
      </c>
      <c r="J19" s="12">
        <v>3.4859344999999999</v>
      </c>
      <c r="K19" s="12">
        <v>2.7066583999999998</v>
      </c>
      <c r="L19" s="12">
        <v>-3.9740554000000001</v>
      </c>
      <c r="M19" s="12">
        <v>-12.7955594</v>
      </c>
      <c r="N19" s="12">
        <v>18.020847</v>
      </c>
      <c r="O19" s="12">
        <v>11.400587</v>
      </c>
      <c r="P19" s="7" t="s">
        <v>107</v>
      </c>
      <c r="Q19" s="7" t="s">
        <v>107</v>
      </c>
      <c r="R19" s="7" t="s">
        <v>107</v>
      </c>
      <c r="S19" s="12">
        <v>3.7453441999999999</v>
      </c>
      <c r="T19" s="12">
        <v>5.9</v>
      </c>
      <c r="U19" s="12">
        <v>72.61</v>
      </c>
      <c r="V19" s="12">
        <v>0.98343619999999998</v>
      </c>
      <c r="W19" s="12">
        <v>5.8616647000000004</v>
      </c>
      <c r="X19" s="7" t="s">
        <v>107</v>
      </c>
      <c r="Y19" s="7" t="s">
        <v>107</v>
      </c>
      <c r="Z19" s="12">
        <v>18.4224982</v>
      </c>
      <c r="AA19" s="12">
        <v>52.3523578</v>
      </c>
      <c r="AB19" s="12">
        <v>18.390535499999999</v>
      </c>
      <c r="AC19" s="12">
        <v>13.4255178</v>
      </c>
      <c r="AD19" s="12">
        <v>53.960996000000002</v>
      </c>
      <c r="AE19" s="12">
        <v>38.128030000000003</v>
      </c>
      <c r="AF19" s="12">
        <v>35.889865299999997</v>
      </c>
      <c r="AG19" s="12">
        <v>37.348064200000003</v>
      </c>
    </row>
    <row r="20" spans="1:33" s="11" customFormat="1" outlineLevel="1" x14ac:dyDescent="0.3">
      <c r="A20" s="11" t="s">
        <v>26</v>
      </c>
      <c r="B20" s="12">
        <v>1.4300580000000001</v>
      </c>
      <c r="C20" s="12">
        <v>76.746666700000006</v>
      </c>
      <c r="D20" s="12">
        <v>1.9212041</v>
      </c>
      <c r="E20" s="17">
        <v>3.25</v>
      </c>
      <c r="F20" s="13">
        <v>19.350000000000001</v>
      </c>
      <c r="G20" s="12">
        <v>-0.9650147</v>
      </c>
      <c r="H20" s="12">
        <v>8.3485072000000002</v>
      </c>
      <c r="I20" s="12">
        <v>-5.1612800999999999</v>
      </c>
      <c r="J20" s="12">
        <v>3.0114141999999999</v>
      </c>
      <c r="K20" s="12">
        <v>6.0571826</v>
      </c>
      <c r="L20" s="12">
        <v>-1.9735483</v>
      </c>
      <c r="M20" s="12">
        <v>1.9316591999999999</v>
      </c>
      <c r="N20" s="12">
        <v>8.8684776000000003</v>
      </c>
      <c r="O20" s="12">
        <v>6.8667297999999999</v>
      </c>
      <c r="P20" s="7">
        <v>1478</v>
      </c>
      <c r="Q20" s="7">
        <v>289</v>
      </c>
      <c r="R20" s="7">
        <v>16.3</v>
      </c>
      <c r="S20" s="12">
        <v>3.0959341</v>
      </c>
      <c r="T20" s="12">
        <v>5.9</v>
      </c>
      <c r="U20" s="12">
        <v>72.583333300000007</v>
      </c>
      <c r="V20" s="12">
        <v>0.98457320000000004</v>
      </c>
      <c r="W20" s="12">
        <v>6.0076045000000002</v>
      </c>
      <c r="X20" s="7" t="s">
        <v>107</v>
      </c>
      <c r="Y20" s="7" t="s">
        <v>107</v>
      </c>
      <c r="Z20" s="12">
        <v>-9.2616458999999995</v>
      </c>
      <c r="AA20" s="12">
        <v>71.2472432</v>
      </c>
      <c r="AB20" s="12">
        <v>21.698637099999999</v>
      </c>
      <c r="AC20" s="12">
        <v>19.6376156</v>
      </c>
      <c r="AD20" s="12">
        <v>32.125914299999998</v>
      </c>
      <c r="AE20" s="12">
        <v>44.709410300000002</v>
      </c>
      <c r="AF20" s="12">
        <v>29.334239799999999</v>
      </c>
      <c r="AG20" s="12">
        <v>36.594695399999999</v>
      </c>
    </row>
    <row r="21" spans="1:33" s="11" customFormat="1" outlineLevel="1" x14ac:dyDescent="0.3">
      <c r="A21" s="11" t="s">
        <v>27</v>
      </c>
      <c r="B21" s="12">
        <v>7.1740499999999999E-2</v>
      </c>
      <c r="C21" s="12">
        <v>77.180000000000007</v>
      </c>
      <c r="D21" s="12">
        <v>2.3697940000000002</v>
      </c>
      <c r="E21" s="17">
        <v>3.25</v>
      </c>
      <c r="F21" s="13">
        <v>21.1333333</v>
      </c>
      <c r="G21" s="12">
        <v>6.2109936000000001</v>
      </c>
      <c r="H21" s="12">
        <v>5.7493366000000004</v>
      </c>
      <c r="I21" s="12">
        <v>-6.9006220999999996</v>
      </c>
      <c r="J21" s="12">
        <v>4.8744744999999998</v>
      </c>
      <c r="K21" s="12">
        <v>9.5314212999999999</v>
      </c>
      <c r="L21" s="12">
        <v>6.3682837000000001</v>
      </c>
      <c r="M21" s="12">
        <v>11.252200200000001</v>
      </c>
      <c r="N21" s="12">
        <v>5.0762792000000001</v>
      </c>
      <c r="O21" s="12">
        <v>16.899343900000002</v>
      </c>
      <c r="P21" s="7">
        <v>1520.7</v>
      </c>
      <c r="Q21" s="7" t="s">
        <v>107</v>
      </c>
      <c r="R21" s="7" t="s">
        <v>107</v>
      </c>
      <c r="S21" s="12">
        <v>2.9411765000000001</v>
      </c>
      <c r="T21" s="12">
        <v>5.9</v>
      </c>
      <c r="U21" s="12">
        <v>73.483333299999998</v>
      </c>
      <c r="V21" s="12">
        <v>0.99119159999999995</v>
      </c>
      <c r="W21" s="12">
        <v>1.3056835</v>
      </c>
      <c r="X21" s="7" t="s">
        <v>107</v>
      </c>
      <c r="Y21" s="7" t="s">
        <v>107</v>
      </c>
      <c r="Z21" s="12">
        <v>-14.7856568</v>
      </c>
      <c r="AA21" s="12">
        <v>69.856436400000007</v>
      </c>
      <c r="AB21" s="12">
        <v>22.493220600000001</v>
      </c>
      <c r="AC21" s="12">
        <v>25.056627899999999</v>
      </c>
      <c r="AD21" s="12">
        <v>27.0633275</v>
      </c>
      <c r="AE21" s="12">
        <v>44.471207499999998</v>
      </c>
      <c r="AF21" s="12">
        <v>29.661475299999999</v>
      </c>
      <c r="AG21" s="12">
        <v>34.889777899999999</v>
      </c>
    </row>
    <row r="22" spans="1:33" s="11" customFormat="1" outlineLevel="1" x14ac:dyDescent="0.3">
      <c r="A22" s="11" t="s">
        <v>28</v>
      </c>
      <c r="B22" s="12">
        <v>1.2490021</v>
      </c>
      <c r="C22" s="12">
        <v>77.933333300000001</v>
      </c>
      <c r="D22" s="12">
        <v>1.8958379000000001</v>
      </c>
      <c r="E22" s="17">
        <v>3.25</v>
      </c>
      <c r="F22" s="13">
        <v>25.053333299999998</v>
      </c>
      <c r="G22" s="12">
        <v>3.2267883999999998</v>
      </c>
      <c r="H22" s="12">
        <v>4.8016700999999999</v>
      </c>
      <c r="I22" s="12">
        <v>-4.0067881999999999</v>
      </c>
      <c r="J22" s="12">
        <v>4.9562870999999999</v>
      </c>
      <c r="K22" s="12">
        <v>9.1032703000000001</v>
      </c>
      <c r="L22" s="12">
        <v>4.4368417999999998</v>
      </c>
      <c r="M22" s="12">
        <v>-0.4772613</v>
      </c>
      <c r="N22" s="12">
        <v>14.0621635</v>
      </c>
      <c r="O22" s="12">
        <v>13.815789499999999</v>
      </c>
      <c r="P22" s="7">
        <v>1520.7</v>
      </c>
      <c r="Q22" s="7">
        <v>273</v>
      </c>
      <c r="R22" s="7">
        <v>15.2</v>
      </c>
      <c r="S22" s="12">
        <v>6.7749785999999999</v>
      </c>
      <c r="T22" s="12">
        <v>5.9</v>
      </c>
      <c r="U22" s="12">
        <v>74.083333300000007</v>
      </c>
      <c r="V22" s="12">
        <v>0.97850780000000004</v>
      </c>
      <c r="W22" s="12">
        <v>1.615219</v>
      </c>
      <c r="X22" s="7" t="s">
        <v>107</v>
      </c>
      <c r="Y22" s="7" t="s">
        <v>107</v>
      </c>
      <c r="Z22" s="12">
        <v>-13.5465885</v>
      </c>
      <c r="AA22" s="12">
        <v>67.748662499999995</v>
      </c>
      <c r="AB22" s="12">
        <v>20.662428800000001</v>
      </c>
      <c r="AC22" s="12">
        <v>25.507679899999999</v>
      </c>
      <c r="AD22" s="12">
        <v>33.3803141</v>
      </c>
      <c r="AE22" s="12">
        <v>47.299085300000002</v>
      </c>
      <c r="AF22" s="12">
        <v>34.313108100000001</v>
      </c>
      <c r="AG22" s="12">
        <v>34.447334400000003</v>
      </c>
    </row>
    <row r="23" spans="1:33" s="11" customFormat="1" outlineLevel="1" x14ac:dyDescent="0.3">
      <c r="A23" s="11" t="s">
        <v>29</v>
      </c>
      <c r="B23" s="12">
        <v>1.6677649999999999</v>
      </c>
      <c r="C23" s="12">
        <v>77.973333299999993</v>
      </c>
      <c r="D23" s="12">
        <v>1.9037246000000001</v>
      </c>
      <c r="E23" s="17">
        <v>3.25</v>
      </c>
      <c r="F23" s="13">
        <v>26.93</v>
      </c>
      <c r="G23" s="12">
        <v>4.6488202000000003</v>
      </c>
      <c r="H23" s="12">
        <v>5.6175120999999999</v>
      </c>
      <c r="I23" s="12">
        <v>-1.4059079999999999</v>
      </c>
      <c r="J23" s="12">
        <v>6.2604904000000001</v>
      </c>
      <c r="K23" s="12">
        <v>10.351962800000001</v>
      </c>
      <c r="L23" s="12">
        <v>8.8506487000000007</v>
      </c>
      <c r="M23" s="12">
        <v>56.881871500000003</v>
      </c>
      <c r="N23" s="12">
        <v>0.73168029999999995</v>
      </c>
      <c r="O23" s="12">
        <v>22.403789199999999</v>
      </c>
      <c r="P23" s="7">
        <v>1533.6</v>
      </c>
      <c r="Q23" s="7" t="s">
        <v>107</v>
      </c>
      <c r="R23" s="7" t="s">
        <v>107</v>
      </c>
      <c r="S23" s="12">
        <v>7.1737251000000004</v>
      </c>
      <c r="T23" s="12">
        <v>5.9</v>
      </c>
      <c r="U23" s="12">
        <v>74.25</v>
      </c>
      <c r="V23" s="12">
        <v>0.97749019999999998</v>
      </c>
      <c r="W23" s="12">
        <v>8.0103358999999994</v>
      </c>
      <c r="X23" s="7" t="s">
        <v>107</v>
      </c>
      <c r="Y23" s="7" t="s">
        <v>107</v>
      </c>
      <c r="Z23" s="12">
        <v>11.227968799999999</v>
      </c>
      <c r="AA23" s="12">
        <v>52.733297899999997</v>
      </c>
      <c r="AB23" s="12">
        <v>18.1939584</v>
      </c>
      <c r="AC23" s="12">
        <v>20.597727299999999</v>
      </c>
      <c r="AD23" s="12">
        <v>49.874494599999998</v>
      </c>
      <c r="AE23" s="12">
        <v>41.400714700000002</v>
      </c>
      <c r="AF23" s="12">
        <v>35.705442699999999</v>
      </c>
      <c r="AG23" s="12">
        <v>35.024419199999997</v>
      </c>
    </row>
    <row r="24" spans="1:33" s="11" customFormat="1" outlineLevel="1" x14ac:dyDescent="0.3">
      <c r="A24" s="11" t="s">
        <v>30</v>
      </c>
      <c r="B24" s="12">
        <v>1.208337</v>
      </c>
      <c r="C24" s="12">
        <v>78.4033333</v>
      </c>
      <c r="D24" s="12">
        <v>2.158617</v>
      </c>
      <c r="E24" s="17">
        <v>2.75</v>
      </c>
      <c r="F24" s="13">
        <v>26.736666700000001</v>
      </c>
      <c r="G24" s="12">
        <v>9.1233112999999992</v>
      </c>
      <c r="H24" s="12">
        <v>5.3492723</v>
      </c>
      <c r="I24" s="12">
        <v>-6.7831536999999997</v>
      </c>
      <c r="J24" s="12">
        <v>7.0928991999999997</v>
      </c>
      <c r="K24" s="12">
        <v>10.0114716</v>
      </c>
      <c r="L24" s="12">
        <v>8.5327289999999998</v>
      </c>
      <c r="M24" s="12">
        <v>30.111742799999998</v>
      </c>
      <c r="N24" s="12">
        <v>3.4644933999999998</v>
      </c>
      <c r="O24" s="12">
        <v>19.325135800000002</v>
      </c>
      <c r="P24" s="7">
        <v>1533.6</v>
      </c>
      <c r="Q24" s="7">
        <v>259</v>
      </c>
      <c r="R24" s="7">
        <v>14.4</v>
      </c>
      <c r="S24" s="12">
        <v>7.1787602000000001</v>
      </c>
      <c r="T24" s="12">
        <v>4.5</v>
      </c>
      <c r="U24" s="12">
        <v>74.61</v>
      </c>
      <c r="V24" s="12">
        <v>0.98820980000000003</v>
      </c>
      <c r="W24" s="12">
        <v>8.7159253999999997</v>
      </c>
      <c r="X24" s="7" t="s">
        <v>107</v>
      </c>
      <c r="Y24" s="7" t="s">
        <v>107</v>
      </c>
      <c r="Z24" s="12">
        <v>-15.0346365</v>
      </c>
      <c r="AA24" s="12">
        <v>72.293536000000003</v>
      </c>
      <c r="AB24" s="12">
        <v>21.500021499999999</v>
      </c>
      <c r="AC24" s="12">
        <v>24.5223887</v>
      </c>
      <c r="AD24" s="12">
        <v>30.126361299999999</v>
      </c>
      <c r="AE24" s="12">
        <v>48.440876400000001</v>
      </c>
      <c r="AF24" s="12">
        <v>43.242484599999997</v>
      </c>
      <c r="AG24" s="12">
        <v>36.453525800000001</v>
      </c>
    </row>
    <row r="25" spans="1:33" s="11" customFormat="1" outlineLevel="1" x14ac:dyDescent="0.3">
      <c r="A25" s="11" t="s">
        <v>31</v>
      </c>
      <c r="B25" s="12">
        <v>1.0748135000000001</v>
      </c>
      <c r="C25" s="12">
        <v>78.856666700000005</v>
      </c>
      <c r="D25" s="12">
        <v>2.1724109</v>
      </c>
      <c r="E25" s="17">
        <v>2.5</v>
      </c>
      <c r="F25" s="13">
        <v>31.52</v>
      </c>
      <c r="G25" s="12">
        <v>10.1212921</v>
      </c>
      <c r="H25" s="12">
        <v>8.3424248999999993</v>
      </c>
      <c r="I25" s="12">
        <v>-7.6332883000000002</v>
      </c>
      <c r="J25" s="12">
        <v>6.3316075999999999</v>
      </c>
      <c r="K25" s="12">
        <v>5.6525650000000001</v>
      </c>
      <c r="L25" s="12">
        <v>2.9602740000000001</v>
      </c>
      <c r="M25" s="12">
        <v>18.8043847</v>
      </c>
      <c r="N25" s="12">
        <v>9.3237398000000002</v>
      </c>
      <c r="O25" s="12">
        <v>12.342509099999999</v>
      </c>
      <c r="P25" s="7">
        <v>1538</v>
      </c>
      <c r="Q25" s="7" t="s">
        <v>107</v>
      </c>
      <c r="R25" s="7" t="s">
        <v>107</v>
      </c>
      <c r="S25" s="12">
        <v>6.3441558000000002</v>
      </c>
      <c r="T25" s="12">
        <v>4.5</v>
      </c>
      <c r="U25" s="12">
        <v>75.333333300000007</v>
      </c>
      <c r="V25" s="12">
        <v>1.0088659</v>
      </c>
      <c r="W25" s="12">
        <v>3.6012130999999998</v>
      </c>
      <c r="X25" s="7" t="s">
        <v>107</v>
      </c>
      <c r="Y25" s="7" t="s">
        <v>107</v>
      </c>
      <c r="Z25" s="12">
        <v>-15.883660300000001</v>
      </c>
      <c r="AA25" s="12">
        <v>68.563000400000007</v>
      </c>
      <c r="AB25" s="12">
        <v>22.0512373</v>
      </c>
      <c r="AC25" s="12">
        <v>27.576035000000001</v>
      </c>
      <c r="AD25" s="12">
        <v>27.050002200000002</v>
      </c>
      <c r="AE25" s="12">
        <v>45.240274900000003</v>
      </c>
      <c r="AF25" s="12">
        <v>43.614684099999998</v>
      </c>
      <c r="AG25" s="12">
        <v>36.099079199999998</v>
      </c>
    </row>
    <row r="26" spans="1:33" s="11" customFormat="1" outlineLevel="1" x14ac:dyDescent="0.3">
      <c r="A26" s="11" t="s">
        <v>32</v>
      </c>
      <c r="B26" s="12">
        <v>0.33264589999999999</v>
      </c>
      <c r="C26" s="12">
        <v>79.37</v>
      </c>
      <c r="D26" s="12">
        <v>1.843456</v>
      </c>
      <c r="E26" s="17">
        <v>2</v>
      </c>
      <c r="F26" s="13">
        <v>26.17</v>
      </c>
      <c r="G26" s="12">
        <v>16.139781800000002</v>
      </c>
      <c r="H26" s="12">
        <v>12.9192906</v>
      </c>
      <c r="I26" s="12">
        <v>-5.4867233999999998</v>
      </c>
      <c r="J26" s="12">
        <v>6.5588943000000004</v>
      </c>
      <c r="K26" s="12">
        <v>4.8541207000000002</v>
      </c>
      <c r="L26" s="12">
        <v>0.1279623</v>
      </c>
      <c r="M26" s="12">
        <v>17.780237</v>
      </c>
      <c r="N26" s="12">
        <v>11.233480200000001</v>
      </c>
      <c r="O26" s="12">
        <v>11.353711799999999</v>
      </c>
      <c r="P26" s="7">
        <v>1538</v>
      </c>
      <c r="Q26" s="7">
        <v>253</v>
      </c>
      <c r="R26" s="7">
        <v>14.1</v>
      </c>
      <c r="S26" s="12">
        <v>4.2136389000000003</v>
      </c>
      <c r="T26" s="12">
        <v>4.5</v>
      </c>
      <c r="U26" s="12">
        <v>75.683333300000001</v>
      </c>
      <c r="V26" s="12">
        <v>1.0004999000000001</v>
      </c>
      <c r="W26" s="12">
        <v>6.8880254000000001</v>
      </c>
      <c r="X26" s="7" t="s">
        <v>107</v>
      </c>
      <c r="Y26" s="7" t="s">
        <v>107</v>
      </c>
      <c r="Z26" s="12">
        <v>-13.302823699999999</v>
      </c>
      <c r="AA26" s="12">
        <v>65.404383699999997</v>
      </c>
      <c r="AB26" s="12">
        <v>20.0178662</v>
      </c>
      <c r="AC26" s="12">
        <v>27.507411900000001</v>
      </c>
      <c r="AD26" s="12">
        <v>33.953470299999999</v>
      </c>
      <c r="AE26" s="12">
        <v>46.883132000000003</v>
      </c>
      <c r="AF26" s="12">
        <v>37.233439300000001</v>
      </c>
      <c r="AG26" s="12">
        <v>36.527096</v>
      </c>
    </row>
    <row r="27" spans="1:33" s="11" customFormat="1" outlineLevel="1" x14ac:dyDescent="0.3">
      <c r="A27" s="11" t="s">
        <v>33</v>
      </c>
      <c r="B27" s="12">
        <v>0.71308099999999996</v>
      </c>
      <c r="C27" s="12">
        <v>79.47</v>
      </c>
      <c r="D27" s="12">
        <v>1.9194597</v>
      </c>
      <c r="E27" s="17">
        <v>2</v>
      </c>
      <c r="F27" s="13">
        <v>28.45</v>
      </c>
      <c r="G27" s="12">
        <v>15.2286781</v>
      </c>
      <c r="H27" s="12">
        <v>11.4791686</v>
      </c>
      <c r="I27" s="12">
        <v>-2.8638091999999999</v>
      </c>
      <c r="J27" s="12">
        <v>4.7986491999999998</v>
      </c>
      <c r="K27" s="12">
        <v>3.8510525000000002</v>
      </c>
      <c r="L27" s="12">
        <v>-0.2511697</v>
      </c>
      <c r="M27" s="12">
        <v>23.875013200000001</v>
      </c>
      <c r="N27" s="12">
        <v>5.8934664000000003</v>
      </c>
      <c r="O27" s="12">
        <v>11.137177100000001</v>
      </c>
      <c r="P27" s="7">
        <v>1534.7</v>
      </c>
      <c r="Q27" s="7" t="s">
        <v>107</v>
      </c>
      <c r="R27" s="7" t="s">
        <v>107</v>
      </c>
      <c r="S27" s="12">
        <v>4.4602978000000002</v>
      </c>
      <c r="T27" s="12">
        <v>4.5</v>
      </c>
      <c r="U27" s="12">
        <v>76.2933333</v>
      </c>
      <c r="V27" s="12">
        <v>0.99651380000000001</v>
      </c>
      <c r="W27" s="12">
        <v>2.7682842999999999</v>
      </c>
      <c r="X27" s="7" t="s">
        <v>107</v>
      </c>
      <c r="Y27" s="7" t="s">
        <v>107</v>
      </c>
      <c r="Z27" s="12">
        <v>20.4468262</v>
      </c>
      <c r="AA27" s="12">
        <v>50.8609376</v>
      </c>
      <c r="AB27" s="12">
        <v>17.380282000000001</v>
      </c>
      <c r="AC27" s="12">
        <v>24.228521400000002</v>
      </c>
      <c r="AD27" s="12">
        <v>49.297228199999999</v>
      </c>
      <c r="AE27" s="12">
        <v>41.766969199999998</v>
      </c>
      <c r="AF27" s="12">
        <v>32.883659199999997</v>
      </c>
      <c r="AG27" s="12">
        <v>37.118105700000001</v>
      </c>
    </row>
    <row r="28" spans="1:33" s="11" customFormat="1" outlineLevel="1" x14ac:dyDescent="0.3">
      <c r="A28" s="11" t="s">
        <v>34</v>
      </c>
      <c r="B28" s="12">
        <v>1.3127310999999999</v>
      </c>
      <c r="C28" s="12">
        <v>79.913333300000005</v>
      </c>
      <c r="D28" s="12">
        <v>1.9259385</v>
      </c>
      <c r="E28" s="17">
        <v>2</v>
      </c>
      <c r="F28" s="13">
        <v>29.39</v>
      </c>
      <c r="G28" s="12">
        <v>3.9484775000000001</v>
      </c>
      <c r="H28" s="12">
        <v>11.934144</v>
      </c>
      <c r="I28" s="12">
        <v>-2.9739095999999998</v>
      </c>
      <c r="J28" s="12">
        <v>4.8766680999999998</v>
      </c>
      <c r="K28" s="12">
        <v>3.8537740999999999</v>
      </c>
      <c r="L28" s="12">
        <v>5.9389113</v>
      </c>
      <c r="M28" s="12">
        <v>24.940987400000001</v>
      </c>
      <c r="N28" s="12">
        <v>0.76685519999999996</v>
      </c>
      <c r="O28" s="12">
        <v>11.8601419</v>
      </c>
      <c r="P28" s="7">
        <v>1534.7</v>
      </c>
      <c r="Q28" s="7">
        <v>259</v>
      </c>
      <c r="R28" s="7">
        <v>14.4</v>
      </c>
      <c r="S28" s="12">
        <v>4.0824916</v>
      </c>
      <c r="T28" s="12">
        <v>4.5</v>
      </c>
      <c r="U28" s="12">
        <v>76.226666699999996</v>
      </c>
      <c r="V28" s="12">
        <v>1.0128299000000001</v>
      </c>
      <c r="W28" s="12">
        <v>0.1319697</v>
      </c>
      <c r="X28" s="7" t="s">
        <v>107</v>
      </c>
      <c r="Y28" s="7" t="s">
        <v>107</v>
      </c>
      <c r="Z28" s="12">
        <v>-20.398326600000001</v>
      </c>
      <c r="AA28" s="12">
        <v>70.328908600000005</v>
      </c>
      <c r="AB28" s="12">
        <v>21.0867717</v>
      </c>
      <c r="AC28" s="12">
        <v>30.106584699999999</v>
      </c>
      <c r="AD28" s="12">
        <v>28.725560699999999</v>
      </c>
      <c r="AE28" s="12">
        <v>50.2491336</v>
      </c>
      <c r="AF28" s="12">
        <v>27.8597173</v>
      </c>
      <c r="AG28" s="12">
        <v>37.837777099999997</v>
      </c>
    </row>
    <row r="29" spans="1:33" s="11" customFormat="1" outlineLevel="1" x14ac:dyDescent="0.3">
      <c r="A29" s="11" t="s">
        <v>35</v>
      </c>
      <c r="B29" s="12">
        <v>2.4350660999999998</v>
      </c>
      <c r="C29" s="12">
        <v>80.113333299999994</v>
      </c>
      <c r="D29" s="12">
        <v>1.5936086</v>
      </c>
      <c r="E29" s="17">
        <v>2</v>
      </c>
      <c r="F29" s="13">
        <v>31.923333299999999</v>
      </c>
      <c r="G29" s="12">
        <v>4.9193894</v>
      </c>
      <c r="H29" s="12">
        <v>5.0281954999999998</v>
      </c>
      <c r="I29" s="12">
        <v>-7.383699</v>
      </c>
      <c r="J29" s="12">
        <v>4.8063250999999996</v>
      </c>
      <c r="K29" s="12">
        <v>3.9511725000000002</v>
      </c>
      <c r="L29" s="12">
        <v>4.5734431999999998</v>
      </c>
      <c r="M29" s="12">
        <v>13.026728800000001</v>
      </c>
      <c r="N29" s="12">
        <v>4.6344903000000004</v>
      </c>
      <c r="O29" s="12">
        <v>7.8319337000000004</v>
      </c>
      <c r="P29" s="7">
        <v>1582.9</v>
      </c>
      <c r="Q29" s="7" t="s">
        <v>107</v>
      </c>
      <c r="R29" s="7" t="s">
        <v>107</v>
      </c>
      <c r="S29" s="12">
        <v>6.8022226000000003</v>
      </c>
      <c r="T29" s="12">
        <v>4.5</v>
      </c>
      <c r="U29" s="12">
        <v>76.92</v>
      </c>
      <c r="V29" s="12">
        <v>1.0099852</v>
      </c>
      <c r="W29" s="12">
        <v>5.0859861000000004</v>
      </c>
      <c r="X29" s="7" t="s">
        <v>107</v>
      </c>
      <c r="Y29" s="7" t="s">
        <v>107</v>
      </c>
      <c r="Z29" s="12">
        <v>-17.686446400000001</v>
      </c>
      <c r="AA29" s="12">
        <v>67.519271200000006</v>
      </c>
      <c r="AB29" s="12">
        <v>21.752196600000001</v>
      </c>
      <c r="AC29" s="12">
        <v>29.747722499999998</v>
      </c>
      <c r="AD29" s="12">
        <v>26.778879799999999</v>
      </c>
      <c r="AE29" s="12">
        <v>45.798070199999998</v>
      </c>
      <c r="AF29" s="12">
        <v>19.128081900000002</v>
      </c>
      <c r="AG29" s="12">
        <v>35.998442699999998</v>
      </c>
    </row>
    <row r="30" spans="1:33" s="11" customFormat="1" outlineLevel="1" x14ac:dyDescent="0.3">
      <c r="A30" s="11" t="s">
        <v>36</v>
      </c>
      <c r="B30" s="12">
        <v>2.9592486</v>
      </c>
      <c r="C30" s="12">
        <v>81.069999999999993</v>
      </c>
      <c r="D30" s="12">
        <v>2.1418672000000001</v>
      </c>
      <c r="E30" s="17">
        <v>2</v>
      </c>
      <c r="F30" s="13">
        <v>35.446666700000002</v>
      </c>
      <c r="G30" s="12">
        <v>7.5794123999999998</v>
      </c>
      <c r="H30" s="12">
        <v>2.7230047000000002</v>
      </c>
      <c r="I30" s="12">
        <v>-7.5243767999999998</v>
      </c>
      <c r="J30" s="12">
        <v>3.5948658999999998</v>
      </c>
      <c r="K30" s="12">
        <v>4.4785443999999996</v>
      </c>
      <c r="L30" s="12">
        <v>4.0026581999999999</v>
      </c>
      <c r="M30" s="12">
        <v>4.7958344999999998</v>
      </c>
      <c r="N30" s="12">
        <v>8.9618105000000003</v>
      </c>
      <c r="O30" s="12">
        <v>9.5228380000000001</v>
      </c>
      <c r="P30" s="7">
        <v>1582.9</v>
      </c>
      <c r="Q30" s="7">
        <v>253</v>
      </c>
      <c r="R30" s="7">
        <v>13.8</v>
      </c>
      <c r="S30" s="12">
        <v>6.4314004000000002</v>
      </c>
      <c r="T30" s="12">
        <v>4.5</v>
      </c>
      <c r="U30" s="12">
        <v>77.806666699999994</v>
      </c>
      <c r="V30" s="12">
        <v>0.9869578</v>
      </c>
      <c r="W30" s="12">
        <v>1.8175809000000001</v>
      </c>
      <c r="X30" s="7" t="s">
        <v>107</v>
      </c>
      <c r="Y30" s="7" t="s">
        <v>107</v>
      </c>
      <c r="Z30" s="12">
        <v>-8.4586393999999991</v>
      </c>
      <c r="AA30" s="12">
        <v>64.731735499999999</v>
      </c>
      <c r="AB30" s="12">
        <v>20.266343200000001</v>
      </c>
      <c r="AC30" s="12">
        <v>27.208319299999999</v>
      </c>
      <c r="AD30" s="12">
        <v>34.938037399999999</v>
      </c>
      <c r="AE30" s="12">
        <v>47.144435399999999</v>
      </c>
      <c r="AF30" s="12">
        <v>17.3430763</v>
      </c>
      <c r="AG30" s="12">
        <v>38.337038300000003</v>
      </c>
    </row>
    <row r="31" spans="1:33" s="11" customFormat="1" outlineLevel="1" x14ac:dyDescent="0.3">
      <c r="A31" s="11" t="s">
        <v>37</v>
      </c>
      <c r="B31" s="12">
        <v>2.4141233999999998</v>
      </c>
      <c r="C31" s="12">
        <v>81.156666700000002</v>
      </c>
      <c r="D31" s="12">
        <v>2.1223942</v>
      </c>
      <c r="E31" s="17">
        <v>2</v>
      </c>
      <c r="F31" s="13">
        <v>41.386666699999999</v>
      </c>
      <c r="G31" s="12">
        <v>6.6346031999999999</v>
      </c>
      <c r="H31" s="12">
        <v>3.2014505</v>
      </c>
      <c r="I31" s="12">
        <v>-4.1686686999999996</v>
      </c>
      <c r="J31" s="12">
        <v>3.5099876999999999</v>
      </c>
      <c r="K31" s="12">
        <v>5.3945866999999996</v>
      </c>
      <c r="L31" s="12">
        <v>3.2882394000000001</v>
      </c>
      <c r="M31" s="12">
        <v>-7.0696329000000002</v>
      </c>
      <c r="N31" s="12">
        <v>6.7762554000000002</v>
      </c>
      <c r="O31" s="12">
        <v>2.918199</v>
      </c>
      <c r="P31" s="7">
        <v>1542.4</v>
      </c>
      <c r="Q31" s="7" t="s">
        <v>107</v>
      </c>
      <c r="R31" s="7" t="s">
        <v>107</v>
      </c>
      <c r="S31" s="12">
        <v>6.6749806999999999</v>
      </c>
      <c r="T31" s="12">
        <v>4.5</v>
      </c>
      <c r="U31" s="12">
        <v>77.650000000000006</v>
      </c>
      <c r="V31" s="12">
        <v>0.98148069999999998</v>
      </c>
      <c r="W31" s="12">
        <v>2.6272033000000001</v>
      </c>
      <c r="X31" s="7" t="s">
        <v>107</v>
      </c>
      <c r="Y31" s="7" t="s">
        <v>107</v>
      </c>
      <c r="Z31" s="12">
        <v>19.9850417</v>
      </c>
      <c r="AA31" s="12">
        <v>50.620443299999998</v>
      </c>
      <c r="AB31" s="12">
        <v>17.533267899999998</v>
      </c>
      <c r="AC31" s="12">
        <v>21.449163299999999</v>
      </c>
      <c r="AD31" s="12">
        <v>50.989157900000002</v>
      </c>
      <c r="AE31" s="12">
        <v>40.592032400000001</v>
      </c>
      <c r="AF31" s="12">
        <v>17.543591800000002</v>
      </c>
      <c r="AG31" s="12">
        <v>39.807241900000001</v>
      </c>
    </row>
    <row r="32" spans="1:33" s="11" customFormat="1" outlineLevel="1" x14ac:dyDescent="0.3">
      <c r="A32" s="11" t="s">
        <v>38</v>
      </c>
      <c r="B32" s="12">
        <v>2.308249</v>
      </c>
      <c r="C32" s="12">
        <v>81.663333300000005</v>
      </c>
      <c r="D32" s="12">
        <v>2.1898724000000001</v>
      </c>
      <c r="E32" s="17">
        <v>2</v>
      </c>
      <c r="F32" s="13">
        <v>44.163333299999998</v>
      </c>
      <c r="G32" s="12">
        <v>6.464283</v>
      </c>
      <c r="H32" s="12">
        <v>3.4472559</v>
      </c>
      <c r="I32" s="12">
        <v>-4.2550381000000002</v>
      </c>
      <c r="J32" s="12">
        <v>4.97776</v>
      </c>
      <c r="K32" s="12">
        <v>5.2111422999999997</v>
      </c>
      <c r="L32" s="12">
        <v>1.4301429999999999</v>
      </c>
      <c r="M32" s="12">
        <v>-3.2600394000000001</v>
      </c>
      <c r="N32" s="12">
        <v>8.9979338999999996</v>
      </c>
      <c r="O32" s="12">
        <v>1.5596546</v>
      </c>
      <c r="P32" s="7">
        <v>1542.4</v>
      </c>
      <c r="Q32" s="7">
        <v>246</v>
      </c>
      <c r="R32" s="7">
        <v>13.8</v>
      </c>
      <c r="S32" s="12">
        <v>5.8864305999999997</v>
      </c>
      <c r="T32" s="12">
        <v>4.5</v>
      </c>
      <c r="U32" s="12">
        <v>77.666666699999993</v>
      </c>
      <c r="V32" s="12">
        <v>1.002389</v>
      </c>
      <c r="W32" s="12">
        <v>3.4266885999999999</v>
      </c>
      <c r="X32" s="7" t="s">
        <v>107</v>
      </c>
      <c r="Y32" s="7" t="s">
        <v>107</v>
      </c>
      <c r="Z32" s="12">
        <v>-15.614881799999999</v>
      </c>
      <c r="AA32" s="12">
        <v>69.323613499999993</v>
      </c>
      <c r="AB32" s="12">
        <v>21.155093300000001</v>
      </c>
      <c r="AC32" s="12">
        <v>26.737203699999998</v>
      </c>
      <c r="AD32" s="12">
        <v>30.2488411</v>
      </c>
      <c r="AE32" s="12">
        <v>47.463550499999997</v>
      </c>
      <c r="AF32" s="12">
        <v>18.953912599999999</v>
      </c>
      <c r="AG32" s="12">
        <v>39.9409779</v>
      </c>
    </row>
    <row r="33" spans="1:33" s="11" customFormat="1" outlineLevel="1" x14ac:dyDescent="0.3">
      <c r="A33" s="11" t="s">
        <v>39</v>
      </c>
      <c r="B33" s="12">
        <v>1.1277817999999999</v>
      </c>
      <c r="C33" s="12">
        <v>81.773333300000004</v>
      </c>
      <c r="D33" s="12">
        <v>2.0720646</v>
      </c>
      <c r="E33" s="17">
        <v>2</v>
      </c>
      <c r="F33" s="13">
        <v>47.696666700000002</v>
      </c>
      <c r="G33" s="12">
        <v>1.3625609000000001</v>
      </c>
      <c r="H33" s="12">
        <v>2.2339405999999999</v>
      </c>
      <c r="I33" s="12">
        <v>-6.7729441000000001</v>
      </c>
      <c r="J33" s="12">
        <v>1.3474069</v>
      </c>
      <c r="K33" s="12">
        <v>4.1254635000000004</v>
      </c>
      <c r="L33" s="12">
        <v>2.9868465</v>
      </c>
      <c r="M33" s="12">
        <v>-1.8893331</v>
      </c>
      <c r="N33" s="12">
        <v>-8.6113300000000004E-2</v>
      </c>
      <c r="O33" s="12">
        <v>3.0486753000000002</v>
      </c>
      <c r="P33" s="7">
        <v>1566.1</v>
      </c>
      <c r="Q33" s="7" t="s">
        <v>107</v>
      </c>
      <c r="R33" s="7" t="s">
        <v>107</v>
      </c>
      <c r="S33" s="12">
        <v>4.3851123000000003</v>
      </c>
      <c r="T33" s="12">
        <v>4.5</v>
      </c>
      <c r="U33" s="12">
        <v>78.536666699999998</v>
      </c>
      <c r="V33" s="12">
        <v>0.99651380000000001</v>
      </c>
      <c r="W33" s="12">
        <v>-0.24373259999999999</v>
      </c>
      <c r="X33" s="7" t="s">
        <v>107</v>
      </c>
      <c r="Y33" s="7" t="s">
        <v>107</v>
      </c>
      <c r="Z33" s="12">
        <v>-18.282626100000002</v>
      </c>
      <c r="AA33" s="12">
        <v>68.927307299999995</v>
      </c>
      <c r="AB33" s="12">
        <v>21.951469800000002</v>
      </c>
      <c r="AC33" s="12">
        <v>28.7462166</v>
      </c>
      <c r="AD33" s="12">
        <v>25.790027200000001</v>
      </c>
      <c r="AE33" s="12">
        <v>45.415020800000001</v>
      </c>
      <c r="AF33" s="12">
        <v>19.689206800000001</v>
      </c>
      <c r="AG33" s="12">
        <v>39.1692502</v>
      </c>
    </row>
    <row r="34" spans="1:33" s="11" customFormat="1" outlineLevel="1" x14ac:dyDescent="0.3">
      <c r="A34" s="11" t="s">
        <v>40</v>
      </c>
      <c r="B34" s="12">
        <v>2.2042253999999999</v>
      </c>
      <c r="C34" s="12">
        <v>82.71</v>
      </c>
      <c r="D34" s="12">
        <v>2.0229431</v>
      </c>
      <c r="E34" s="17">
        <v>2</v>
      </c>
      <c r="F34" s="13">
        <v>51.626666700000001</v>
      </c>
      <c r="G34" s="12">
        <v>2.4098375999999999</v>
      </c>
      <c r="H34" s="12">
        <v>9.1989362999999997</v>
      </c>
      <c r="I34" s="12">
        <v>-4.4077441000000004</v>
      </c>
      <c r="J34" s="12">
        <v>5.2708557000000003</v>
      </c>
      <c r="K34" s="12">
        <v>6.0805391000000002</v>
      </c>
      <c r="L34" s="12">
        <v>3.0572621999999998</v>
      </c>
      <c r="M34" s="12">
        <v>7.7181709999999999</v>
      </c>
      <c r="N34" s="12">
        <v>5.5766134999999997</v>
      </c>
      <c r="O34" s="12">
        <v>6.9687060000000001</v>
      </c>
      <c r="P34" s="7">
        <v>1566.1</v>
      </c>
      <c r="Q34" s="7">
        <v>233</v>
      </c>
      <c r="R34" s="7">
        <v>13</v>
      </c>
      <c r="S34" s="12">
        <v>4.5154123999999998</v>
      </c>
      <c r="T34" s="12">
        <v>4.5</v>
      </c>
      <c r="U34" s="12">
        <v>79.849999999999994</v>
      </c>
      <c r="V34" s="12">
        <v>0.97484459999999995</v>
      </c>
      <c r="W34" s="12">
        <v>7.4651088000000003</v>
      </c>
      <c r="X34" s="7" t="s">
        <v>107</v>
      </c>
      <c r="Y34" s="7" t="s">
        <v>107</v>
      </c>
      <c r="Z34" s="12">
        <v>-12.449534099999999</v>
      </c>
      <c r="AA34" s="12">
        <v>65.309297900000004</v>
      </c>
      <c r="AB34" s="12">
        <v>19.939318499999999</v>
      </c>
      <c r="AC34" s="12">
        <v>27.2044277</v>
      </c>
      <c r="AD34" s="12">
        <v>34.847407099999998</v>
      </c>
      <c r="AE34" s="12">
        <v>47.299339799999998</v>
      </c>
      <c r="AF34" s="12">
        <v>21.018125000000001</v>
      </c>
      <c r="AG34" s="12">
        <v>39.860850900000003</v>
      </c>
    </row>
    <row r="35" spans="1:33" s="11" customFormat="1" outlineLevel="1" x14ac:dyDescent="0.3">
      <c r="A35" s="11" t="s">
        <v>41</v>
      </c>
      <c r="B35" s="12">
        <v>2.0830310000000001</v>
      </c>
      <c r="C35" s="12">
        <v>83.016666700000002</v>
      </c>
      <c r="D35" s="12">
        <v>2.2918634999999998</v>
      </c>
      <c r="E35" s="17">
        <v>2</v>
      </c>
      <c r="F35" s="13">
        <v>61.47</v>
      </c>
      <c r="G35" s="12">
        <v>1.1346912</v>
      </c>
      <c r="H35" s="12">
        <v>8.8947161000000001</v>
      </c>
      <c r="I35" s="12">
        <v>-1.0402077999999999</v>
      </c>
      <c r="J35" s="12">
        <v>5.2337356000000002</v>
      </c>
      <c r="K35" s="12">
        <v>5.2897825000000003</v>
      </c>
      <c r="L35" s="12">
        <v>3.9627151</v>
      </c>
      <c r="M35" s="12">
        <v>3.5428204999999999</v>
      </c>
      <c r="N35" s="12">
        <v>4.8196876</v>
      </c>
      <c r="O35" s="12">
        <v>3.4993867999999999</v>
      </c>
      <c r="P35" s="7">
        <v>1579.7</v>
      </c>
      <c r="Q35" s="7" t="s">
        <v>107</v>
      </c>
      <c r="R35" s="7" t="s">
        <v>107</v>
      </c>
      <c r="S35" s="12">
        <v>4.1418470999999997</v>
      </c>
      <c r="T35" s="12">
        <v>4.5</v>
      </c>
      <c r="U35" s="12">
        <v>80.226666699999996</v>
      </c>
      <c r="V35" s="12">
        <v>0.97842370000000001</v>
      </c>
      <c r="W35" s="12">
        <v>4.6662346000000001</v>
      </c>
      <c r="X35" s="7" t="s">
        <v>107</v>
      </c>
      <c r="Y35" s="7" t="s">
        <v>107</v>
      </c>
      <c r="Z35" s="12">
        <v>20.884574199999999</v>
      </c>
      <c r="AA35" s="12">
        <v>50.599302700000003</v>
      </c>
      <c r="AB35" s="12">
        <v>17.640070699999999</v>
      </c>
      <c r="AC35" s="12">
        <v>20.690187999999999</v>
      </c>
      <c r="AD35" s="12">
        <v>50.959560400000001</v>
      </c>
      <c r="AE35" s="12">
        <v>39.889121799999998</v>
      </c>
      <c r="AF35" s="12">
        <v>22.547941099999999</v>
      </c>
      <c r="AG35" s="12">
        <v>40.540017800000001</v>
      </c>
    </row>
    <row r="36" spans="1:33" s="11" customFormat="1" outlineLevel="1" x14ac:dyDescent="0.3">
      <c r="A36" s="11" t="s">
        <v>42</v>
      </c>
      <c r="B36" s="12">
        <v>2.0666498999999998</v>
      </c>
      <c r="C36" s="12">
        <v>83.51</v>
      </c>
      <c r="D36" s="12">
        <v>2.2613167999999999</v>
      </c>
      <c r="E36" s="17">
        <v>2.25</v>
      </c>
      <c r="F36" s="13">
        <v>56.88</v>
      </c>
      <c r="G36" s="12">
        <v>2.934736</v>
      </c>
      <c r="H36" s="12">
        <v>10.7379585</v>
      </c>
      <c r="I36" s="12">
        <v>-0.71328250000000004</v>
      </c>
      <c r="J36" s="12">
        <v>5.0111878000000001</v>
      </c>
      <c r="K36" s="12">
        <v>3.4765299999999999</v>
      </c>
      <c r="L36" s="12">
        <v>1.7895878999999999</v>
      </c>
      <c r="M36" s="12">
        <v>13.658273100000001</v>
      </c>
      <c r="N36" s="12">
        <v>6.9345717999999996</v>
      </c>
      <c r="O36" s="12">
        <v>7.0330133999999997</v>
      </c>
      <c r="P36" s="7">
        <v>1579.7</v>
      </c>
      <c r="Q36" s="7">
        <v>220.4</v>
      </c>
      <c r="R36" s="7">
        <v>12.3</v>
      </c>
      <c r="S36" s="12">
        <v>4.6426622999999996</v>
      </c>
      <c r="T36" s="12">
        <v>4.5</v>
      </c>
      <c r="U36" s="12">
        <v>80.716666700000005</v>
      </c>
      <c r="V36" s="12">
        <v>0.97991459999999997</v>
      </c>
      <c r="W36" s="12">
        <v>5.9891686000000002</v>
      </c>
      <c r="X36" s="7" t="s">
        <v>107</v>
      </c>
      <c r="Y36" s="7" t="s">
        <v>107</v>
      </c>
      <c r="Z36" s="12">
        <v>-16.5743592</v>
      </c>
      <c r="AA36" s="12">
        <v>68.498346699999999</v>
      </c>
      <c r="AB36" s="12">
        <v>20.8223208</v>
      </c>
      <c r="AC36" s="12">
        <v>28.8011324</v>
      </c>
      <c r="AD36" s="12">
        <v>30.393577100000002</v>
      </c>
      <c r="AE36" s="12">
        <v>48.515377000000001</v>
      </c>
      <c r="AF36" s="12">
        <v>20.535345800000002</v>
      </c>
      <c r="AG36" s="12">
        <v>40.886508900000003</v>
      </c>
    </row>
    <row r="37" spans="1:33" s="11" customFormat="1" outlineLevel="1" x14ac:dyDescent="0.3">
      <c r="A37" s="11" t="s">
        <v>43</v>
      </c>
      <c r="B37" s="12">
        <v>3.8191847000000001</v>
      </c>
      <c r="C37" s="12">
        <v>83.573333300000002</v>
      </c>
      <c r="D37" s="12">
        <v>2.2012065999999999</v>
      </c>
      <c r="E37" s="17">
        <v>2.5</v>
      </c>
      <c r="F37" s="13">
        <v>61.753333300000001</v>
      </c>
      <c r="G37" s="12">
        <v>7.7756908999999998</v>
      </c>
      <c r="H37" s="12">
        <v>14.6456594</v>
      </c>
      <c r="I37" s="12">
        <v>-4.0460887999999997</v>
      </c>
      <c r="J37" s="12">
        <v>6.4943362000000002</v>
      </c>
      <c r="K37" s="12">
        <v>2.2703665000000002</v>
      </c>
      <c r="L37" s="12">
        <v>4.7261157999999996</v>
      </c>
      <c r="M37" s="12">
        <v>25.124378100000001</v>
      </c>
      <c r="N37" s="12">
        <v>16.008393900000002</v>
      </c>
      <c r="O37" s="12">
        <v>16.4115565</v>
      </c>
      <c r="P37" s="7">
        <v>1548.4</v>
      </c>
      <c r="Q37" s="7" t="s">
        <v>107</v>
      </c>
      <c r="R37" s="7" t="s">
        <v>107</v>
      </c>
      <c r="S37" s="12">
        <v>6.0466645000000003</v>
      </c>
      <c r="T37" s="12">
        <v>4.5</v>
      </c>
      <c r="U37" s="12">
        <v>81.686666700000004</v>
      </c>
      <c r="V37" s="12">
        <v>0.97446410000000006</v>
      </c>
      <c r="W37" s="12">
        <v>6.3525305999999997</v>
      </c>
      <c r="X37" s="7" t="s">
        <v>107</v>
      </c>
      <c r="Y37" s="7" t="s">
        <v>107</v>
      </c>
      <c r="Z37" s="12">
        <v>-21.895454000000001</v>
      </c>
      <c r="AA37" s="12">
        <v>66.286839200000003</v>
      </c>
      <c r="AB37" s="12">
        <v>21.492675599999998</v>
      </c>
      <c r="AC37" s="12">
        <v>32.990562199999999</v>
      </c>
      <c r="AD37" s="12">
        <v>27.872155599999999</v>
      </c>
      <c r="AE37" s="12">
        <v>48.643390699999998</v>
      </c>
      <c r="AF37" s="12">
        <v>23.0431645</v>
      </c>
      <c r="AG37" s="12">
        <v>37.768546700000002</v>
      </c>
    </row>
    <row r="38" spans="1:33" s="11" customFormat="1" outlineLevel="1" x14ac:dyDescent="0.3">
      <c r="A38" s="11" t="s">
        <v>44</v>
      </c>
      <c r="B38" s="12">
        <v>2.9723983</v>
      </c>
      <c r="C38" s="12">
        <v>84.693333300000006</v>
      </c>
      <c r="D38" s="12">
        <v>2.3979365000000001</v>
      </c>
      <c r="E38" s="17">
        <v>2.75</v>
      </c>
      <c r="F38" s="13">
        <v>69.533333299999995</v>
      </c>
      <c r="G38" s="12">
        <v>3.7152273999999998</v>
      </c>
      <c r="H38" s="12">
        <v>4.3223498999999999</v>
      </c>
      <c r="I38" s="12">
        <v>-3.9639823999999999</v>
      </c>
      <c r="J38" s="12">
        <v>4.128209</v>
      </c>
      <c r="K38" s="12">
        <v>-7.5620099999999996E-2</v>
      </c>
      <c r="L38" s="12">
        <v>4.7693994999999996</v>
      </c>
      <c r="M38" s="12">
        <v>15.3568704</v>
      </c>
      <c r="N38" s="12">
        <v>6.1058377999999998</v>
      </c>
      <c r="O38" s="12">
        <v>7.0448696999999996</v>
      </c>
      <c r="P38" s="7">
        <v>1548.4</v>
      </c>
      <c r="Q38" s="7">
        <v>206.2</v>
      </c>
      <c r="R38" s="7">
        <v>11.8</v>
      </c>
      <c r="S38" s="12">
        <v>5.8720374</v>
      </c>
      <c r="T38" s="12">
        <v>4.5</v>
      </c>
      <c r="U38" s="12">
        <v>83.003333299999994</v>
      </c>
      <c r="V38" s="12">
        <v>0.96629730000000003</v>
      </c>
      <c r="W38" s="12">
        <v>0.24161879999999999</v>
      </c>
      <c r="X38" s="7" t="s">
        <v>107</v>
      </c>
      <c r="Y38" s="7" t="s">
        <v>107</v>
      </c>
      <c r="Z38" s="12">
        <v>-12.698509</v>
      </c>
      <c r="AA38" s="12">
        <v>62.757597400000002</v>
      </c>
      <c r="AB38" s="12">
        <v>20.099253000000001</v>
      </c>
      <c r="AC38" s="12">
        <v>29.575360700000001</v>
      </c>
      <c r="AD38" s="12">
        <v>35.074184000000002</v>
      </c>
      <c r="AE38" s="12">
        <v>47.508441599999998</v>
      </c>
      <c r="AF38" s="12">
        <v>24.360764499999998</v>
      </c>
      <c r="AG38" s="12">
        <v>38.135089100000002</v>
      </c>
    </row>
    <row r="39" spans="1:33" s="11" customFormat="1" outlineLevel="1" x14ac:dyDescent="0.3">
      <c r="A39" s="11" t="s">
        <v>45</v>
      </c>
      <c r="B39" s="12">
        <v>3.3099788999999999</v>
      </c>
      <c r="C39" s="12">
        <v>84.873333299999999</v>
      </c>
      <c r="D39" s="12">
        <v>2.2364986</v>
      </c>
      <c r="E39" s="17">
        <v>3</v>
      </c>
      <c r="F39" s="13">
        <v>69.62</v>
      </c>
      <c r="G39" s="12">
        <v>4.1686227000000002</v>
      </c>
      <c r="H39" s="12">
        <v>2.0300045999999998</v>
      </c>
      <c r="I39" s="12">
        <v>-1.7910448000000001</v>
      </c>
      <c r="J39" s="12">
        <v>4.5638896999999998</v>
      </c>
      <c r="K39" s="12">
        <v>1.3354413999999999</v>
      </c>
      <c r="L39" s="12">
        <v>8.8233941999999992</v>
      </c>
      <c r="M39" s="12">
        <v>9.0049068999999999</v>
      </c>
      <c r="N39" s="12">
        <v>6.2107283000000004</v>
      </c>
      <c r="O39" s="12">
        <v>6.447527</v>
      </c>
      <c r="P39" s="7">
        <v>1624.2</v>
      </c>
      <c r="Q39" s="7" t="s">
        <v>107</v>
      </c>
      <c r="R39" s="7" t="s">
        <v>107</v>
      </c>
      <c r="S39" s="12">
        <v>5.5861441999999997</v>
      </c>
      <c r="T39" s="12">
        <v>4.5</v>
      </c>
      <c r="U39" s="12">
        <v>82.63</v>
      </c>
      <c r="V39" s="12">
        <v>0.97041169999999999</v>
      </c>
      <c r="W39" s="12">
        <v>5.5417956000000004</v>
      </c>
      <c r="X39" s="7" t="s">
        <v>107</v>
      </c>
      <c r="Y39" s="7" t="s">
        <v>107</v>
      </c>
      <c r="Z39" s="12">
        <v>18.092071199999999</v>
      </c>
      <c r="AA39" s="12">
        <v>49.161060399999997</v>
      </c>
      <c r="AB39" s="12">
        <v>17.723323700000002</v>
      </c>
      <c r="AC39" s="12">
        <v>21.8489641</v>
      </c>
      <c r="AD39" s="12">
        <v>52.219202500000002</v>
      </c>
      <c r="AE39" s="12">
        <v>40.950768500000002</v>
      </c>
      <c r="AF39" s="12">
        <v>23.182968200000001</v>
      </c>
      <c r="AG39" s="12">
        <v>38.668195599999997</v>
      </c>
    </row>
    <row r="40" spans="1:33" s="11" customFormat="1" outlineLevel="1" x14ac:dyDescent="0.3">
      <c r="A40" s="11" t="s">
        <v>46</v>
      </c>
      <c r="B40" s="12">
        <v>3.7478780999999999</v>
      </c>
      <c r="C40" s="12">
        <v>85.166666699999993</v>
      </c>
      <c r="D40" s="12">
        <v>1.9837944000000001</v>
      </c>
      <c r="E40" s="17">
        <v>3.5</v>
      </c>
      <c r="F40" s="13">
        <v>59.68</v>
      </c>
      <c r="G40" s="12">
        <v>4.1644506999999997</v>
      </c>
      <c r="H40" s="12">
        <v>10.5229801</v>
      </c>
      <c r="I40" s="12">
        <v>2.0631400000000002</v>
      </c>
      <c r="J40" s="12">
        <v>5.3659509999999999</v>
      </c>
      <c r="K40" s="12">
        <v>1.5836836000000001</v>
      </c>
      <c r="L40" s="12">
        <v>7.8360859999999999</v>
      </c>
      <c r="M40" s="12">
        <v>8.9496582</v>
      </c>
      <c r="N40" s="12">
        <v>7.1171118</v>
      </c>
      <c r="O40" s="12">
        <v>4.4423421999999997</v>
      </c>
      <c r="P40" s="7">
        <v>1624.2</v>
      </c>
      <c r="Q40" s="7">
        <v>191.1</v>
      </c>
      <c r="R40" s="7">
        <v>10.6</v>
      </c>
      <c r="S40" s="12">
        <v>7.1581251999999997</v>
      </c>
      <c r="T40" s="12">
        <v>4.5</v>
      </c>
      <c r="U40" s="12">
        <v>82.51</v>
      </c>
      <c r="V40" s="12">
        <v>0.9775433</v>
      </c>
      <c r="W40" s="12">
        <v>4.8091372999999997</v>
      </c>
      <c r="X40" s="7" t="s">
        <v>107</v>
      </c>
      <c r="Y40" s="7" t="s">
        <v>107</v>
      </c>
      <c r="Z40" s="12">
        <v>-14.798346</v>
      </c>
      <c r="AA40" s="12">
        <v>65.207174899999998</v>
      </c>
      <c r="AB40" s="12">
        <v>21.433563199999998</v>
      </c>
      <c r="AC40" s="12">
        <v>29.395440199999999</v>
      </c>
      <c r="AD40" s="12">
        <v>31.717865400000001</v>
      </c>
      <c r="AE40" s="12">
        <v>47.754043699999997</v>
      </c>
      <c r="AF40" s="12">
        <v>22.5627019</v>
      </c>
      <c r="AG40" s="12">
        <v>38.363418699999997</v>
      </c>
    </row>
    <row r="41" spans="1:33" s="11" customFormat="1" outlineLevel="1" x14ac:dyDescent="0.3">
      <c r="A41" s="11" t="s">
        <v>47</v>
      </c>
      <c r="B41" s="12">
        <v>3.5234725999999998</v>
      </c>
      <c r="C41" s="12">
        <v>85.39</v>
      </c>
      <c r="D41" s="12">
        <v>2.1737397000000001</v>
      </c>
      <c r="E41" s="17">
        <v>3.75</v>
      </c>
      <c r="F41" s="13">
        <v>57.763333299999999</v>
      </c>
      <c r="G41" s="12">
        <v>15.064230200000001</v>
      </c>
      <c r="H41" s="12">
        <v>14.5361837</v>
      </c>
      <c r="I41" s="12">
        <v>-4.4368637</v>
      </c>
      <c r="J41" s="12">
        <v>6.3515946000000003</v>
      </c>
      <c r="K41" s="12">
        <v>4.8563552000000003</v>
      </c>
      <c r="L41" s="12">
        <v>7.5815612000000003</v>
      </c>
      <c r="M41" s="12">
        <v>12.254061800000001</v>
      </c>
      <c r="N41" s="12">
        <v>-0.62342529999999996</v>
      </c>
      <c r="O41" s="12">
        <v>4.4500143999999997</v>
      </c>
      <c r="P41" s="7">
        <v>1562.7</v>
      </c>
      <c r="Q41" s="7">
        <v>197</v>
      </c>
      <c r="R41" s="7">
        <v>11.3</v>
      </c>
      <c r="S41" s="12">
        <v>6.1977069</v>
      </c>
      <c r="T41" s="12">
        <v>4.5</v>
      </c>
      <c r="U41" s="12">
        <v>83.163333300000005</v>
      </c>
      <c r="V41" s="12">
        <v>0.97756540000000003</v>
      </c>
      <c r="W41" s="12">
        <v>8.3032491000000004</v>
      </c>
      <c r="X41" s="7" t="s">
        <v>107</v>
      </c>
      <c r="Y41" s="7" t="s">
        <v>107</v>
      </c>
      <c r="Z41" s="12">
        <v>-20.670839999999998</v>
      </c>
      <c r="AA41" s="12">
        <v>64.220811400000002</v>
      </c>
      <c r="AB41" s="12">
        <v>21.7631637</v>
      </c>
      <c r="AC41" s="12">
        <v>34.847384099999999</v>
      </c>
      <c r="AD41" s="12">
        <v>26.526422199999999</v>
      </c>
      <c r="AE41" s="12">
        <v>47.3577814</v>
      </c>
      <c r="AF41" s="12">
        <v>24.316078699999998</v>
      </c>
      <c r="AG41" s="12">
        <v>36.007402300000003</v>
      </c>
    </row>
    <row r="42" spans="1:33" s="11" customFormat="1" outlineLevel="1" x14ac:dyDescent="0.3">
      <c r="A42" s="11" t="s">
        <v>48</v>
      </c>
      <c r="B42" s="12">
        <v>3.1678283999999999</v>
      </c>
      <c r="C42" s="12">
        <v>86.5</v>
      </c>
      <c r="D42" s="12">
        <v>2.1331864</v>
      </c>
      <c r="E42" s="17">
        <v>4</v>
      </c>
      <c r="F42" s="13">
        <v>68.583333300000007</v>
      </c>
      <c r="G42" s="12">
        <v>11.1375303</v>
      </c>
      <c r="H42" s="12">
        <v>14.6302915</v>
      </c>
      <c r="I42" s="12">
        <v>-2.6715958</v>
      </c>
      <c r="J42" s="12">
        <v>5.7041846999999999</v>
      </c>
      <c r="K42" s="12">
        <v>4.4924803999999998</v>
      </c>
      <c r="L42" s="12">
        <v>8.7768016000000006</v>
      </c>
      <c r="M42" s="12">
        <v>2.9102279000000002</v>
      </c>
      <c r="N42" s="12">
        <v>7.9306589000000001</v>
      </c>
      <c r="O42" s="12">
        <v>5.3918733000000003</v>
      </c>
      <c r="P42" s="7">
        <v>1609.3</v>
      </c>
      <c r="Q42" s="7">
        <v>161.30000000000001</v>
      </c>
      <c r="R42" s="7">
        <v>9.1999999999999993</v>
      </c>
      <c r="S42" s="12">
        <v>5.7471264</v>
      </c>
      <c r="T42" s="12">
        <v>4.5</v>
      </c>
      <c r="U42" s="12">
        <v>84.486666700000001</v>
      </c>
      <c r="V42" s="12">
        <v>0.97568080000000001</v>
      </c>
      <c r="W42" s="12">
        <v>6.4175956999999997</v>
      </c>
      <c r="X42" s="7" t="s">
        <v>107</v>
      </c>
      <c r="Y42" s="7" t="s">
        <v>107</v>
      </c>
      <c r="Z42" s="12">
        <v>-12.0140051</v>
      </c>
      <c r="AA42" s="12">
        <v>61.255808299999998</v>
      </c>
      <c r="AB42" s="12">
        <v>20.470439200000001</v>
      </c>
      <c r="AC42" s="12">
        <v>29.252530499999999</v>
      </c>
      <c r="AD42" s="12">
        <v>36.2420732</v>
      </c>
      <c r="AE42" s="12">
        <v>47.2208513</v>
      </c>
      <c r="AF42" s="12">
        <v>21.775705599999998</v>
      </c>
      <c r="AG42" s="12">
        <v>36.544326300000002</v>
      </c>
    </row>
    <row r="43" spans="1:33" s="11" customFormat="1" outlineLevel="1" x14ac:dyDescent="0.3">
      <c r="A43" s="11" t="s">
        <v>49</v>
      </c>
      <c r="B43" s="12">
        <v>3.1476855000000001</v>
      </c>
      <c r="C43" s="12">
        <v>86.6</v>
      </c>
      <c r="D43" s="12">
        <v>2.0344042999999998</v>
      </c>
      <c r="E43" s="17">
        <v>4</v>
      </c>
      <c r="F43" s="13">
        <v>74.953333299999997</v>
      </c>
      <c r="G43" s="12">
        <v>16.342947299999999</v>
      </c>
      <c r="H43" s="12">
        <v>16.514043000000001</v>
      </c>
      <c r="I43" s="12">
        <v>-1.8500224999999999</v>
      </c>
      <c r="J43" s="12">
        <v>4.4567144000000001</v>
      </c>
      <c r="K43" s="12">
        <v>5.1819986</v>
      </c>
      <c r="L43" s="12">
        <v>7.3516985000000004</v>
      </c>
      <c r="M43" s="12">
        <v>-3.7756509</v>
      </c>
      <c r="N43" s="12">
        <v>7.9298235000000004</v>
      </c>
      <c r="O43" s="12">
        <v>7.4023605999999997</v>
      </c>
      <c r="P43" s="7">
        <v>1661</v>
      </c>
      <c r="Q43" s="7">
        <v>151.19999999999999</v>
      </c>
      <c r="R43" s="7">
        <v>8.4</v>
      </c>
      <c r="S43" s="12">
        <v>6.5512353000000001</v>
      </c>
      <c r="T43" s="12">
        <v>4.5</v>
      </c>
      <c r="U43" s="12">
        <v>84.6533333</v>
      </c>
      <c r="V43" s="12">
        <v>0.96994709999999995</v>
      </c>
      <c r="W43" s="12">
        <v>3.0800820999999998</v>
      </c>
      <c r="X43" s="7" t="s">
        <v>107</v>
      </c>
      <c r="Y43" s="7" t="s">
        <v>107</v>
      </c>
      <c r="Z43" s="12">
        <v>16.647597600000001</v>
      </c>
      <c r="AA43" s="12">
        <v>48.812507600000004</v>
      </c>
      <c r="AB43" s="12">
        <v>18.690451899999999</v>
      </c>
      <c r="AC43" s="12">
        <v>20.2057395</v>
      </c>
      <c r="AD43" s="12">
        <v>53.095481100000001</v>
      </c>
      <c r="AE43" s="12">
        <v>40.804180100000004</v>
      </c>
      <c r="AF43" s="12">
        <v>20.111096700000001</v>
      </c>
      <c r="AG43" s="12">
        <v>36.568584899999998</v>
      </c>
    </row>
    <row r="44" spans="1:33" s="11" customFormat="1" outlineLevel="1" x14ac:dyDescent="0.3">
      <c r="A44" s="11" t="s">
        <v>50</v>
      </c>
      <c r="B44" s="12">
        <v>2.7223932</v>
      </c>
      <c r="C44" s="12">
        <v>87.72</v>
      </c>
      <c r="D44" s="12">
        <v>2.998043</v>
      </c>
      <c r="E44" s="17">
        <v>4</v>
      </c>
      <c r="F44" s="13">
        <v>88.56</v>
      </c>
      <c r="G44" s="12">
        <v>13.1659563</v>
      </c>
      <c r="H44" s="12">
        <v>8.6354465000000005</v>
      </c>
      <c r="I44" s="12">
        <v>0.15928139999999999</v>
      </c>
      <c r="J44" s="12">
        <v>3.9834432</v>
      </c>
      <c r="K44" s="12">
        <v>4.8468891000000003</v>
      </c>
      <c r="L44" s="12">
        <v>2.5855324999999998</v>
      </c>
      <c r="M44" s="12">
        <v>11.204321999999999</v>
      </c>
      <c r="N44" s="12">
        <v>0.54885949999999994</v>
      </c>
      <c r="O44" s="12">
        <v>6.9575227000000002</v>
      </c>
      <c r="P44" s="7">
        <v>1624.5</v>
      </c>
      <c r="Q44" s="7">
        <v>173.6</v>
      </c>
      <c r="R44" s="7">
        <v>9.6999999999999993</v>
      </c>
      <c r="S44" s="12">
        <v>6.4123770999999996</v>
      </c>
      <c r="T44" s="12">
        <v>9</v>
      </c>
      <c r="U44" s="12">
        <v>86.296666700000003</v>
      </c>
      <c r="V44" s="12">
        <v>0.97253520000000004</v>
      </c>
      <c r="W44" s="12">
        <v>2.3229137</v>
      </c>
      <c r="X44" s="7" t="s">
        <v>107</v>
      </c>
      <c r="Y44" s="7" t="s">
        <v>107</v>
      </c>
      <c r="Z44" s="12">
        <v>-17.311820000000001</v>
      </c>
      <c r="AA44" s="12">
        <v>65.514654800000002</v>
      </c>
      <c r="AB44" s="12">
        <v>22.4336713</v>
      </c>
      <c r="AC44" s="12">
        <v>30.128258599999999</v>
      </c>
      <c r="AD44" s="12">
        <v>30.501458499999998</v>
      </c>
      <c r="AE44" s="12">
        <v>48.577117200000004</v>
      </c>
      <c r="AF44" s="12">
        <v>18.7243888</v>
      </c>
      <c r="AG44" s="12">
        <v>37.063922599999998</v>
      </c>
    </row>
    <row r="45" spans="1:33" s="11" customFormat="1" outlineLevel="1" x14ac:dyDescent="0.3">
      <c r="A45" s="11" t="s">
        <v>51</v>
      </c>
      <c r="B45" s="12">
        <v>1.9060995000000001</v>
      </c>
      <c r="C45" s="12">
        <v>88.42</v>
      </c>
      <c r="D45" s="12">
        <v>3.5484249000000001</v>
      </c>
      <c r="E45" s="17">
        <v>4</v>
      </c>
      <c r="F45" s="13">
        <v>96.936666700000004</v>
      </c>
      <c r="G45" s="12">
        <v>6.9884678999999998</v>
      </c>
      <c r="H45" s="12">
        <v>12.055707699999999</v>
      </c>
      <c r="I45" s="12">
        <v>-2.3042367000000001</v>
      </c>
      <c r="J45" s="12">
        <v>3.3183205999999998</v>
      </c>
      <c r="K45" s="12">
        <v>6.3874243999999996</v>
      </c>
      <c r="L45" s="12">
        <v>0.64252100000000001</v>
      </c>
      <c r="M45" s="12">
        <v>5.8017038999999997</v>
      </c>
      <c r="N45" s="12">
        <v>0.90687470000000003</v>
      </c>
      <c r="O45" s="12">
        <v>6.6620771000000003</v>
      </c>
      <c r="P45" s="7">
        <v>1591.1</v>
      </c>
      <c r="Q45" s="7">
        <v>175.8</v>
      </c>
      <c r="R45" s="7">
        <v>10</v>
      </c>
      <c r="S45" s="12">
        <v>7.4846804999999996</v>
      </c>
      <c r="T45" s="12">
        <v>9</v>
      </c>
      <c r="U45" s="12">
        <v>87.753333299999994</v>
      </c>
      <c r="V45" s="12">
        <v>0.96677060000000004</v>
      </c>
      <c r="W45" s="12">
        <v>3.5454545</v>
      </c>
      <c r="X45" s="7" t="s">
        <v>107</v>
      </c>
      <c r="Y45" s="7" t="s">
        <v>107</v>
      </c>
      <c r="Z45" s="12">
        <v>-22.683840799999999</v>
      </c>
      <c r="AA45" s="12">
        <v>65.845015799999999</v>
      </c>
      <c r="AB45" s="12">
        <v>21.317094000000001</v>
      </c>
      <c r="AC45" s="12">
        <v>35.2160948</v>
      </c>
      <c r="AD45" s="12">
        <v>25.942994299999999</v>
      </c>
      <c r="AE45" s="12">
        <v>48.321199</v>
      </c>
      <c r="AF45" s="12">
        <v>16.9709602</v>
      </c>
      <c r="AG45" s="12">
        <v>34.655069900000001</v>
      </c>
    </row>
    <row r="46" spans="1:33" s="11" customFormat="1" outlineLevel="1" x14ac:dyDescent="0.3">
      <c r="A46" s="11" t="s">
        <v>52</v>
      </c>
      <c r="B46" s="12">
        <v>1.9101475000000001</v>
      </c>
      <c r="C46" s="12">
        <v>89.906666700000002</v>
      </c>
      <c r="D46" s="12">
        <v>3.9383430000000001</v>
      </c>
      <c r="E46" s="17">
        <v>4</v>
      </c>
      <c r="F46" s="13">
        <v>121.3966667</v>
      </c>
      <c r="G46" s="12">
        <v>9.0956351000000009</v>
      </c>
      <c r="H46" s="12">
        <v>12.0694044</v>
      </c>
      <c r="I46" s="12">
        <v>-1.4811004999999999</v>
      </c>
      <c r="J46" s="12">
        <v>2.9257114999999998</v>
      </c>
      <c r="K46" s="12">
        <v>5.1460324999999996</v>
      </c>
      <c r="L46" s="12">
        <v>-1.4270768</v>
      </c>
      <c r="M46" s="12">
        <v>14.396728</v>
      </c>
      <c r="N46" s="12">
        <v>0.1674862</v>
      </c>
      <c r="O46" s="12">
        <v>9.3350712999999992</v>
      </c>
      <c r="P46" s="7">
        <v>1637.6</v>
      </c>
      <c r="Q46" s="7">
        <v>140.1</v>
      </c>
      <c r="R46" s="7">
        <v>7.9</v>
      </c>
      <c r="S46" s="12">
        <v>6.7875451</v>
      </c>
      <c r="T46" s="12">
        <v>9</v>
      </c>
      <c r="U46" s="12">
        <v>89.79</v>
      </c>
      <c r="V46" s="12">
        <v>0.96295710000000001</v>
      </c>
      <c r="W46" s="12">
        <v>2.9445074</v>
      </c>
      <c r="X46" s="7" t="s">
        <v>107</v>
      </c>
      <c r="Y46" s="7" t="s">
        <v>107</v>
      </c>
      <c r="Z46" s="12">
        <v>-17.985598800000002</v>
      </c>
      <c r="AA46" s="12">
        <v>62.611639699999998</v>
      </c>
      <c r="AB46" s="12">
        <v>20.301705699999999</v>
      </c>
      <c r="AC46" s="12">
        <v>31.417673799999999</v>
      </c>
      <c r="AD46" s="12">
        <v>35.275563599999998</v>
      </c>
      <c r="AE46" s="12">
        <v>49.606582699999997</v>
      </c>
      <c r="AF46" s="12">
        <v>15.3263588</v>
      </c>
      <c r="AG46" s="12">
        <v>35.097461299999999</v>
      </c>
    </row>
    <row r="47" spans="1:33" s="11" customFormat="1" outlineLevel="1" x14ac:dyDescent="0.3">
      <c r="A47" s="11" t="s">
        <v>53</v>
      </c>
      <c r="B47" s="12">
        <v>0.87131639999999999</v>
      </c>
      <c r="C47" s="12">
        <v>90.323333300000002</v>
      </c>
      <c r="D47" s="12">
        <v>4.2994611000000003</v>
      </c>
      <c r="E47" s="17">
        <v>4.25</v>
      </c>
      <c r="F47" s="13">
        <v>114.3966667</v>
      </c>
      <c r="G47" s="12">
        <v>5.1420602999999998</v>
      </c>
      <c r="H47" s="12">
        <v>6.9884741000000004</v>
      </c>
      <c r="I47" s="12">
        <v>-1.1101049000000001</v>
      </c>
      <c r="J47" s="12">
        <v>1.6221687</v>
      </c>
      <c r="K47" s="12">
        <v>2.7765776999999998</v>
      </c>
      <c r="L47" s="12">
        <v>0.64546599999999998</v>
      </c>
      <c r="M47" s="12">
        <v>19.863446700000001</v>
      </c>
      <c r="N47" s="12">
        <v>-3.0296075</v>
      </c>
      <c r="O47" s="12">
        <v>5.5037346999999999</v>
      </c>
      <c r="P47" s="7">
        <v>1680.6</v>
      </c>
      <c r="Q47" s="7">
        <v>125.9</v>
      </c>
      <c r="R47" s="7">
        <v>7</v>
      </c>
      <c r="S47" s="12">
        <v>7.3600684000000003</v>
      </c>
      <c r="T47" s="12">
        <v>9</v>
      </c>
      <c r="U47" s="12">
        <v>90.673333299999996</v>
      </c>
      <c r="V47" s="12">
        <v>0.95324620000000004</v>
      </c>
      <c r="W47" s="12">
        <v>0.1992032</v>
      </c>
      <c r="X47" s="7" t="s">
        <v>107</v>
      </c>
      <c r="Y47" s="7" t="s">
        <v>107</v>
      </c>
      <c r="Z47" s="12">
        <v>9.2403949999999995</v>
      </c>
      <c r="AA47" s="12">
        <v>49.704173300000001</v>
      </c>
      <c r="AB47" s="12">
        <v>18.3850275</v>
      </c>
      <c r="AC47" s="12">
        <v>23.183910600000001</v>
      </c>
      <c r="AD47" s="12">
        <v>50.907856000000002</v>
      </c>
      <c r="AE47" s="12">
        <v>42.181722100000002</v>
      </c>
      <c r="AF47" s="12">
        <v>11.3629357</v>
      </c>
      <c r="AG47" s="12">
        <v>35.175593599999999</v>
      </c>
    </row>
    <row r="48" spans="1:33" s="11" customFormat="1" outlineLevel="1" x14ac:dyDescent="0.3">
      <c r="A48" s="11" t="s">
        <v>54</v>
      </c>
      <c r="B48" s="12">
        <v>-1.9881508000000001</v>
      </c>
      <c r="C48" s="12">
        <v>90.23</v>
      </c>
      <c r="D48" s="12">
        <v>2.8613770999999999</v>
      </c>
      <c r="E48" s="17">
        <v>2.5</v>
      </c>
      <c r="F48" s="13">
        <v>54.66</v>
      </c>
      <c r="G48" s="12">
        <v>8.6976990999999995</v>
      </c>
      <c r="H48" s="12">
        <v>-1.958906</v>
      </c>
      <c r="I48" s="12">
        <v>-4.6416069000000002</v>
      </c>
      <c r="J48" s="12">
        <v>0.30620269999999999</v>
      </c>
      <c r="K48" s="12">
        <v>-2.0250376999999999</v>
      </c>
      <c r="L48" s="12">
        <v>3.7885781000000001</v>
      </c>
      <c r="M48" s="12">
        <v>-1.1074231000000001</v>
      </c>
      <c r="N48" s="12">
        <v>-5.9002632999999998</v>
      </c>
      <c r="O48" s="12">
        <v>-5.9915314000000004</v>
      </c>
      <c r="P48" s="7">
        <v>1632.8</v>
      </c>
      <c r="Q48" s="7">
        <v>155.1</v>
      </c>
      <c r="R48" s="7">
        <v>8.6999999999999993</v>
      </c>
      <c r="S48" s="12">
        <v>6.6111924000000002</v>
      </c>
      <c r="T48" s="12">
        <v>9</v>
      </c>
      <c r="U48" s="12">
        <v>90.033333299999995</v>
      </c>
      <c r="V48" s="12">
        <v>0.95228619999999997</v>
      </c>
      <c r="W48" s="12">
        <v>-1.6535873999999999</v>
      </c>
      <c r="X48" s="7" t="s">
        <v>107</v>
      </c>
      <c r="Y48" s="7" t="s">
        <v>107</v>
      </c>
      <c r="Z48" s="12">
        <v>-15.202622099999999</v>
      </c>
      <c r="AA48" s="12">
        <v>64.005502199999995</v>
      </c>
      <c r="AB48" s="12">
        <v>22.835930099999999</v>
      </c>
      <c r="AC48" s="12">
        <v>29.810685200000002</v>
      </c>
      <c r="AD48" s="12">
        <v>28.279060699999999</v>
      </c>
      <c r="AE48" s="12">
        <v>44.931178299999999</v>
      </c>
      <c r="AF48" s="12">
        <v>12.3878942</v>
      </c>
      <c r="AG48" s="12">
        <v>38.890951899999997</v>
      </c>
    </row>
    <row r="49" spans="1:33" s="11" customFormat="1" outlineLevel="1" x14ac:dyDescent="0.3">
      <c r="A49" s="11" t="s">
        <v>55</v>
      </c>
      <c r="B49" s="12">
        <v>-5.4359460999999998</v>
      </c>
      <c r="C49" s="12">
        <v>89.88</v>
      </c>
      <c r="D49" s="12">
        <v>1.6512100999999999</v>
      </c>
      <c r="E49" s="17">
        <v>1.5</v>
      </c>
      <c r="F49" s="13">
        <v>44.433333300000001</v>
      </c>
      <c r="G49" s="12">
        <v>3.2316123999999999</v>
      </c>
      <c r="H49" s="12">
        <v>-6.9939875999999996</v>
      </c>
      <c r="I49" s="12">
        <v>-7.3749454999999999</v>
      </c>
      <c r="J49" s="12">
        <v>-8.8639297999999993</v>
      </c>
      <c r="K49" s="12">
        <v>-9.5781901999999999</v>
      </c>
      <c r="L49" s="12">
        <v>3.6434612999999998</v>
      </c>
      <c r="M49" s="12">
        <v>-30.9879073</v>
      </c>
      <c r="N49" s="12">
        <v>-7.9145728999999996</v>
      </c>
      <c r="O49" s="12">
        <v>-18.7028602</v>
      </c>
      <c r="P49" s="7">
        <v>1607.8</v>
      </c>
      <c r="Q49" s="7">
        <v>167.4</v>
      </c>
      <c r="R49" s="7">
        <v>9.5</v>
      </c>
      <c r="S49" s="12">
        <v>4.6197005000000004</v>
      </c>
      <c r="T49" s="12">
        <v>9</v>
      </c>
      <c r="U49" s="12">
        <v>90.82</v>
      </c>
      <c r="V49" s="12">
        <v>0.98366180000000003</v>
      </c>
      <c r="W49" s="12">
        <v>-10.9452737</v>
      </c>
      <c r="X49" s="12">
        <v>-6.2908289999999996</v>
      </c>
      <c r="Y49" s="12">
        <v>-18.745155799999999</v>
      </c>
      <c r="Z49" s="12">
        <v>-17.752951599999999</v>
      </c>
      <c r="AA49" s="12">
        <v>65.753674799999999</v>
      </c>
      <c r="AB49" s="12">
        <v>24.6528095</v>
      </c>
      <c r="AC49" s="12">
        <v>25.502906400000001</v>
      </c>
      <c r="AD49" s="12">
        <v>25.900565</v>
      </c>
      <c r="AE49" s="12">
        <v>41.809955700000003</v>
      </c>
      <c r="AF49" s="12">
        <v>8.6480867999999997</v>
      </c>
      <c r="AG49" s="12">
        <v>42.856789800000001</v>
      </c>
    </row>
    <row r="50" spans="1:33" s="11" customFormat="1" outlineLevel="1" x14ac:dyDescent="0.3">
      <c r="A50" s="11" t="s">
        <v>56</v>
      </c>
      <c r="B50" s="12">
        <v>-5.8020649999999998</v>
      </c>
      <c r="C50" s="12">
        <v>90.723333299999993</v>
      </c>
      <c r="D50" s="12">
        <v>0.90834930000000003</v>
      </c>
      <c r="E50" s="17">
        <v>1</v>
      </c>
      <c r="F50" s="13">
        <v>58.696666700000002</v>
      </c>
      <c r="G50" s="12">
        <v>1.8364429</v>
      </c>
      <c r="H50" s="12">
        <v>-13.0654503</v>
      </c>
      <c r="I50" s="12">
        <v>-8.6380674000000006</v>
      </c>
      <c r="J50" s="12">
        <v>-8.4065647000000006</v>
      </c>
      <c r="K50" s="12">
        <v>-10.2116468</v>
      </c>
      <c r="L50" s="12">
        <v>4.2243355999999999</v>
      </c>
      <c r="M50" s="12">
        <v>-26.571837200000001</v>
      </c>
      <c r="N50" s="12">
        <v>-16.5834209</v>
      </c>
      <c r="O50" s="12">
        <v>-23.810196099999999</v>
      </c>
      <c r="P50" s="7">
        <v>1611.1</v>
      </c>
      <c r="Q50" s="7">
        <v>156.9</v>
      </c>
      <c r="R50" s="7">
        <v>8.9</v>
      </c>
      <c r="S50" s="12">
        <v>3.3647434999999999</v>
      </c>
      <c r="T50" s="12">
        <v>9</v>
      </c>
      <c r="U50" s="12">
        <v>92.15</v>
      </c>
      <c r="V50" s="12">
        <v>0.97613640000000002</v>
      </c>
      <c r="W50" s="12">
        <v>-9.4059405999999992</v>
      </c>
      <c r="X50" s="12">
        <v>-16.339808099999999</v>
      </c>
      <c r="Y50" s="12">
        <v>-24.8207244</v>
      </c>
      <c r="Z50" s="12">
        <v>-10.3690093</v>
      </c>
      <c r="AA50" s="12">
        <v>61.086102699999998</v>
      </c>
      <c r="AB50" s="12">
        <v>22.475295500000001</v>
      </c>
      <c r="AC50" s="12">
        <v>24.658799500000001</v>
      </c>
      <c r="AD50" s="12">
        <v>31.309743699999999</v>
      </c>
      <c r="AE50" s="12">
        <v>39.529941399999998</v>
      </c>
      <c r="AF50" s="12">
        <v>3.3279002000000002</v>
      </c>
      <c r="AG50" s="12">
        <v>44.054869500000002</v>
      </c>
    </row>
    <row r="51" spans="1:33" s="11" customFormat="1" outlineLevel="1" x14ac:dyDescent="0.3">
      <c r="A51" s="11" t="s">
        <v>57</v>
      </c>
      <c r="B51" s="12">
        <v>-4.1677857999999999</v>
      </c>
      <c r="C51" s="12">
        <v>90.663333300000005</v>
      </c>
      <c r="D51" s="12">
        <v>0.37642540000000002</v>
      </c>
      <c r="E51" s="17">
        <v>1</v>
      </c>
      <c r="F51" s="13">
        <v>68.2</v>
      </c>
      <c r="G51" s="12">
        <v>2.2399057</v>
      </c>
      <c r="H51" s="12">
        <v>-7.5638525000000003</v>
      </c>
      <c r="I51" s="12">
        <v>-5.3662061999999997</v>
      </c>
      <c r="J51" s="12">
        <v>-7.4296972999999999</v>
      </c>
      <c r="K51" s="12">
        <v>-7.9239414000000004</v>
      </c>
      <c r="L51" s="12">
        <v>1.2748318000000001</v>
      </c>
      <c r="M51" s="12">
        <v>-25.316455699999999</v>
      </c>
      <c r="N51" s="12">
        <v>-14.8694744</v>
      </c>
      <c r="O51" s="12">
        <v>-22.1130721</v>
      </c>
      <c r="P51" s="7">
        <v>1608.1</v>
      </c>
      <c r="Q51" s="7">
        <v>152.80000000000001</v>
      </c>
      <c r="R51" s="7">
        <v>8.6999999999999993</v>
      </c>
      <c r="S51" s="12">
        <v>1.4118168</v>
      </c>
      <c r="T51" s="12">
        <v>9</v>
      </c>
      <c r="U51" s="12">
        <v>91.773333300000004</v>
      </c>
      <c r="V51" s="12">
        <v>0.97195569999999998</v>
      </c>
      <c r="W51" s="12">
        <v>-9.0031241000000009</v>
      </c>
      <c r="X51" s="12">
        <v>-17.867630399999999</v>
      </c>
      <c r="Y51" s="12">
        <v>-25.4864842</v>
      </c>
      <c r="Z51" s="12">
        <v>11.0691486</v>
      </c>
      <c r="AA51" s="12">
        <v>49.563925500000003</v>
      </c>
      <c r="AB51" s="12">
        <v>20.115644100000001</v>
      </c>
      <c r="AC51" s="12">
        <v>19.0178285</v>
      </c>
      <c r="AD51" s="12">
        <v>45.4047543</v>
      </c>
      <c r="AE51" s="12">
        <v>34.1021523</v>
      </c>
      <c r="AF51" s="12">
        <v>1.0405978</v>
      </c>
      <c r="AG51" s="12">
        <v>45.777291499999997</v>
      </c>
    </row>
    <row r="52" spans="1:33" s="11" customFormat="1" outlineLevel="1" x14ac:dyDescent="0.3">
      <c r="A52" s="11" t="s">
        <v>58</v>
      </c>
      <c r="B52" s="12">
        <v>-1.8288317999999999</v>
      </c>
      <c r="C52" s="12">
        <v>91.146666699999997</v>
      </c>
      <c r="D52" s="12">
        <v>1.0159222999999999</v>
      </c>
      <c r="E52" s="17">
        <v>1</v>
      </c>
      <c r="F52" s="13">
        <v>74.63</v>
      </c>
      <c r="G52" s="12">
        <v>1.2253442000000001</v>
      </c>
      <c r="H52" s="12">
        <v>-3.3958803</v>
      </c>
      <c r="I52" s="12">
        <v>-6.9186430999999997</v>
      </c>
      <c r="J52" s="12">
        <v>-4.1516438999999998</v>
      </c>
      <c r="K52" s="12">
        <v>-8.2082297000000004</v>
      </c>
      <c r="L52" s="12">
        <v>-0.9899076</v>
      </c>
      <c r="M52" s="12">
        <v>-7.1034082999999999</v>
      </c>
      <c r="N52" s="12">
        <v>-13.053490699999999</v>
      </c>
      <c r="O52" s="12">
        <v>-16.042339200000001</v>
      </c>
      <c r="P52" s="7">
        <v>1594.2</v>
      </c>
      <c r="Q52" s="7">
        <v>162</v>
      </c>
      <c r="R52" s="7">
        <v>9.3000000000000007</v>
      </c>
      <c r="S52" s="12">
        <v>-0.36023670000000002</v>
      </c>
      <c r="T52" s="12">
        <v>9</v>
      </c>
      <c r="U52" s="12">
        <v>91.476666699999996</v>
      </c>
      <c r="V52" s="12">
        <v>0.96568229999999999</v>
      </c>
      <c r="W52" s="12">
        <v>-7.6944999000000003</v>
      </c>
      <c r="X52" s="12">
        <v>-18.6879791</v>
      </c>
      <c r="Y52" s="12">
        <v>-22.115043100000001</v>
      </c>
      <c r="Z52" s="12">
        <v>-12.8966774</v>
      </c>
      <c r="AA52" s="12">
        <v>61.563797899999997</v>
      </c>
      <c r="AB52" s="12">
        <v>23.286853099999998</v>
      </c>
      <c r="AC52" s="12">
        <v>27.632043299999999</v>
      </c>
      <c r="AD52" s="12">
        <v>23.918453</v>
      </c>
      <c r="AE52" s="12">
        <v>36.401147399999999</v>
      </c>
      <c r="AF52" s="12">
        <v>-2.7328313999999998</v>
      </c>
      <c r="AG52" s="12">
        <v>48.096619199999999</v>
      </c>
    </row>
    <row r="53" spans="1:33" s="11" customFormat="1" outlineLevel="1" x14ac:dyDescent="0.3">
      <c r="A53" s="11" t="s">
        <v>59</v>
      </c>
      <c r="B53" s="12">
        <v>1.1991562</v>
      </c>
      <c r="C53" s="12">
        <v>91.416666699999993</v>
      </c>
      <c r="D53" s="12">
        <v>1.709687</v>
      </c>
      <c r="E53" s="17">
        <v>1</v>
      </c>
      <c r="F53" s="13">
        <v>76.25</v>
      </c>
      <c r="G53" s="12">
        <v>1.0029972</v>
      </c>
      <c r="H53" s="12">
        <v>-6.6633164000000003</v>
      </c>
      <c r="I53" s="12">
        <v>-10.967259200000001</v>
      </c>
      <c r="J53" s="12">
        <v>-2.0558952000000001</v>
      </c>
      <c r="K53" s="12">
        <v>-5.3913319</v>
      </c>
      <c r="L53" s="12">
        <v>-0.1294727</v>
      </c>
      <c r="M53" s="12">
        <v>-7.8203412999999999</v>
      </c>
      <c r="N53" s="12">
        <v>0.31482840000000001</v>
      </c>
      <c r="O53" s="12">
        <v>-7.4016105000000003</v>
      </c>
      <c r="P53" s="7">
        <v>1563.2</v>
      </c>
      <c r="Q53" s="7">
        <v>196.7</v>
      </c>
      <c r="R53" s="7">
        <v>11.2</v>
      </c>
      <c r="S53" s="12">
        <v>-0.94714989999999999</v>
      </c>
      <c r="T53" s="12">
        <v>9</v>
      </c>
      <c r="U53" s="12">
        <v>91.85</v>
      </c>
      <c r="V53" s="12">
        <v>0.96703170000000005</v>
      </c>
      <c r="W53" s="12">
        <v>-0.52579690000000001</v>
      </c>
      <c r="X53" s="12">
        <v>2.5920505</v>
      </c>
      <c r="Y53" s="12">
        <v>-8.3536032999999996</v>
      </c>
      <c r="Z53" s="12">
        <v>-13.198871499999999</v>
      </c>
      <c r="AA53" s="12">
        <v>63.744182700000003</v>
      </c>
      <c r="AB53" s="12">
        <v>24.5986838</v>
      </c>
      <c r="AC53" s="12">
        <v>23.3419439</v>
      </c>
      <c r="AD53" s="12">
        <v>26.411013400000002</v>
      </c>
      <c r="AE53" s="12">
        <v>38.095823899999999</v>
      </c>
      <c r="AF53" s="12">
        <v>-3.1205482</v>
      </c>
      <c r="AG53" s="12">
        <v>50.1223855</v>
      </c>
    </row>
    <row r="54" spans="1:33" s="11" customFormat="1" outlineLevel="1" x14ac:dyDescent="0.3">
      <c r="A54" s="11" t="s">
        <v>60</v>
      </c>
      <c r="B54" s="12">
        <v>2.6157658000000001</v>
      </c>
      <c r="C54" s="12">
        <v>92.57</v>
      </c>
      <c r="D54" s="12">
        <v>2.0354926</v>
      </c>
      <c r="E54" s="17">
        <v>1</v>
      </c>
      <c r="F54" s="13">
        <v>78.510000000000005</v>
      </c>
      <c r="G54" s="12">
        <v>-6.5780000999999997</v>
      </c>
      <c r="H54" s="12">
        <v>-0.41366399999999998</v>
      </c>
      <c r="I54" s="12">
        <v>-5.6384378999999996</v>
      </c>
      <c r="J54" s="12">
        <v>-2.6633803999999999</v>
      </c>
      <c r="K54" s="12">
        <v>-3.2902811999999999</v>
      </c>
      <c r="L54" s="12">
        <v>0.50918569999999996</v>
      </c>
      <c r="M54" s="12">
        <v>-22.940214900000001</v>
      </c>
      <c r="N54" s="12">
        <v>6.1650347999999999</v>
      </c>
      <c r="O54" s="12">
        <v>-8.1036009</v>
      </c>
      <c r="P54" s="7">
        <v>1533.3</v>
      </c>
      <c r="Q54" s="7">
        <v>216.4</v>
      </c>
      <c r="R54" s="7">
        <v>12.4</v>
      </c>
      <c r="S54" s="12">
        <v>-0.96323369999999997</v>
      </c>
      <c r="T54" s="12">
        <v>9</v>
      </c>
      <c r="U54" s="12">
        <v>92.853333300000003</v>
      </c>
      <c r="V54" s="12">
        <v>0.9620147</v>
      </c>
      <c r="W54" s="12">
        <v>-3.3394050000000002</v>
      </c>
      <c r="X54" s="12">
        <v>9.4159114000000006</v>
      </c>
      <c r="Y54" s="12">
        <v>-5.4619895999999999</v>
      </c>
      <c r="Z54" s="12">
        <v>-2.8238164000000001</v>
      </c>
      <c r="AA54" s="12">
        <v>60.860026300000001</v>
      </c>
      <c r="AB54" s="12">
        <v>22.565635499999999</v>
      </c>
      <c r="AC54" s="12">
        <v>19.7308761</v>
      </c>
      <c r="AD54" s="12">
        <v>34.4074521</v>
      </c>
      <c r="AE54" s="12">
        <v>37.563990099999998</v>
      </c>
      <c r="AF54" s="12">
        <v>0.23693829999999999</v>
      </c>
      <c r="AG54" s="12">
        <v>50.7902092</v>
      </c>
    </row>
    <row r="55" spans="1:33" s="11" customFormat="1" outlineLevel="1" x14ac:dyDescent="0.3">
      <c r="A55" s="11" t="s">
        <v>61</v>
      </c>
      <c r="B55" s="12">
        <v>2.4618717000000001</v>
      </c>
      <c r="C55" s="12">
        <v>92.583333300000007</v>
      </c>
      <c r="D55" s="12">
        <v>2.1177248999999998</v>
      </c>
      <c r="E55" s="17">
        <v>1</v>
      </c>
      <c r="F55" s="13">
        <v>76.819999999999993</v>
      </c>
      <c r="G55" s="12">
        <v>-1.3170222</v>
      </c>
      <c r="H55" s="12">
        <v>3.6028839000000001</v>
      </c>
      <c r="I55" s="12">
        <v>-3.3020353999999998</v>
      </c>
      <c r="J55" s="12">
        <v>1.1741032</v>
      </c>
      <c r="K55" s="12">
        <v>1.515728</v>
      </c>
      <c r="L55" s="12">
        <v>0.66414390000000001</v>
      </c>
      <c r="M55" s="12">
        <v>-12.1280603</v>
      </c>
      <c r="N55" s="12">
        <v>6.8247608</v>
      </c>
      <c r="O55" s="12">
        <v>0.45666069999999997</v>
      </c>
      <c r="P55" s="7">
        <v>1540.4</v>
      </c>
      <c r="Q55" s="7">
        <v>200.4</v>
      </c>
      <c r="R55" s="7">
        <v>11.6</v>
      </c>
      <c r="S55" s="12">
        <v>-0.23129959999999999</v>
      </c>
      <c r="T55" s="12">
        <v>9</v>
      </c>
      <c r="U55" s="12">
        <v>92.7</v>
      </c>
      <c r="V55" s="12">
        <v>0.96266949999999996</v>
      </c>
      <c r="W55" s="12">
        <v>0.12484389999999999</v>
      </c>
      <c r="X55" s="12">
        <v>9.2632700999999997</v>
      </c>
      <c r="Y55" s="12">
        <v>2.9227987</v>
      </c>
      <c r="Z55" s="12">
        <v>12.6073974</v>
      </c>
      <c r="AA55" s="12">
        <v>49.853487899999998</v>
      </c>
      <c r="AB55" s="12">
        <v>19.6397063</v>
      </c>
      <c r="AC55" s="12">
        <v>16.379418999999999</v>
      </c>
      <c r="AD55" s="12">
        <v>48.220587299999998</v>
      </c>
      <c r="AE55" s="12">
        <v>34.094776000000003</v>
      </c>
      <c r="AF55" s="12">
        <v>1.6859207</v>
      </c>
      <c r="AG55" s="12">
        <v>54.611206299999999</v>
      </c>
    </row>
    <row r="56" spans="1:33" s="11" customFormat="1" outlineLevel="1" x14ac:dyDescent="0.3">
      <c r="A56" s="11" t="s">
        <v>62</v>
      </c>
      <c r="B56" s="12">
        <v>2.3931737000000002</v>
      </c>
      <c r="C56" s="12">
        <v>93.383333300000004</v>
      </c>
      <c r="D56" s="12">
        <v>2.4539203000000001</v>
      </c>
      <c r="E56" s="17">
        <v>1</v>
      </c>
      <c r="F56" s="13">
        <v>86.466666700000005</v>
      </c>
      <c r="G56" s="12">
        <v>-3.1769235999999998</v>
      </c>
      <c r="H56" s="12">
        <v>-5.4018908000000003</v>
      </c>
      <c r="I56" s="12">
        <v>-7.7253102</v>
      </c>
      <c r="J56" s="12">
        <v>-1.7620273</v>
      </c>
      <c r="K56" s="12">
        <v>1.2255845999999999</v>
      </c>
      <c r="L56" s="12">
        <v>-3.3587189999999998</v>
      </c>
      <c r="M56" s="12">
        <v>-18.810970600000001</v>
      </c>
      <c r="N56" s="12">
        <v>19.1638448</v>
      </c>
      <c r="O56" s="12">
        <v>3.2859441999999999</v>
      </c>
      <c r="P56" s="7">
        <v>1527.8</v>
      </c>
      <c r="Q56" s="7">
        <v>209.5</v>
      </c>
      <c r="R56" s="7">
        <v>12.1</v>
      </c>
      <c r="S56" s="12">
        <v>0.49066019999999999</v>
      </c>
      <c r="T56" s="12">
        <v>9</v>
      </c>
      <c r="U56" s="12">
        <v>92.783333299999995</v>
      </c>
      <c r="V56" s="12">
        <v>0.97781320000000005</v>
      </c>
      <c r="W56" s="12">
        <v>-1.6671811999999999</v>
      </c>
      <c r="X56" s="12">
        <v>24.440952899999999</v>
      </c>
      <c r="Y56" s="12">
        <v>7.2654394</v>
      </c>
      <c r="Z56" s="12">
        <v>-9.0057288999999994</v>
      </c>
      <c r="AA56" s="12">
        <v>64.058770999999993</v>
      </c>
      <c r="AB56" s="12">
        <v>23.609517</v>
      </c>
      <c r="AC56" s="12">
        <v>21.785903000000001</v>
      </c>
      <c r="AD56" s="12">
        <v>30.349237599999999</v>
      </c>
      <c r="AE56" s="12">
        <v>39.802517700000003</v>
      </c>
      <c r="AF56" s="7" t="s">
        <v>107</v>
      </c>
      <c r="AG56" s="12">
        <v>56.959520400000002</v>
      </c>
    </row>
    <row r="57" spans="1:33" s="11" customFormat="1" outlineLevel="1" x14ac:dyDescent="0.3">
      <c r="A57" s="11" t="s">
        <v>63</v>
      </c>
      <c r="B57" s="12">
        <v>3.2110127999999998</v>
      </c>
      <c r="C57" s="12">
        <v>94.073333300000002</v>
      </c>
      <c r="D57" s="12">
        <v>2.9061075000000001</v>
      </c>
      <c r="E57" s="17">
        <v>1</v>
      </c>
      <c r="F57" s="13">
        <v>104.96</v>
      </c>
      <c r="G57" s="12">
        <v>11.6584883</v>
      </c>
      <c r="H57" s="12">
        <v>-1.2897699</v>
      </c>
      <c r="I57" s="12">
        <v>-17.696943600000001</v>
      </c>
      <c r="J57" s="12">
        <v>-2.2602161000000001</v>
      </c>
      <c r="K57" s="12">
        <v>0.38010670000000002</v>
      </c>
      <c r="L57" s="12">
        <v>3.1978</v>
      </c>
      <c r="M57" s="12">
        <v>-2.3137645999999998</v>
      </c>
      <c r="N57" s="12">
        <v>-2.2526763999999999</v>
      </c>
      <c r="O57" s="12">
        <v>5.3696536000000004</v>
      </c>
      <c r="P57" s="7">
        <v>1476.4</v>
      </c>
      <c r="Q57" s="7">
        <v>245.7</v>
      </c>
      <c r="R57" s="7">
        <v>14.3</v>
      </c>
      <c r="S57" s="12">
        <v>0.48901889999999998</v>
      </c>
      <c r="T57" s="12">
        <v>9</v>
      </c>
      <c r="U57" s="12">
        <v>93.836666699999995</v>
      </c>
      <c r="V57" s="12">
        <v>0.98246730000000004</v>
      </c>
      <c r="W57" s="12">
        <v>-3.6009250000000002</v>
      </c>
      <c r="X57" s="12">
        <v>6.7312384999999999</v>
      </c>
      <c r="Y57" s="12">
        <v>10.952095999999999</v>
      </c>
      <c r="Z57" s="12">
        <v>-12.971662999999999</v>
      </c>
      <c r="AA57" s="12">
        <v>65.65025</v>
      </c>
      <c r="AB57" s="12">
        <v>25.2256137</v>
      </c>
      <c r="AC57" s="12">
        <v>23.450477899999999</v>
      </c>
      <c r="AD57" s="12">
        <v>28.669110199999999</v>
      </c>
      <c r="AE57" s="12">
        <v>42.994425100000001</v>
      </c>
      <c r="AF57" s="7" t="s">
        <v>107</v>
      </c>
      <c r="AG57" s="12">
        <v>60.710307800000002</v>
      </c>
    </row>
    <row r="58" spans="1:33" s="11" customFormat="1" outlineLevel="1" x14ac:dyDescent="0.3">
      <c r="A58" s="11" t="s">
        <v>64</v>
      </c>
      <c r="B58" s="12">
        <v>2.1036085</v>
      </c>
      <c r="C58" s="12">
        <v>95.516666700000002</v>
      </c>
      <c r="D58" s="12">
        <v>3.1831767000000002</v>
      </c>
      <c r="E58" s="17">
        <v>1.25</v>
      </c>
      <c r="F58" s="13">
        <v>117.36</v>
      </c>
      <c r="G58" s="12">
        <v>1.7183918</v>
      </c>
      <c r="H58" s="12">
        <v>-0.5880938</v>
      </c>
      <c r="I58" s="12">
        <v>-6.5069162</v>
      </c>
      <c r="J58" s="12">
        <v>1.5105052000000001</v>
      </c>
      <c r="K58" s="12">
        <v>1.3109884000000001</v>
      </c>
      <c r="L58" s="12">
        <v>2.5492420999999998</v>
      </c>
      <c r="M58" s="12">
        <v>5.2398790000000002</v>
      </c>
      <c r="N58" s="12">
        <v>3.2290860000000001</v>
      </c>
      <c r="O58" s="12">
        <v>5.4665621</v>
      </c>
      <c r="P58" s="7">
        <v>1480</v>
      </c>
      <c r="Q58" s="7">
        <v>230.7</v>
      </c>
      <c r="R58" s="7">
        <v>13.6</v>
      </c>
      <c r="S58" s="12">
        <v>1.7541574</v>
      </c>
      <c r="T58" s="12">
        <v>7</v>
      </c>
      <c r="U58" s="12">
        <v>94.9566667</v>
      </c>
      <c r="V58" s="12">
        <v>0.98106930000000003</v>
      </c>
      <c r="W58" s="12">
        <v>1.0050252</v>
      </c>
      <c r="X58" s="12">
        <v>7.5829626000000001</v>
      </c>
      <c r="Y58" s="12">
        <v>9.7455345999999992</v>
      </c>
      <c r="Z58" s="12">
        <v>-2.5695210999999998</v>
      </c>
      <c r="AA58" s="12">
        <v>61.045510200000002</v>
      </c>
      <c r="AB58" s="12">
        <v>23.193707100000001</v>
      </c>
      <c r="AC58" s="12">
        <v>19.938917199999999</v>
      </c>
      <c r="AD58" s="12">
        <v>36.635474199999997</v>
      </c>
      <c r="AE58" s="12">
        <v>40.813608700000003</v>
      </c>
      <c r="AF58" s="7" t="s">
        <v>107</v>
      </c>
      <c r="AG58" s="12">
        <v>60.107253999999998</v>
      </c>
    </row>
    <row r="59" spans="1:33" s="11" customFormat="1" outlineLevel="1" x14ac:dyDescent="0.3">
      <c r="A59" s="11" t="s">
        <v>65</v>
      </c>
      <c r="B59" s="12">
        <v>1.8176159000000001</v>
      </c>
      <c r="C59" s="12">
        <v>95.433333300000001</v>
      </c>
      <c r="D59" s="12">
        <v>3.0783078000000001</v>
      </c>
      <c r="E59" s="17">
        <v>1.5</v>
      </c>
      <c r="F59" s="13">
        <v>113.34</v>
      </c>
      <c r="G59" s="12">
        <v>-2.7367499</v>
      </c>
      <c r="H59" s="12">
        <v>0.6919594</v>
      </c>
      <c r="I59" s="12">
        <v>-1.8117287</v>
      </c>
      <c r="J59" s="12">
        <v>0.38708100000000001</v>
      </c>
      <c r="K59" s="12">
        <v>1.1558006999999999</v>
      </c>
      <c r="L59" s="12">
        <v>0.30686609999999998</v>
      </c>
      <c r="M59" s="12">
        <v>-18.4419203</v>
      </c>
      <c r="N59" s="12">
        <v>6.3642488000000004</v>
      </c>
      <c r="O59" s="12">
        <v>2.2469478000000001</v>
      </c>
      <c r="P59" s="7">
        <v>1534.4</v>
      </c>
      <c r="Q59" s="7">
        <v>213.3</v>
      </c>
      <c r="R59" s="7">
        <v>12.3</v>
      </c>
      <c r="S59" s="12">
        <v>2.0515287999999998</v>
      </c>
      <c r="T59" s="12">
        <v>7</v>
      </c>
      <c r="U59" s="12">
        <v>94.59</v>
      </c>
      <c r="V59" s="12">
        <v>0.9904307</v>
      </c>
      <c r="W59" s="12">
        <v>-2.4002493</v>
      </c>
      <c r="X59" s="12">
        <v>8.4716432000000008</v>
      </c>
      <c r="Y59" s="12">
        <v>4.8078633999999996</v>
      </c>
      <c r="Z59" s="12">
        <v>18.931866400000001</v>
      </c>
      <c r="AA59" s="12">
        <v>50.502613599999997</v>
      </c>
      <c r="AB59" s="12">
        <v>19.965358299999998</v>
      </c>
      <c r="AC59" s="12">
        <v>12.840617399999999</v>
      </c>
      <c r="AD59" s="12">
        <v>52.747363200000002</v>
      </c>
      <c r="AE59" s="12">
        <v>36.055179199999998</v>
      </c>
      <c r="AF59" s="7" t="s">
        <v>107</v>
      </c>
      <c r="AG59" s="12">
        <v>62.4773134</v>
      </c>
    </row>
    <row r="60" spans="1:33" s="11" customFormat="1" outlineLevel="1" x14ac:dyDescent="0.3">
      <c r="A60" s="11" t="s">
        <v>66</v>
      </c>
      <c r="B60" s="12">
        <v>0.47384009999999999</v>
      </c>
      <c r="C60" s="12">
        <v>96.41</v>
      </c>
      <c r="D60" s="12">
        <v>3.2411208999999999</v>
      </c>
      <c r="E60" s="17">
        <v>1</v>
      </c>
      <c r="F60" s="13">
        <v>109.3966667</v>
      </c>
      <c r="G60" s="12">
        <v>0.36825629999999998</v>
      </c>
      <c r="H60" s="12">
        <v>2.7406226999999999</v>
      </c>
      <c r="I60" s="12">
        <v>-6.6683431000000004</v>
      </c>
      <c r="J60" s="12">
        <v>-0.249724</v>
      </c>
      <c r="K60" s="12">
        <v>0.91043739999999995</v>
      </c>
      <c r="L60" s="12">
        <v>2.0893109999999999</v>
      </c>
      <c r="M60" s="12">
        <v>-6.1493647999999999</v>
      </c>
      <c r="N60" s="12">
        <v>-2.7122077</v>
      </c>
      <c r="O60" s="12">
        <v>-2.5126607000000001</v>
      </c>
      <c r="P60" s="7">
        <v>1479.2</v>
      </c>
      <c r="Q60" s="7">
        <v>237.4</v>
      </c>
      <c r="R60" s="7">
        <v>13.9</v>
      </c>
      <c r="S60" s="12">
        <v>1.7903032000000001</v>
      </c>
      <c r="T60" s="12">
        <v>7</v>
      </c>
      <c r="U60" s="12">
        <v>94.983333299999998</v>
      </c>
      <c r="V60" s="12">
        <v>0.99501399999999995</v>
      </c>
      <c r="W60" s="12">
        <v>0</v>
      </c>
      <c r="X60" s="12">
        <v>1.8880113000000001</v>
      </c>
      <c r="Y60" s="12">
        <v>1.3202058999999999</v>
      </c>
      <c r="Z60" s="12">
        <v>-5.2812672999999997</v>
      </c>
      <c r="AA60" s="12">
        <v>65.303061600000007</v>
      </c>
      <c r="AB60" s="12">
        <v>23.925206800000002</v>
      </c>
      <c r="AC60" s="12">
        <v>20.2187755</v>
      </c>
      <c r="AD60" s="12">
        <v>30.994099500000001</v>
      </c>
      <c r="AE60" s="12">
        <v>40.441143500000003</v>
      </c>
      <c r="AF60" s="12">
        <v>1.0269447</v>
      </c>
      <c r="AG60" s="12">
        <v>63.296694500000001</v>
      </c>
    </row>
    <row r="61" spans="1:33" s="11" customFormat="1" outlineLevel="1" x14ac:dyDescent="0.3">
      <c r="A61" s="11" t="s">
        <v>67</v>
      </c>
      <c r="B61" s="12">
        <v>3.7986600000000002E-2</v>
      </c>
      <c r="C61" s="12">
        <v>96.803333300000006</v>
      </c>
      <c r="D61" s="12">
        <v>2.9019914</v>
      </c>
      <c r="E61" s="17">
        <v>1</v>
      </c>
      <c r="F61" s="13">
        <v>118.49</v>
      </c>
      <c r="G61" s="12">
        <v>-12.5447282</v>
      </c>
      <c r="H61" s="12">
        <v>6.5554261</v>
      </c>
      <c r="I61" s="12">
        <v>-7.6146694000000004</v>
      </c>
      <c r="J61" s="12">
        <v>-1.4522554000000001</v>
      </c>
      <c r="K61" s="12">
        <v>-9.6938899999999995E-2</v>
      </c>
      <c r="L61" s="12">
        <v>-0.84129580000000004</v>
      </c>
      <c r="M61" s="12">
        <v>-2.986253</v>
      </c>
      <c r="N61" s="12">
        <v>-0.46377230000000003</v>
      </c>
      <c r="O61" s="12">
        <v>-0.69744729999999999</v>
      </c>
      <c r="P61" s="7">
        <v>1538.6</v>
      </c>
      <c r="Q61" s="7">
        <v>302.8</v>
      </c>
      <c r="R61" s="7">
        <v>16.5</v>
      </c>
      <c r="S61" s="12">
        <v>2.1333913</v>
      </c>
      <c r="T61" s="12">
        <v>7</v>
      </c>
      <c r="U61" s="12">
        <v>95.42</v>
      </c>
      <c r="V61" s="12">
        <v>1.0030128</v>
      </c>
      <c r="W61" s="12">
        <v>-5.3461274999999997</v>
      </c>
      <c r="X61" s="12">
        <v>-1.3014421</v>
      </c>
      <c r="Y61" s="12">
        <v>0.44559100000000001</v>
      </c>
      <c r="Z61" s="12">
        <v>-12.869234499999999</v>
      </c>
      <c r="AA61" s="12">
        <v>66.794421499999999</v>
      </c>
      <c r="AB61" s="12">
        <v>25.3006198</v>
      </c>
      <c r="AC61" s="12">
        <v>23.203512400000001</v>
      </c>
      <c r="AD61" s="12">
        <v>29.064049600000001</v>
      </c>
      <c r="AE61" s="12">
        <v>44.363636399999997</v>
      </c>
      <c r="AF61" s="12">
        <v>1.9772113</v>
      </c>
      <c r="AG61" s="12">
        <v>66.157495800000007</v>
      </c>
    </row>
    <row r="62" spans="1:33" s="11" customFormat="1" outlineLevel="1" x14ac:dyDescent="0.3">
      <c r="A62" s="11" t="s">
        <v>68</v>
      </c>
      <c r="B62" s="12">
        <v>-0.91019320000000004</v>
      </c>
      <c r="C62" s="12">
        <v>97.993333300000003</v>
      </c>
      <c r="D62" s="12">
        <v>2.5929156999999998</v>
      </c>
      <c r="E62" s="17">
        <v>1</v>
      </c>
      <c r="F62" s="13">
        <v>108.41666669999999</v>
      </c>
      <c r="G62" s="12">
        <v>3.6987936000000001</v>
      </c>
      <c r="H62" s="12">
        <v>3.6901830000000002</v>
      </c>
      <c r="I62" s="12">
        <v>-6.8594109000000003</v>
      </c>
      <c r="J62" s="12">
        <v>-3.1158831999999999</v>
      </c>
      <c r="K62" s="12">
        <v>-2.5339521</v>
      </c>
      <c r="L62" s="12">
        <v>-1.1658697</v>
      </c>
      <c r="M62" s="12">
        <v>-2.2300369</v>
      </c>
      <c r="N62" s="12">
        <v>-4.7249448999999997</v>
      </c>
      <c r="O62" s="12">
        <v>-2.5130111999999998</v>
      </c>
      <c r="P62" s="7">
        <v>1586.8</v>
      </c>
      <c r="Q62" s="7">
        <v>273.89999999999998</v>
      </c>
      <c r="R62" s="7">
        <v>14.8</v>
      </c>
      <c r="S62" s="12">
        <v>0.93449970000000004</v>
      </c>
      <c r="T62" s="12">
        <v>7</v>
      </c>
      <c r="U62" s="12">
        <v>98.03</v>
      </c>
      <c r="V62" s="12">
        <v>0.99899570000000004</v>
      </c>
      <c r="W62" s="12">
        <v>-6.6542288000000003</v>
      </c>
      <c r="X62" s="12">
        <v>-2.661597</v>
      </c>
      <c r="Y62" s="12">
        <v>2.1331099999999999E-2</v>
      </c>
      <c r="Z62" s="12">
        <v>-2.7035200000000001</v>
      </c>
      <c r="AA62" s="12">
        <v>62.239862899999999</v>
      </c>
      <c r="AB62" s="12">
        <v>23.580352699999999</v>
      </c>
      <c r="AC62" s="12">
        <v>19.524604199999999</v>
      </c>
      <c r="AD62" s="12">
        <v>36.8959452</v>
      </c>
      <c r="AE62" s="12">
        <v>42.239862899999999</v>
      </c>
      <c r="AF62" s="12">
        <v>0.19580120000000001</v>
      </c>
      <c r="AG62" s="12">
        <v>67.809109100000001</v>
      </c>
    </row>
    <row r="63" spans="1:33" s="11" customFormat="1" outlineLevel="1" x14ac:dyDescent="0.3">
      <c r="A63" s="11" t="s">
        <v>69</v>
      </c>
      <c r="B63" s="12">
        <v>-1.0352741000000001</v>
      </c>
      <c r="C63" s="12">
        <v>97.9566667</v>
      </c>
      <c r="D63" s="12">
        <v>2.6440796999999998</v>
      </c>
      <c r="E63" s="17">
        <v>0.75</v>
      </c>
      <c r="F63" s="13">
        <v>109.61333329999999</v>
      </c>
      <c r="G63" s="12">
        <v>-1.5823853999999999</v>
      </c>
      <c r="H63" s="12">
        <v>-3.9563331000000002</v>
      </c>
      <c r="I63" s="12">
        <v>-2.7368355000000002</v>
      </c>
      <c r="J63" s="12">
        <v>-1.8723137999999999</v>
      </c>
      <c r="K63" s="12">
        <v>-3.0943418999999999</v>
      </c>
      <c r="L63" s="12">
        <v>-2.6233270000000002</v>
      </c>
      <c r="M63" s="12">
        <v>-9.4797004000000005</v>
      </c>
      <c r="N63" s="12">
        <v>-1.4264124</v>
      </c>
      <c r="O63" s="12">
        <v>-3.4022103000000001</v>
      </c>
      <c r="P63" s="7">
        <v>1629.4</v>
      </c>
      <c r="Q63" s="7">
        <v>279.39999999999998</v>
      </c>
      <c r="R63" s="7">
        <v>14.7</v>
      </c>
      <c r="S63" s="12">
        <v>0.61294470000000001</v>
      </c>
      <c r="T63" s="12">
        <v>7</v>
      </c>
      <c r="U63" s="12">
        <v>98.48</v>
      </c>
      <c r="V63" s="12">
        <v>0.9916606</v>
      </c>
      <c r="W63" s="12">
        <v>-4.4394762999999999</v>
      </c>
      <c r="X63" s="12">
        <v>0.87019579999999996</v>
      </c>
      <c r="Y63" s="12">
        <v>-1.0608953999999999</v>
      </c>
      <c r="Z63" s="12">
        <v>19.4266121</v>
      </c>
      <c r="AA63" s="12">
        <v>51.450951099999997</v>
      </c>
      <c r="AB63" s="12">
        <v>19.913885100000002</v>
      </c>
      <c r="AC63" s="12">
        <v>10.9403346</v>
      </c>
      <c r="AD63" s="12">
        <v>53.690250900000002</v>
      </c>
      <c r="AE63" s="12">
        <v>35.995421700000001</v>
      </c>
      <c r="AF63" s="12">
        <v>-1.9757288</v>
      </c>
      <c r="AG63" s="12">
        <v>67.501769699999997</v>
      </c>
    </row>
    <row r="64" spans="1:33" s="11" customFormat="1" outlineLevel="1" x14ac:dyDescent="0.3">
      <c r="A64" s="11" t="s">
        <v>70</v>
      </c>
      <c r="B64" s="12">
        <v>-0.98067590000000004</v>
      </c>
      <c r="C64" s="12">
        <v>98.773333300000004</v>
      </c>
      <c r="D64" s="12">
        <v>2.4513362999999999</v>
      </c>
      <c r="E64" s="17">
        <v>0.75</v>
      </c>
      <c r="F64" s="13">
        <v>110.08666669999999</v>
      </c>
      <c r="G64" s="12">
        <v>-2.8215005999999998</v>
      </c>
      <c r="H64" s="12">
        <v>-0.3079537</v>
      </c>
      <c r="I64" s="12">
        <v>-5.4675320000000003</v>
      </c>
      <c r="J64" s="12">
        <v>-2.8750626000000001</v>
      </c>
      <c r="K64" s="12">
        <v>-3.6546774000000002</v>
      </c>
      <c r="L64" s="12">
        <v>-1.4052727</v>
      </c>
      <c r="M64" s="12">
        <v>-6.4186567999999999</v>
      </c>
      <c r="N64" s="12">
        <v>1.4662078000000001</v>
      </c>
      <c r="O64" s="12">
        <v>-2.7061826999999998</v>
      </c>
      <c r="P64" s="7">
        <v>1509.6</v>
      </c>
      <c r="Q64" s="7">
        <v>331.3</v>
      </c>
      <c r="R64" s="7">
        <v>18.100000000000001</v>
      </c>
      <c r="S64" s="12">
        <v>0.40814610000000001</v>
      </c>
      <c r="T64" s="12">
        <v>7</v>
      </c>
      <c r="U64" s="12">
        <v>99.123333299999999</v>
      </c>
      <c r="V64" s="12">
        <v>0.999332</v>
      </c>
      <c r="W64" s="12">
        <v>-5.6828886000000001</v>
      </c>
      <c r="X64" s="12">
        <v>2.1037463999999999</v>
      </c>
      <c r="Y64" s="12">
        <v>-1.5017668</v>
      </c>
      <c r="Z64" s="12">
        <v>-3.2156454000000001</v>
      </c>
      <c r="AA64" s="12">
        <v>66.072658700000005</v>
      </c>
      <c r="AB64" s="12">
        <v>23.1862514</v>
      </c>
      <c r="AC64" s="12">
        <v>19.043000599999999</v>
      </c>
      <c r="AD64" s="12">
        <v>32.059207399999998</v>
      </c>
      <c r="AE64" s="12">
        <v>40.360211700000001</v>
      </c>
      <c r="AF64" s="12">
        <v>-1.3792698000000001</v>
      </c>
      <c r="AG64" s="12">
        <v>69.085956499999995</v>
      </c>
    </row>
    <row r="65" spans="1:33" s="11" customFormat="1" outlineLevel="1" x14ac:dyDescent="0.3">
      <c r="A65" s="11" t="s">
        <v>71</v>
      </c>
      <c r="B65" s="12">
        <v>-1.6415721999999999</v>
      </c>
      <c r="C65" s="12">
        <v>98.726666699999996</v>
      </c>
      <c r="D65" s="12">
        <v>1.9868463000000001</v>
      </c>
      <c r="E65" s="17">
        <v>0.75</v>
      </c>
      <c r="F65" s="13">
        <v>112.4933333</v>
      </c>
      <c r="G65" s="12">
        <v>0.47270990000000002</v>
      </c>
      <c r="H65" s="12">
        <v>0.2861996</v>
      </c>
      <c r="I65" s="12">
        <v>-7.6468125000000002</v>
      </c>
      <c r="J65" s="12">
        <v>-1.6167887999999999</v>
      </c>
      <c r="K65" s="12">
        <v>-2.7972769999999998</v>
      </c>
      <c r="L65" s="12">
        <v>1.7813268</v>
      </c>
      <c r="M65" s="12">
        <v>-8.1574033999999997</v>
      </c>
      <c r="N65" s="12">
        <v>-1.2257625000000001</v>
      </c>
      <c r="O65" s="12">
        <v>-4.6027063999999998</v>
      </c>
      <c r="P65" s="7">
        <v>1471.1</v>
      </c>
      <c r="Q65" s="7">
        <v>322.39999999999998</v>
      </c>
      <c r="R65" s="7">
        <v>18</v>
      </c>
      <c r="S65" s="12">
        <v>1.3485917999999999</v>
      </c>
      <c r="T65" s="12">
        <v>7</v>
      </c>
      <c r="U65" s="12">
        <v>99.39</v>
      </c>
      <c r="V65" s="12">
        <v>1.0065831000000001</v>
      </c>
      <c r="W65" s="12">
        <v>0.86893560000000003</v>
      </c>
      <c r="X65" s="12">
        <v>-1.1760512999999999</v>
      </c>
      <c r="Y65" s="12">
        <v>-3.1986924999999999</v>
      </c>
      <c r="Z65" s="12">
        <v>-13.5106305</v>
      </c>
      <c r="AA65" s="12">
        <v>66.935656899999998</v>
      </c>
      <c r="AB65" s="12">
        <v>24.959906799999999</v>
      </c>
      <c r="AC65" s="12">
        <v>22.214163899999999</v>
      </c>
      <c r="AD65" s="12">
        <v>28.491169299999999</v>
      </c>
      <c r="AE65" s="12">
        <v>42.601918300000001</v>
      </c>
      <c r="AF65" s="12">
        <v>-1.1997291000000001</v>
      </c>
      <c r="AG65" s="12">
        <v>70.8000045</v>
      </c>
    </row>
    <row r="66" spans="1:33" s="11" customFormat="1" outlineLevel="1" x14ac:dyDescent="0.3">
      <c r="A66" s="11" t="s">
        <v>72</v>
      </c>
      <c r="B66" s="12">
        <v>-0.1331087</v>
      </c>
      <c r="C66" s="12">
        <v>99.533333299999995</v>
      </c>
      <c r="D66" s="12">
        <v>1.5715355</v>
      </c>
      <c r="E66" s="17">
        <v>0.5</v>
      </c>
      <c r="F66" s="13">
        <v>102.5766667</v>
      </c>
      <c r="G66" s="12">
        <v>-1.4282062</v>
      </c>
      <c r="H66" s="12">
        <v>2.9777306000000001</v>
      </c>
      <c r="I66" s="12">
        <v>-4.8203275999999997</v>
      </c>
      <c r="J66" s="12">
        <v>0.42317009999999999</v>
      </c>
      <c r="K66" s="12">
        <v>-0.22931090000000001</v>
      </c>
      <c r="L66" s="12">
        <v>-0.80374279999999998</v>
      </c>
      <c r="M66" s="12">
        <v>14.6811124</v>
      </c>
      <c r="N66" s="12">
        <v>0.21412220000000001</v>
      </c>
      <c r="O66" s="12">
        <v>5.3843807000000004</v>
      </c>
      <c r="P66" s="7">
        <v>1542.5</v>
      </c>
      <c r="Q66" s="7">
        <v>310.3</v>
      </c>
      <c r="R66" s="7">
        <v>16.8</v>
      </c>
      <c r="S66" s="12">
        <v>0.84129529999999997</v>
      </c>
      <c r="T66" s="12">
        <v>7</v>
      </c>
      <c r="U66" s="12">
        <v>100.3433333</v>
      </c>
      <c r="V66" s="12">
        <v>1.0027695000000001</v>
      </c>
      <c r="W66" s="12">
        <v>-1.7988008</v>
      </c>
      <c r="X66" s="12">
        <v>0.21972659999999999</v>
      </c>
      <c r="Y66" s="12">
        <v>4.7771379999999999</v>
      </c>
      <c r="Z66" s="12">
        <v>-5.6027122</v>
      </c>
      <c r="AA66" s="12">
        <v>62.581517599999998</v>
      </c>
      <c r="AB66" s="12">
        <v>23.261772799999999</v>
      </c>
      <c r="AC66" s="12">
        <v>21.368517499999999</v>
      </c>
      <c r="AD66" s="12">
        <v>36.625770699999997</v>
      </c>
      <c r="AE66" s="12">
        <v>43.836688899999999</v>
      </c>
      <c r="AF66" s="12">
        <v>-2.7955016000000001</v>
      </c>
      <c r="AG66" s="12">
        <v>73.019076400000003</v>
      </c>
    </row>
    <row r="67" spans="1:33" s="11" customFormat="1" outlineLevel="1" x14ac:dyDescent="0.3">
      <c r="A67" s="11" t="s">
        <v>73</v>
      </c>
      <c r="B67" s="12">
        <v>0.53477319999999995</v>
      </c>
      <c r="C67" s="12">
        <v>99.423333299999996</v>
      </c>
      <c r="D67" s="12">
        <v>1.4972605999999999</v>
      </c>
      <c r="E67" s="17">
        <v>0.5</v>
      </c>
      <c r="F67" s="13">
        <v>110.27</v>
      </c>
      <c r="G67" s="12">
        <v>5.4299936999999998</v>
      </c>
      <c r="H67" s="12">
        <v>3.4712567999999999</v>
      </c>
      <c r="I67" s="12">
        <v>-3.6429531000000002</v>
      </c>
      <c r="J67" s="12">
        <v>-0.26403460000000001</v>
      </c>
      <c r="K67" s="12">
        <v>-0.79522859999999995</v>
      </c>
      <c r="L67" s="12">
        <v>2.0735155999999999</v>
      </c>
      <c r="M67" s="12">
        <v>-2.8449089000000001</v>
      </c>
      <c r="N67" s="12">
        <v>3.1379592000000001</v>
      </c>
      <c r="O67" s="12">
        <v>5.3477107999999998</v>
      </c>
      <c r="P67" s="7">
        <v>1557.2</v>
      </c>
      <c r="Q67" s="7">
        <v>312</v>
      </c>
      <c r="R67" s="7">
        <v>16.8</v>
      </c>
      <c r="S67" s="12">
        <v>0.75831809999999999</v>
      </c>
      <c r="T67" s="12">
        <v>7</v>
      </c>
      <c r="U67" s="12">
        <v>100.67</v>
      </c>
      <c r="V67" s="12">
        <v>1.0016944000000001</v>
      </c>
      <c r="W67" s="12">
        <v>-3.7433155</v>
      </c>
      <c r="X67" s="12">
        <v>2.6743350000000001</v>
      </c>
      <c r="Y67" s="12">
        <v>4.2461934000000001</v>
      </c>
      <c r="Z67" s="12">
        <v>18.057852</v>
      </c>
      <c r="AA67" s="12">
        <v>51.798825200000003</v>
      </c>
      <c r="AB67" s="12">
        <v>19.399662599999999</v>
      </c>
      <c r="AC67" s="12">
        <v>10.9835349</v>
      </c>
      <c r="AD67" s="12">
        <v>55.779985600000003</v>
      </c>
      <c r="AE67" s="12">
        <v>37.962008300000001</v>
      </c>
      <c r="AF67" s="12">
        <v>-0.43032579999999998</v>
      </c>
      <c r="AG67" s="12">
        <v>75.574134599999994</v>
      </c>
    </row>
    <row r="68" spans="1:33" s="11" customFormat="1" outlineLevel="1" x14ac:dyDescent="0.3">
      <c r="A68" s="11" t="s">
        <v>74</v>
      </c>
      <c r="B68" s="12">
        <v>0.83200640000000003</v>
      </c>
      <c r="C68" s="12">
        <v>99.72</v>
      </c>
      <c r="D68" s="12">
        <v>0.95842340000000004</v>
      </c>
      <c r="E68" s="17">
        <v>0.25</v>
      </c>
      <c r="F68" s="13">
        <v>109.21</v>
      </c>
      <c r="G68" s="12">
        <v>3.8208864999999999</v>
      </c>
      <c r="H68" s="12">
        <v>1.8086918999999999</v>
      </c>
      <c r="I68" s="12">
        <v>-6.5750099999999998</v>
      </c>
      <c r="J68" s="12">
        <v>-0.28851019999999999</v>
      </c>
      <c r="K68" s="12">
        <v>-2.5731337000000001</v>
      </c>
      <c r="L68" s="12">
        <v>-0.85116630000000004</v>
      </c>
      <c r="M68" s="12">
        <v>9.8208116000000008</v>
      </c>
      <c r="N68" s="12">
        <v>7.3704612000000003</v>
      </c>
      <c r="O68" s="12">
        <v>6.6284853999999997</v>
      </c>
      <c r="P68" s="7">
        <v>1525.3</v>
      </c>
      <c r="Q68" s="7">
        <v>326.10000000000002</v>
      </c>
      <c r="R68" s="7">
        <v>17.7</v>
      </c>
      <c r="S68" s="12">
        <v>0.31429410000000002</v>
      </c>
      <c r="T68" s="12">
        <v>7</v>
      </c>
      <c r="U68" s="12">
        <v>99.746666700000006</v>
      </c>
      <c r="V68" s="12">
        <v>1.0126042</v>
      </c>
      <c r="W68" s="12">
        <v>-2.3302263000000001</v>
      </c>
      <c r="X68" s="12">
        <v>4.2619249000000003</v>
      </c>
      <c r="Y68" s="12">
        <v>4.5515695000000003</v>
      </c>
      <c r="Z68" s="12">
        <v>-6.7992254000000001</v>
      </c>
      <c r="AA68" s="12">
        <v>65.002007000000006</v>
      </c>
      <c r="AB68" s="12">
        <v>23.888807799999999</v>
      </c>
      <c r="AC68" s="12">
        <v>20.063496700000002</v>
      </c>
      <c r="AD68" s="12">
        <v>34.103930200000001</v>
      </c>
      <c r="AE68" s="12">
        <v>43.059154100000001</v>
      </c>
      <c r="AF68" s="12">
        <v>-1.7652862</v>
      </c>
      <c r="AG68" s="12">
        <v>79.963387499999996</v>
      </c>
    </row>
    <row r="69" spans="1:33" s="11" customFormat="1" outlineLevel="1" x14ac:dyDescent="0.3">
      <c r="A69" s="11" t="s">
        <v>75</v>
      </c>
      <c r="B69" s="12">
        <v>1.8456245</v>
      </c>
      <c r="C69" s="12">
        <v>99.49</v>
      </c>
      <c r="D69" s="12">
        <v>0.77317840000000004</v>
      </c>
      <c r="E69" s="17">
        <v>0.25</v>
      </c>
      <c r="F69" s="13">
        <v>108.16666669999999</v>
      </c>
      <c r="G69" s="12">
        <v>5.4244256999999996</v>
      </c>
      <c r="H69" s="12">
        <v>-1.1577725999999999</v>
      </c>
      <c r="I69" s="12">
        <v>-11.1427295</v>
      </c>
      <c r="J69" s="12">
        <v>-0.89134780000000002</v>
      </c>
      <c r="K69" s="12">
        <v>-2.1197279999999998</v>
      </c>
      <c r="L69" s="12">
        <v>-0.92410979999999998</v>
      </c>
      <c r="M69" s="12">
        <v>0.44305450000000002</v>
      </c>
      <c r="N69" s="12">
        <v>12.7834827</v>
      </c>
      <c r="O69" s="12">
        <v>7.1120055000000004</v>
      </c>
      <c r="P69" s="7">
        <v>1509.1</v>
      </c>
      <c r="Q69" s="7">
        <v>346.6</v>
      </c>
      <c r="R69" s="7">
        <v>18.7</v>
      </c>
      <c r="S69" s="12">
        <v>-0.24346219999999999</v>
      </c>
      <c r="T69" s="12">
        <v>7</v>
      </c>
      <c r="U69" s="12">
        <v>99.45</v>
      </c>
      <c r="V69" s="12">
        <v>1.0153428</v>
      </c>
      <c r="W69" s="12">
        <v>0.61019380000000001</v>
      </c>
      <c r="X69" s="12">
        <v>10.025243400000001</v>
      </c>
      <c r="Y69" s="12">
        <v>5.3063193000000002</v>
      </c>
      <c r="Z69" s="12">
        <v>-14.362238899999999</v>
      </c>
      <c r="AA69" s="12">
        <v>66.446145400000006</v>
      </c>
      <c r="AB69" s="12">
        <v>25.4115301</v>
      </c>
      <c r="AC69" s="12">
        <v>22.0071245</v>
      </c>
      <c r="AD69" s="12">
        <v>32.155950400000002</v>
      </c>
      <c r="AE69" s="12">
        <v>46.020750499999998</v>
      </c>
      <c r="AF69" s="12">
        <v>-1.5116244000000001</v>
      </c>
      <c r="AG69" s="12">
        <v>80.581033300000001</v>
      </c>
    </row>
    <row r="70" spans="1:33" s="11" customFormat="1" outlineLevel="1" x14ac:dyDescent="0.3">
      <c r="A70" s="11" t="s">
        <v>76</v>
      </c>
      <c r="B70" s="12">
        <v>1.1953549000000001</v>
      </c>
      <c r="C70" s="12">
        <v>100.22333329999999</v>
      </c>
      <c r="D70" s="12">
        <v>0.69323509999999999</v>
      </c>
      <c r="E70" s="17">
        <v>0.15</v>
      </c>
      <c r="F70" s="13">
        <v>109.7</v>
      </c>
      <c r="G70" s="12">
        <v>2.6180241999999998</v>
      </c>
      <c r="H70" s="12">
        <v>1.2419161999999999</v>
      </c>
      <c r="I70" s="12">
        <v>-5.5865520999999996</v>
      </c>
      <c r="J70" s="12">
        <v>-0.58461890000000005</v>
      </c>
      <c r="K70" s="12">
        <v>-2.5121140999999998</v>
      </c>
      <c r="L70" s="12">
        <v>2.1324626000000002</v>
      </c>
      <c r="M70" s="12">
        <v>-8.2845668000000003</v>
      </c>
      <c r="N70" s="12">
        <v>10.518689500000001</v>
      </c>
      <c r="O70" s="12">
        <v>3.2917725999999998</v>
      </c>
      <c r="P70" s="7">
        <v>1566.8</v>
      </c>
      <c r="Q70" s="7">
        <v>310.89999999999998</v>
      </c>
      <c r="R70" s="7">
        <v>16.600000000000001</v>
      </c>
      <c r="S70" s="12">
        <v>7.1269899999999997E-2</v>
      </c>
      <c r="T70" s="12">
        <v>7</v>
      </c>
      <c r="U70" s="12">
        <v>100.5933333</v>
      </c>
      <c r="V70" s="12">
        <v>1.0086447000000001</v>
      </c>
      <c r="W70" s="12">
        <v>-0.37313439999999998</v>
      </c>
      <c r="X70" s="12">
        <v>8.9646772000000006</v>
      </c>
      <c r="Y70" s="12">
        <v>1.628333</v>
      </c>
      <c r="Z70" s="12">
        <v>-5.6004652999999998</v>
      </c>
      <c r="AA70" s="12">
        <v>61.143503000000003</v>
      </c>
      <c r="AB70" s="12">
        <v>23.6127805</v>
      </c>
      <c r="AC70" s="12">
        <v>19.944923800000002</v>
      </c>
      <c r="AD70" s="12">
        <v>40.466622399999999</v>
      </c>
      <c r="AE70" s="12">
        <v>45.166932799999998</v>
      </c>
      <c r="AF70" s="12">
        <v>-0.61937229999999999</v>
      </c>
      <c r="AG70" s="12">
        <v>80.484992800000001</v>
      </c>
    </row>
    <row r="71" spans="1:33" s="11" customFormat="1" outlineLevel="1" x14ac:dyDescent="0.3">
      <c r="A71" s="11" t="s">
        <v>77</v>
      </c>
      <c r="B71" s="12">
        <v>1.5779679</v>
      </c>
      <c r="C71" s="12">
        <v>99.91</v>
      </c>
      <c r="D71" s="12">
        <v>0.48948940000000002</v>
      </c>
      <c r="E71" s="17">
        <v>0.05</v>
      </c>
      <c r="F71" s="13">
        <v>101.8233333</v>
      </c>
      <c r="G71" s="12">
        <v>-2.8401896</v>
      </c>
      <c r="H71" s="12">
        <v>5.8205239999999998</v>
      </c>
      <c r="I71" s="12">
        <v>-0.1151554</v>
      </c>
      <c r="J71" s="12">
        <v>-0.51467320000000005</v>
      </c>
      <c r="K71" s="12">
        <v>-3.1771235</v>
      </c>
      <c r="L71" s="12">
        <v>3.0778701000000002</v>
      </c>
      <c r="M71" s="12">
        <v>-6.6482408</v>
      </c>
      <c r="N71" s="12">
        <v>4.9070548</v>
      </c>
      <c r="O71" s="12">
        <v>3.8966443000000002</v>
      </c>
      <c r="P71" s="7">
        <v>1634.8</v>
      </c>
      <c r="Q71" s="7">
        <v>304.2</v>
      </c>
      <c r="R71" s="7">
        <v>15.7</v>
      </c>
      <c r="S71" s="12">
        <v>0.31288319999999997</v>
      </c>
      <c r="T71" s="12">
        <v>7</v>
      </c>
      <c r="U71" s="12">
        <v>101.0133333</v>
      </c>
      <c r="V71" s="12">
        <v>1.0118256000000001</v>
      </c>
      <c r="W71" s="12">
        <v>0.34722219999999998</v>
      </c>
      <c r="X71" s="12">
        <v>3.9350231</v>
      </c>
      <c r="Y71" s="12">
        <v>2.4480559999999998</v>
      </c>
      <c r="Z71" s="12">
        <v>18.485290500000001</v>
      </c>
      <c r="AA71" s="12">
        <v>49.780582299999999</v>
      </c>
      <c r="AB71" s="12">
        <v>19.9794588</v>
      </c>
      <c r="AC71" s="12">
        <v>11.0401332</v>
      </c>
      <c r="AD71" s="12">
        <v>58.367438999999997</v>
      </c>
      <c r="AE71" s="12">
        <v>39.167613299999999</v>
      </c>
      <c r="AF71" s="12">
        <v>-1.505703</v>
      </c>
      <c r="AG71" s="12">
        <v>81.127500900000001</v>
      </c>
    </row>
    <row r="72" spans="1:33" s="11" customFormat="1" outlineLevel="1" x14ac:dyDescent="0.3">
      <c r="A72" s="11" t="s">
        <v>78</v>
      </c>
      <c r="B72" s="12">
        <v>1.7505474000000001</v>
      </c>
      <c r="C72" s="12">
        <v>99.97</v>
      </c>
      <c r="D72" s="12">
        <v>0.25070199999999998</v>
      </c>
      <c r="E72" s="17">
        <v>0.05</v>
      </c>
      <c r="F72" s="13">
        <v>76.4033333</v>
      </c>
      <c r="G72" s="12">
        <v>1.0418940000000001</v>
      </c>
      <c r="H72" s="12">
        <v>3.8690912000000002</v>
      </c>
      <c r="I72" s="12">
        <v>-5.3724772999999999</v>
      </c>
      <c r="J72" s="12">
        <v>0.2530635</v>
      </c>
      <c r="K72" s="12">
        <v>-2.3340888999999998</v>
      </c>
      <c r="L72" s="12">
        <v>1.1338328</v>
      </c>
      <c r="M72" s="12">
        <v>-0.3061952</v>
      </c>
      <c r="N72" s="12">
        <v>4.1781695000000001</v>
      </c>
      <c r="O72" s="12">
        <v>-0.1091353</v>
      </c>
      <c r="P72" s="7">
        <v>1552</v>
      </c>
      <c r="Q72" s="7">
        <v>347.5</v>
      </c>
      <c r="R72" s="7">
        <v>18.399999999999999</v>
      </c>
      <c r="S72" s="12">
        <v>0.60155400000000003</v>
      </c>
      <c r="T72" s="12">
        <v>7</v>
      </c>
      <c r="U72" s="12">
        <v>99.973333299999993</v>
      </c>
      <c r="V72" s="12">
        <v>1.0173424</v>
      </c>
      <c r="W72" s="12">
        <v>4.0899796000000004</v>
      </c>
      <c r="X72" s="12">
        <v>4.4396317999999999</v>
      </c>
      <c r="Y72" s="12">
        <v>-0.81492600000000004</v>
      </c>
      <c r="Z72" s="12">
        <v>-1.1703547999999999</v>
      </c>
      <c r="AA72" s="12">
        <v>63.0992064</v>
      </c>
      <c r="AB72" s="12">
        <v>24.155766499999999</v>
      </c>
      <c r="AC72" s="12">
        <v>19.810500399999999</v>
      </c>
      <c r="AD72" s="12">
        <v>35.532990300000002</v>
      </c>
      <c r="AE72" s="12">
        <v>42.598463700000003</v>
      </c>
      <c r="AF72" s="12">
        <v>-0.76595970000000002</v>
      </c>
      <c r="AG72" s="12">
        <v>83.602164400000007</v>
      </c>
    </row>
    <row r="73" spans="1:33" s="11" customFormat="1" outlineLevel="1" x14ac:dyDescent="0.3">
      <c r="A73" s="11" t="s">
        <v>79</v>
      </c>
      <c r="B73" s="12">
        <v>2.0633189000000001</v>
      </c>
      <c r="C73" s="12">
        <v>99.203333299999997</v>
      </c>
      <c r="D73" s="12">
        <v>-0.28813620000000001</v>
      </c>
      <c r="E73" s="17">
        <v>0.05</v>
      </c>
      <c r="F73" s="13">
        <v>53.9166667</v>
      </c>
      <c r="G73" s="12">
        <v>-1.391337</v>
      </c>
      <c r="H73" s="12">
        <v>2.7910143000000001</v>
      </c>
      <c r="I73" s="12">
        <v>-8.9279010000000003</v>
      </c>
      <c r="J73" s="12">
        <v>2.0075463999999998</v>
      </c>
      <c r="K73" s="12">
        <v>-1.0628974</v>
      </c>
      <c r="L73" s="12">
        <v>-3.8070999999999999E-3</v>
      </c>
      <c r="M73" s="12">
        <v>20.768033200000001</v>
      </c>
      <c r="N73" s="12">
        <v>8.3939257000000005</v>
      </c>
      <c r="O73" s="12">
        <v>9.4075057999999991</v>
      </c>
      <c r="P73" s="7">
        <v>1550.4</v>
      </c>
      <c r="Q73" s="7">
        <v>334.9</v>
      </c>
      <c r="R73" s="7">
        <v>17.8</v>
      </c>
      <c r="S73" s="12">
        <v>0.66063539999999998</v>
      </c>
      <c r="T73" s="12">
        <v>7</v>
      </c>
      <c r="U73" s="12">
        <v>99.123333299999999</v>
      </c>
      <c r="V73" s="12">
        <v>1.0195943000000001</v>
      </c>
      <c r="W73" s="12">
        <v>-0.1070282</v>
      </c>
      <c r="X73" s="12">
        <v>8.0957062999999998</v>
      </c>
      <c r="Y73" s="12">
        <v>7.6042144</v>
      </c>
      <c r="Z73" s="12">
        <v>-12.570978500000001</v>
      </c>
      <c r="AA73" s="12">
        <v>64.228525000000005</v>
      </c>
      <c r="AB73" s="12">
        <v>25.0180121</v>
      </c>
      <c r="AC73" s="12">
        <v>25.240245600000002</v>
      </c>
      <c r="AD73" s="12">
        <v>34.103201599999998</v>
      </c>
      <c r="AE73" s="12">
        <v>48.590998999999996</v>
      </c>
      <c r="AF73" s="12">
        <v>0.87237229999999999</v>
      </c>
      <c r="AG73" s="12">
        <v>83.844049400000003</v>
      </c>
    </row>
    <row r="74" spans="1:33" s="11" customFormat="1" outlineLevel="1" x14ac:dyDescent="0.3">
      <c r="A74" s="11" t="s">
        <v>80</v>
      </c>
      <c r="B74" s="12">
        <v>2.2703967</v>
      </c>
      <c r="C74" s="12">
        <v>100.5233333</v>
      </c>
      <c r="D74" s="12">
        <v>0.29933149999999997</v>
      </c>
      <c r="E74" s="17">
        <v>0.05</v>
      </c>
      <c r="F74" s="13">
        <v>61.693333299999999</v>
      </c>
      <c r="G74" s="12">
        <v>1.2223526</v>
      </c>
      <c r="H74" s="12">
        <v>4.2842321999999999</v>
      </c>
      <c r="I74" s="12">
        <v>-4.2183077999999998</v>
      </c>
      <c r="J74" s="12">
        <v>1.688321</v>
      </c>
      <c r="K74" s="12">
        <v>-0.5541123</v>
      </c>
      <c r="L74" s="12">
        <v>-0.41048309999999999</v>
      </c>
      <c r="M74" s="12">
        <v>4.0785686999999999</v>
      </c>
      <c r="N74" s="12">
        <v>10.419768400000001</v>
      </c>
      <c r="O74" s="12">
        <v>6.932239</v>
      </c>
      <c r="P74" s="7">
        <v>1596</v>
      </c>
      <c r="Q74" s="7">
        <v>291.7</v>
      </c>
      <c r="R74" s="7">
        <v>15.5</v>
      </c>
      <c r="S74" s="12">
        <v>1.5291159999999999</v>
      </c>
      <c r="T74" s="12">
        <v>7</v>
      </c>
      <c r="U74" s="12">
        <v>100.58666669999999</v>
      </c>
      <c r="V74" s="12">
        <v>1.0051806000000001</v>
      </c>
      <c r="W74" s="12">
        <v>2.3833844000000002</v>
      </c>
      <c r="X74" s="12">
        <v>10.6639839</v>
      </c>
      <c r="Y74" s="12">
        <v>7.3502903999999996</v>
      </c>
      <c r="Z74" s="12">
        <v>-3.4193422999999998</v>
      </c>
      <c r="AA74" s="12">
        <v>59.849164100000003</v>
      </c>
      <c r="AB74" s="12">
        <v>23.161577300000001</v>
      </c>
      <c r="AC74" s="12">
        <v>20.616880299999998</v>
      </c>
      <c r="AD74" s="12">
        <v>43.716048700000002</v>
      </c>
      <c r="AE74" s="12">
        <v>47.343670299999999</v>
      </c>
      <c r="AF74" s="12">
        <v>0.87620849999999995</v>
      </c>
      <c r="AG74" s="12">
        <v>82.258015299999997</v>
      </c>
    </row>
    <row r="75" spans="1:33" s="11" customFormat="1" outlineLevel="1" x14ac:dyDescent="0.3">
      <c r="A75" s="11" t="s">
        <v>81</v>
      </c>
      <c r="B75" s="12">
        <v>2.2457793000000001</v>
      </c>
      <c r="C75" s="12">
        <v>100.1533333</v>
      </c>
      <c r="D75" s="12">
        <v>0.24355250000000001</v>
      </c>
      <c r="E75" s="17">
        <v>0.05</v>
      </c>
      <c r="F75" s="13">
        <v>50.233333299999998</v>
      </c>
      <c r="G75" s="12">
        <v>-0.32583600000000001</v>
      </c>
      <c r="H75" s="12">
        <v>3.0059746000000001</v>
      </c>
      <c r="I75" s="12">
        <v>1.229579</v>
      </c>
      <c r="J75" s="12">
        <v>4.2717383</v>
      </c>
      <c r="K75" s="12">
        <v>0.42828260000000001</v>
      </c>
      <c r="L75" s="12">
        <v>-1.2914303</v>
      </c>
      <c r="M75" s="12">
        <v>14.6515164</v>
      </c>
      <c r="N75" s="12">
        <v>10.240354099999999</v>
      </c>
      <c r="O75" s="12">
        <v>7.8293952999999998</v>
      </c>
      <c r="P75" s="7">
        <v>1620.1</v>
      </c>
      <c r="Q75" s="7">
        <v>295.60000000000002</v>
      </c>
      <c r="R75" s="7">
        <v>15.4</v>
      </c>
      <c r="S75" s="12">
        <v>1.4625922</v>
      </c>
      <c r="T75" s="12">
        <v>7</v>
      </c>
      <c r="U75" s="12">
        <v>100.7366667</v>
      </c>
      <c r="V75" s="12">
        <v>1.0057335999999999</v>
      </c>
      <c r="W75" s="12">
        <v>4.5674741000000001</v>
      </c>
      <c r="X75" s="12">
        <v>10.253301</v>
      </c>
      <c r="Y75" s="12">
        <v>7.2289156999999999</v>
      </c>
      <c r="Z75" s="12">
        <v>27.1650432</v>
      </c>
      <c r="AA75" s="12">
        <v>48.136853600000002</v>
      </c>
      <c r="AB75" s="12">
        <v>19.159499799999999</v>
      </c>
      <c r="AC75" s="12">
        <v>11.253239199999999</v>
      </c>
      <c r="AD75" s="12">
        <v>61.747849899999999</v>
      </c>
      <c r="AE75" s="12">
        <v>40.297442400000001</v>
      </c>
      <c r="AF75" s="12">
        <v>-0.54210069999999999</v>
      </c>
      <c r="AG75" s="12">
        <v>83.111463099999995</v>
      </c>
    </row>
    <row r="76" spans="1:33" s="11" customFormat="1" outlineLevel="1" x14ac:dyDescent="0.3">
      <c r="A76" s="11" t="s">
        <v>82</v>
      </c>
      <c r="B76" s="12">
        <v>2.5478125</v>
      </c>
      <c r="C76" s="12">
        <v>100.1233333</v>
      </c>
      <c r="D76" s="12">
        <v>0.1533793</v>
      </c>
      <c r="E76" s="17">
        <v>0.05</v>
      </c>
      <c r="F76" s="13">
        <v>43.57</v>
      </c>
      <c r="G76" s="12">
        <v>1.0635425999999999</v>
      </c>
      <c r="H76" s="12">
        <v>5.0284057000000004</v>
      </c>
      <c r="I76" s="12">
        <v>-3.5650403000000002</v>
      </c>
      <c r="J76" s="12">
        <v>1.7968298</v>
      </c>
      <c r="K76" s="12">
        <v>1.8316954999999999</v>
      </c>
      <c r="L76" s="12">
        <v>2.4024E-2</v>
      </c>
      <c r="M76" s="12">
        <v>9.3613262000000006</v>
      </c>
      <c r="N76" s="12">
        <v>11.496713</v>
      </c>
      <c r="O76" s="12">
        <v>13.1983719</v>
      </c>
      <c r="P76" s="7">
        <v>1574.5</v>
      </c>
      <c r="Q76" s="7">
        <v>301.39999999999998</v>
      </c>
      <c r="R76" s="7">
        <v>16.100000000000001</v>
      </c>
      <c r="S76" s="12">
        <v>1.3952329999999999</v>
      </c>
      <c r="T76" s="12">
        <v>3</v>
      </c>
      <c r="U76" s="12">
        <v>99.556666699999994</v>
      </c>
      <c r="V76" s="12">
        <v>1.0116973</v>
      </c>
      <c r="W76" s="12">
        <v>3.8637852000000001</v>
      </c>
      <c r="X76" s="12">
        <v>10.93831</v>
      </c>
      <c r="Y76" s="12">
        <v>12.1945946</v>
      </c>
      <c r="Z76" s="12">
        <v>-3.3684422999999999</v>
      </c>
      <c r="AA76" s="12">
        <v>62.3979456</v>
      </c>
      <c r="AB76" s="12">
        <v>23.388824899999999</v>
      </c>
      <c r="AC76" s="12">
        <v>22.350128399999999</v>
      </c>
      <c r="AD76" s="12">
        <v>38.323740399999998</v>
      </c>
      <c r="AE76" s="12">
        <v>46.459753800000001</v>
      </c>
      <c r="AF76" s="12">
        <v>-1.5385346</v>
      </c>
      <c r="AG76" s="12">
        <v>83.010890599999996</v>
      </c>
    </row>
    <row r="77" spans="1:33" s="11" customFormat="1" outlineLevel="1" x14ac:dyDescent="0.3">
      <c r="A77" s="11" t="s">
        <v>83</v>
      </c>
      <c r="B77" s="12">
        <v>1.9366078</v>
      </c>
      <c r="C77" s="12">
        <v>99.246666700000006</v>
      </c>
      <c r="D77" s="12">
        <v>4.3681400000000002E-2</v>
      </c>
      <c r="E77" s="17">
        <v>0</v>
      </c>
      <c r="F77" s="13">
        <v>33.696666700000002</v>
      </c>
      <c r="G77" s="12">
        <v>-1.3558226</v>
      </c>
      <c r="H77" s="12">
        <v>7.5428179999999996</v>
      </c>
      <c r="I77" s="12">
        <v>-4.6875919000000001</v>
      </c>
      <c r="J77" s="12">
        <v>4.5289175999999998</v>
      </c>
      <c r="K77" s="12">
        <v>2.7236414</v>
      </c>
      <c r="L77" s="12">
        <v>1.7817711000000001</v>
      </c>
      <c r="M77" s="12">
        <v>11.829666599999999</v>
      </c>
      <c r="N77" s="12">
        <v>6.6813095000000002</v>
      </c>
      <c r="O77" s="12">
        <v>5.9578655999999999</v>
      </c>
      <c r="P77" s="7">
        <v>1544.3</v>
      </c>
      <c r="Q77" s="7">
        <v>280</v>
      </c>
      <c r="R77" s="7">
        <v>15.4</v>
      </c>
      <c r="S77" s="12">
        <v>2.6</v>
      </c>
      <c r="T77" s="12">
        <v>3</v>
      </c>
      <c r="U77" s="12">
        <v>98.58</v>
      </c>
      <c r="V77" s="12">
        <v>1.0110380999999999</v>
      </c>
      <c r="W77" s="12">
        <v>7.8928571999999999</v>
      </c>
      <c r="X77" s="12">
        <v>5.9126742999999999</v>
      </c>
      <c r="Y77" s="12">
        <v>4.1932736999999998</v>
      </c>
      <c r="Z77" s="12">
        <v>-14.786880699999999</v>
      </c>
      <c r="AA77" s="12">
        <v>62.940380699999999</v>
      </c>
      <c r="AB77" s="12">
        <v>24.215303800000001</v>
      </c>
      <c r="AC77" s="12">
        <v>26.736526399999999</v>
      </c>
      <c r="AD77" s="12">
        <v>34.624659399999999</v>
      </c>
      <c r="AE77" s="12">
        <v>48.5168702</v>
      </c>
      <c r="AF77" s="12">
        <v>-8.0192379999999996</v>
      </c>
      <c r="AG77" s="12">
        <v>79.259886899999998</v>
      </c>
    </row>
    <row r="78" spans="1:33" s="11" customFormat="1" outlineLevel="1" x14ac:dyDescent="0.3">
      <c r="A78" s="11" t="s">
        <v>84</v>
      </c>
      <c r="B78" s="12">
        <v>2.4666936000000002</v>
      </c>
      <c r="C78" s="12">
        <v>100.42</v>
      </c>
      <c r="D78" s="12">
        <v>-0.10279530000000001</v>
      </c>
      <c r="E78" s="17">
        <v>0</v>
      </c>
      <c r="F78" s="13">
        <v>45.523333299999997</v>
      </c>
      <c r="G78" s="12">
        <v>-0.44950230000000002</v>
      </c>
      <c r="H78" s="12">
        <v>10.350545199999999</v>
      </c>
      <c r="I78" s="12">
        <v>0.64805330000000005</v>
      </c>
      <c r="J78" s="12">
        <v>3.1687669000000001</v>
      </c>
      <c r="K78" s="12">
        <v>2.8675405</v>
      </c>
      <c r="L78" s="12">
        <v>1.2087825000000001</v>
      </c>
      <c r="M78" s="12">
        <v>12.9622951</v>
      </c>
      <c r="N78" s="12">
        <v>4.9869189</v>
      </c>
      <c r="O78" s="12">
        <v>8.2724924000000009</v>
      </c>
      <c r="P78" s="7">
        <v>1607.1</v>
      </c>
      <c r="Q78" s="7">
        <v>235.9</v>
      </c>
      <c r="R78" s="7">
        <v>12.8</v>
      </c>
      <c r="S78" s="12">
        <v>1.5</v>
      </c>
      <c r="T78" s="12">
        <v>3</v>
      </c>
      <c r="U78" s="12">
        <v>99.496666700000006</v>
      </c>
      <c r="V78" s="12">
        <v>0.9959962</v>
      </c>
      <c r="W78" s="12">
        <v>5.0216162999999998</v>
      </c>
      <c r="X78" s="12">
        <v>4.1818182000000004</v>
      </c>
      <c r="Y78" s="12">
        <v>5.1492537</v>
      </c>
      <c r="Z78" s="12">
        <v>-0.9099351</v>
      </c>
      <c r="AA78" s="12">
        <v>58.861851100000003</v>
      </c>
      <c r="AB78" s="12">
        <v>22.840676200000001</v>
      </c>
      <c r="AC78" s="12">
        <v>22.366803300000001</v>
      </c>
      <c r="AD78" s="12">
        <v>43.838797800000002</v>
      </c>
      <c r="AE78" s="12">
        <v>47.907274600000001</v>
      </c>
      <c r="AF78" s="12">
        <v>-7.3607604999999996</v>
      </c>
      <c r="AG78" s="12">
        <v>78.630057300000004</v>
      </c>
    </row>
    <row r="79" spans="1:33" s="11" customFormat="1" outlineLevel="1" x14ac:dyDescent="0.3">
      <c r="A79" s="11" t="s">
        <v>85</v>
      </c>
      <c r="B79" s="12">
        <v>1.6225508</v>
      </c>
      <c r="C79" s="12">
        <v>100.42</v>
      </c>
      <c r="D79" s="12">
        <v>0.26625840000000001</v>
      </c>
      <c r="E79" s="17">
        <v>0</v>
      </c>
      <c r="F79" s="13">
        <v>45.786666699999998</v>
      </c>
      <c r="G79" s="12">
        <v>1.4215530999999999</v>
      </c>
      <c r="H79" s="12">
        <v>1.6005075</v>
      </c>
      <c r="I79" s="12">
        <v>1.2777301999999999</v>
      </c>
      <c r="J79" s="12">
        <v>2.2540306999999999</v>
      </c>
      <c r="K79" s="12">
        <v>3.4385998</v>
      </c>
      <c r="L79" s="12">
        <v>0.442411</v>
      </c>
      <c r="M79" s="12">
        <v>-21.824399799999998</v>
      </c>
      <c r="N79" s="12">
        <v>8.5509322000000001</v>
      </c>
      <c r="O79" s="12">
        <v>5.7734448</v>
      </c>
      <c r="P79" s="7">
        <v>1629</v>
      </c>
      <c r="Q79" s="7">
        <v>198.7</v>
      </c>
      <c r="R79" s="7">
        <v>10.9</v>
      </c>
      <c r="S79" s="12">
        <v>1.7</v>
      </c>
      <c r="T79" s="12">
        <v>3</v>
      </c>
      <c r="U79" s="12">
        <v>99.656666700000002</v>
      </c>
      <c r="V79" s="12">
        <v>0.99454070000000006</v>
      </c>
      <c r="W79" s="12">
        <v>1.1581733999999999</v>
      </c>
      <c r="X79" s="12">
        <v>9.2753268999999996</v>
      </c>
      <c r="Y79" s="12">
        <v>4.5692883999999996</v>
      </c>
      <c r="Z79" s="12">
        <v>23.356166999999999</v>
      </c>
      <c r="AA79" s="12">
        <v>47.435822899999998</v>
      </c>
      <c r="AB79" s="12">
        <v>18.864498099999999</v>
      </c>
      <c r="AC79" s="12">
        <v>9.4634841000000005</v>
      </c>
      <c r="AD79" s="12">
        <v>64.537358499999996</v>
      </c>
      <c r="AE79" s="12">
        <v>40.301163699999996</v>
      </c>
      <c r="AF79" s="12">
        <v>-6.7424837000000002</v>
      </c>
      <c r="AG79" s="12">
        <v>79.541708299999996</v>
      </c>
    </row>
    <row r="80" spans="1:33" s="11" customFormat="1" outlineLevel="1" x14ac:dyDescent="0.3">
      <c r="A80" s="11" t="s">
        <v>86</v>
      </c>
      <c r="B80" s="12">
        <v>1.866331</v>
      </c>
      <c r="C80" s="12">
        <v>100.89333329999999</v>
      </c>
      <c r="D80" s="12">
        <v>0.7690515</v>
      </c>
      <c r="E80" s="17">
        <v>0</v>
      </c>
      <c r="F80" s="13">
        <v>49.186666700000004</v>
      </c>
      <c r="G80" s="12">
        <v>1.06838E-2</v>
      </c>
      <c r="H80" s="12">
        <v>2.6700425999999999</v>
      </c>
      <c r="I80" s="12">
        <v>-2.2446307000000001</v>
      </c>
      <c r="J80" s="12">
        <v>4.6616420999999999</v>
      </c>
      <c r="K80" s="12">
        <v>3.3234284000000001</v>
      </c>
      <c r="L80" s="12">
        <v>0.96073019999999998</v>
      </c>
      <c r="M80" s="12">
        <v>10.4912861</v>
      </c>
      <c r="N80" s="12">
        <v>6.8741716000000004</v>
      </c>
      <c r="O80" s="12">
        <v>5.9707423999999998</v>
      </c>
      <c r="P80" s="7">
        <v>1579.4</v>
      </c>
      <c r="Q80" s="7">
        <v>244.4</v>
      </c>
      <c r="R80" s="7">
        <v>13.4</v>
      </c>
      <c r="S80" s="12">
        <v>1.7</v>
      </c>
      <c r="T80" s="12">
        <v>3</v>
      </c>
      <c r="U80" s="12">
        <v>99.75</v>
      </c>
      <c r="V80" s="12">
        <v>0.99844270000000002</v>
      </c>
      <c r="W80" s="12">
        <v>7.1248424000000004</v>
      </c>
      <c r="X80" s="12">
        <v>8.2943925000000007</v>
      </c>
      <c r="Y80" s="12">
        <v>7.0726537</v>
      </c>
      <c r="Z80" s="12">
        <v>-4.1766610000000002</v>
      </c>
      <c r="AA80" s="12">
        <v>61.956909899999999</v>
      </c>
      <c r="AB80" s="12">
        <v>22.805108199999999</v>
      </c>
      <c r="AC80" s="12">
        <v>23.046576099999999</v>
      </c>
      <c r="AD80" s="12">
        <v>39.315897800000002</v>
      </c>
      <c r="AE80" s="12">
        <v>47.125342199999999</v>
      </c>
      <c r="AF80" s="12">
        <v>-5.5311139000000002</v>
      </c>
      <c r="AG80" s="12">
        <v>79.469619399999999</v>
      </c>
    </row>
    <row r="81" spans="1:33" s="11" customFormat="1" outlineLevel="1" x14ac:dyDescent="0.3">
      <c r="A81" s="11" t="s">
        <v>87</v>
      </c>
      <c r="B81" s="12">
        <v>3.0351661999999999</v>
      </c>
      <c r="C81" s="12">
        <v>101</v>
      </c>
      <c r="D81" s="12">
        <v>1.766642</v>
      </c>
      <c r="E81" s="17">
        <v>0</v>
      </c>
      <c r="F81" s="13">
        <v>53.68</v>
      </c>
      <c r="G81" s="12">
        <v>3.1575904000000001</v>
      </c>
      <c r="H81" s="12">
        <v>6.0093857000000002</v>
      </c>
      <c r="I81" s="12">
        <v>-3.4263245000000002</v>
      </c>
      <c r="J81" s="12">
        <v>2.7204157000000002</v>
      </c>
      <c r="K81" s="12">
        <v>3.1421986</v>
      </c>
      <c r="L81" s="12">
        <v>1.0660582000000001</v>
      </c>
      <c r="M81" s="12">
        <v>6.4899135000000001</v>
      </c>
      <c r="N81" s="12">
        <v>12.837349100000001</v>
      </c>
      <c r="O81" s="12">
        <v>11.787260099999999</v>
      </c>
      <c r="P81" s="7">
        <v>1544.8</v>
      </c>
      <c r="Q81" s="7">
        <v>252.8</v>
      </c>
      <c r="R81" s="7">
        <v>14.1</v>
      </c>
      <c r="S81" s="12">
        <v>2.9266405999999998</v>
      </c>
      <c r="T81" s="12">
        <v>3</v>
      </c>
      <c r="U81" s="12">
        <v>99.71</v>
      </c>
      <c r="V81" s="12">
        <v>0.99102349999999995</v>
      </c>
      <c r="W81" s="12">
        <v>2.2840118999999999</v>
      </c>
      <c r="X81" s="12">
        <v>17.578013200000001</v>
      </c>
      <c r="Y81" s="12">
        <v>16.588355499999999</v>
      </c>
      <c r="Z81" s="12">
        <v>-11.7284246</v>
      </c>
      <c r="AA81" s="12">
        <v>63.841301000000001</v>
      </c>
      <c r="AB81" s="12">
        <v>24.148429499999999</v>
      </c>
      <c r="AC81" s="12">
        <v>27.154814500000001</v>
      </c>
      <c r="AD81" s="12">
        <v>38.849174900000001</v>
      </c>
      <c r="AE81" s="12">
        <v>53.993720000000003</v>
      </c>
      <c r="AF81" s="12">
        <v>-0.88734069999999998</v>
      </c>
      <c r="AG81" s="12">
        <v>78.896588699999995</v>
      </c>
    </row>
    <row r="82" spans="1:33" s="11" customFormat="1" outlineLevel="1" x14ac:dyDescent="0.3">
      <c r="A82" s="11" t="s">
        <v>88</v>
      </c>
      <c r="B82" s="12">
        <v>2.3084487</v>
      </c>
      <c r="C82" s="12">
        <v>102.11333329999999</v>
      </c>
      <c r="D82" s="12">
        <v>1.6862509999999999</v>
      </c>
      <c r="E82" s="17">
        <v>0</v>
      </c>
      <c r="F82" s="13">
        <v>49.67</v>
      </c>
      <c r="G82" s="12">
        <v>-0.22576599999999999</v>
      </c>
      <c r="H82" s="12">
        <v>1.2232848000000001</v>
      </c>
      <c r="I82" s="12">
        <v>1.2821034</v>
      </c>
      <c r="J82" s="12">
        <v>3.3614875</v>
      </c>
      <c r="K82" s="12">
        <v>3.3248682999999999</v>
      </c>
      <c r="L82" s="12">
        <v>1.5467753</v>
      </c>
      <c r="M82" s="12">
        <v>1.6494040999999999</v>
      </c>
      <c r="N82" s="12">
        <v>8.3020242</v>
      </c>
      <c r="O82" s="12">
        <v>6.2174731999999997</v>
      </c>
      <c r="P82" s="7">
        <v>1632.8</v>
      </c>
      <c r="Q82" s="7">
        <v>201.3</v>
      </c>
      <c r="R82" s="7">
        <v>11</v>
      </c>
      <c r="S82" s="12">
        <v>3.8428436000000001</v>
      </c>
      <c r="T82" s="12">
        <v>3</v>
      </c>
      <c r="U82" s="12">
        <v>100.63666670000001</v>
      </c>
      <c r="V82" s="12">
        <v>0.98623660000000002</v>
      </c>
      <c r="W82" s="12">
        <v>1.2349588</v>
      </c>
      <c r="X82" s="12">
        <v>12.3133605</v>
      </c>
      <c r="Y82" s="12">
        <v>10.4506742</v>
      </c>
      <c r="Z82" s="12">
        <v>-1.3710983000000001</v>
      </c>
      <c r="AA82" s="12">
        <v>58.349932199999998</v>
      </c>
      <c r="AB82" s="12">
        <v>22.561605199999999</v>
      </c>
      <c r="AC82" s="12">
        <v>22.556727200000001</v>
      </c>
      <c r="AD82" s="12">
        <v>46.416695799999999</v>
      </c>
      <c r="AE82" s="12">
        <v>49.884960300000003</v>
      </c>
      <c r="AF82" s="12">
        <v>-0.82419849999999995</v>
      </c>
      <c r="AG82" s="12">
        <v>75.490518100000003</v>
      </c>
    </row>
    <row r="83" spans="1:33" s="11" customFormat="1" outlineLevel="1" x14ac:dyDescent="0.3">
      <c r="A83" s="11" t="s">
        <v>89</v>
      </c>
      <c r="B83" s="12">
        <v>3.0333996999999999</v>
      </c>
      <c r="C83" s="12">
        <v>102.1166667</v>
      </c>
      <c r="D83" s="12">
        <v>1.6895705000000001</v>
      </c>
      <c r="E83" s="17">
        <v>0</v>
      </c>
      <c r="F83" s="13">
        <v>52.11</v>
      </c>
      <c r="G83" s="12">
        <v>-0.84171359999999995</v>
      </c>
      <c r="H83" s="12">
        <v>3.9908657999999999</v>
      </c>
      <c r="I83" s="12">
        <v>3.0589464</v>
      </c>
      <c r="J83" s="12">
        <v>4.4541991000000003</v>
      </c>
      <c r="K83" s="12">
        <v>3.2936380000000001</v>
      </c>
      <c r="L83" s="12">
        <v>2.4244249999999998</v>
      </c>
      <c r="M83" s="12">
        <v>29.899116200000002</v>
      </c>
      <c r="N83" s="12">
        <v>5.4955341000000004</v>
      </c>
      <c r="O83" s="12">
        <v>8.5236748999999996</v>
      </c>
      <c r="P83" s="7">
        <v>1683.2</v>
      </c>
      <c r="Q83" s="7">
        <v>166.2</v>
      </c>
      <c r="R83" s="7">
        <v>9</v>
      </c>
      <c r="S83" s="12">
        <v>4.3940314000000003</v>
      </c>
      <c r="T83" s="12">
        <v>3</v>
      </c>
      <c r="U83" s="12">
        <v>101.09</v>
      </c>
      <c r="V83" s="12">
        <v>0.98572789999999999</v>
      </c>
      <c r="W83" s="12">
        <v>2.9113509999999998</v>
      </c>
      <c r="X83" s="12">
        <v>9.1031089000000005</v>
      </c>
      <c r="Y83" s="12">
        <v>11.586676199999999</v>
      </c>
      <c r="Z83" s="12">
        <v>25.209791500000001</v>
      </c>
      <c r="AA83" s="12">
        <v>46.648073400000001</v>
      </c>
      <c r="AB83" s="12">
        <v>18.596168200000001</v>
      </c>
      <c r="AC83" s="12">
        <v>10.9127379</v>
      </c>
      <c r="AD83" s="12">
        <v>65.984076700000003</v>
      </c>
      <c r="AE83" s="12">
        <v>42.141056399999997</v>
      </c>
      <c r="AF83" s="12">
        <v>0.36036629999999997</v>
      </c>
      <c r="AG83" s="12">
        <v>76.530696500000005</v>
      </c>
    </row>
    <row r="84" spans="1:33" s="11" customFormat="1" outlineLevel="1" x14ac:dyDescent="0.3">
      <c r="A84" s="11" t="s">
        <v>90</v>
      </c>
      <c r="B84" s="12">
        <v>2.9900169999999999</v>
      </c>
      <c r="C84" s="12">
        <v>102.6233333</v>
      </c>
      <c r="D84" s="12">
        <v>1.7146821999999999</v>
      </c>
      <c r="E84" s="17">
        <v>0</v>
      </c>
      <c r="F84" s="13">
        <v>61.53</v>
      </c>
      <c r="G84" s="12">
        <v>1.2979383</v>
      </c>
      <c r="H84" s="12">
        <v>7.5383925999999999</v>
      </c>
      <c r="I84" s="12">
        <v>0.54186429999999997</v>
      </c>
      <c r="J84" s="12">
        <v>2.8133731000000002</v>
      </c>
      <c r="K84" s="12">
        <v>3.097864</v>
      </c>
      <c r="L84" s="12">
        <v>3.3900321</v>
      </c>
      <c r="M84" s="12">
        <v>9.9199164</v>
      </c>
      <c r="N84" s="12">
        <v>3.6671941000000001</v>
      </c>
      <c r="O84" s="12">
        <v>7.8273447999999997</v>
      </c>
      <c r="P84" s="7">
        <v>1639.4</v>
      </c>
      <c r="Q84" s="7">
        <v>200.3</v>
      </c>
      <c r="R84" s="7">
        <v>10.9</v>
      </c>
      <c r="S84" s="12">
        <v>4.4437816999999997</v>
      </c>
      <c r="T84" s="12">
        <v>3</v>
      </c>
      <c r="U84" s="12">
        <v>101.22333329999999</v>
      </c>
      <c r="V84" s="12">
        <v>0.99980089999999999</v>
      </c>
      <c r="W84" s="12">
        <v>-0.58858149999999998</v>
      </c>
      <c r="X84" s="12">
        <v>6.6882415999999996</v>
      </c>
      <c r="Y84" s="12">
        <v>9.8272138000000009</v>
      </c>
      <c r="Z84" s="12">
        <v>-4.2706023999999996</v>
      </c>
      <c r="AA84" s="12">
        <v>61.664320799999999</v>
      </c>
      <c r="AB84" s="12">
        <v>22.926718099999999</v>
      </c>
      <c r="AC84" s="12">
        <v>24.818361599999999</v>
      </c>
      <c r="AD84" s="12">
        <v>40.208609600000003</v>
      </c>
      <c r="AE84" s="12">
        <v>49.618010099999999</v>
      </c>
      <c r="AF84" s="12">
        <v>1.2051153999999999</v>
      </c>
      <c r="AG84" s="12">
        <v>76.340272600000006</v>
      </c>
    </row>
    <row r="85" spans="1:33" s="11" customFormat="1" outlineLevel="1" x14ac:dyDescent="0.3">
      <c r="A85" s="11" t="s">
        <v>91</v>
      </c>
      <c r="B85" s="12">
        <v>2.2828298</v>
      </c>
      <c r="C85" s="12">
        <v>102.5466667</v>
      </c>
      <c r="D85" s="12">
        <v>1.5313532000000001</v>
      </c>
      <c r="E85" s="17">
        <v>0</v>
      </c>
      <c r="F85" s="13">
        <v>66.806666699999994</v>
      </c>
      <c r="G85" s="12">
        <v>1.6481976</v>
      </c>
      <c r="H85" s="12">
        <v>3.0807443000000001</v>
      </c>
      <c r="I85" s="12">
        <v>-2.6797702000000001</v>
      </c>
      <c r="J85" s="12">
        <v>1.6403654000000001</v>
      </c>
      <c r="K85" s="12">
        <v>3.5587784</v>
      </c>
      <c r="L85" s="12">
        <v>1.4656353</v>
      </c>
      <c r="M85" s="12">
        <v>15.425416800000001</v>
      </c>
      <c r="N85" s="12">
        <v>-2.0835387999999999</v>
      </c>
      <c r="O85" s="12">
        <v>7.4273793000000001</v>
      </c>
      <c r="P85" s="7">
        <v>1615.7</v>
      </c>
      <c r="Q85" s="7">
        <v>186.4</v>
      </c>
      <c r="R85" s="7">
        <v>10.4</v>
      </c>
      <c r="S85" s="12">
        <v>4.8100208999999996</v>
      </c>
      <c r="T85" s="12">
        <v>3</v>
      </c>
      <c r="U85" s="12">
        <v>100.82</v>
      </c>
      <c r="V85" s="12">
        <v>0.98720110000000005</v>
      </c>
      <c r="W85" s="12">
        <v>0.80906149999999999</v>
      </c>
      <c r="X85" s="12">
        <v>-0.2434867</v>
      </c>
      <c r="Y85" s="12">
        <v>8.6910810999999999</v>
      </c>
      <c r="Z85" s="12">
        <v>-16.743836600000002</v>
      </c>
      <c r="AA85" s="12">
        <v>63.751860899999997</v>
      </c>
      <c r="AB85" s="12">
        <v>24.177299600000001</v>
      </c>
      <c r="AC85" s="12">
        <v>31.053915100000001</v>
      </c>
      <c r="AD85" s="12">
        <v>36.940458700000001</v>
      </c>
      <c r="AE85" s="12">
        <v>55.9235343</v>
      </c>
      <c r="AF85" s="12">
        <v>2.1237493999999999</v>
      </c>
      <c r="AG85" s="12">
        <v>72.380125500000005</v>
      </c>
    </row>
    <row r="86" spans="1:33" s="11" customFormat="1" outlineLevel="1" x14ac:dyDescent="0.3">
      <c r="A86" s="11" t="s">
        <v>92</v>
      </c>
      <c r="B86" s="12">
        <v>2.5023559999999998</v>
      </c>
      <c r="C86" s="12">
        <v>104.0133333</v>
      </c>
      <c r="D86" s="12">
        <v>1.8606777000000001</v>
      </c>
      <c r="E86" s="17">
        <v>0</v>
      </c>
      <c r="F86" s="13">
        <v>74.5</v>
      </c>
      <c r="G86" s="12">
        <v>2.2932978999999998</v>
      </c>
      <c r="H86" s="12">
        <v>5.0016591000000004</v>
      </c>
      <c r="I86" s="12">
        <v>2.4418856</v>
      </c>
      <c r="J86" s="12">
        <v>3.5344267</v>
      </c>
      <c r="K86" s="12">
        <v>3.3613683999999999</v>
      </c>
      <c r="L86" s="12">
        <v>3.1968225000000001</v>
      </c>
      <c r="M86" s="12">
        <v>6.0997313000000002</v>
      </c>
      <c r="N86" s="12">
        <v>6.1310820000000001</v>
      </c>
      <c r="O86" s="12">
        <v>6.6885876</v>
      </c>
      <c r="P86" s="7">
        <v>1671.4</v>
      </c>
      <c r="Q86" s="7">
        <v>136.19999999999999</v>
      </c>
      <c r="R86" s="7">
        <v>7.6</v>
      </c>
      <c r="S86" s="12">
        <v>5.8555384999999998</v>
      </c>
      <c r="T86" s="12">
        <v>3</v>
      </c>
      <c r="U86" s="12">
        <v>102.44333330000001</v>
      </c>
      <c r="V86" s="12">
        <v>0.98189660000000001</v>
      </c>
      <c r="W86" s="12">
        <v>0.21895519999999999</v>
      </c>
      <c r="X86" s="12">
        <v>8.3045580000000001</v>
      </c>
      <c r="Y86" s="12">
        <v>8.1767067999999998</v>
      </c>
      <c r="Z86" s="12">
        <v>-1.0836539999999999</v>
      </c>
      <c r="AA86" s="12">
        <v>58.280338299999997</v>
      </c>
      <c r="AB86" s="12">
        <v>22.5033186</v>
      </c>
      <c r="AC86" s="12">
        <v>22.7016639</v>
      </c>
      <c r="AD86" s="12">
        <v>47.5179823</v>
      </c>
      <c r="AE86" s="12">
        <v>51.003303199999998</v>
      </c>
      <c r="AF86" s="12">
        <v>3.8661775999999999</v>
      </c>
      <c r="AG86" s="12">
        <v>73.174774799999994</v>
      </c>
    </row>
    <row r="87" spans="1:33" s="11" customFormat="1" outlineLevel="1" x14ac:dyDescent="0.3">
      <c r="A87" s="11" t="s">
        <v>93</v>
      </c>
      <c r="B87" s="12">
        <v>1.7229988000000001</v>
      </c>
      <c r="C87" s="12">
        <v>104.3666667</v>
      </c>
      <c r="D87" s="12">
        <v>2.2033621999999999</v>
      </c>
      <c r="E87" s="17">
        <v>0</v>
      </c>
      <c r="F87" s="13">
        <v>75.223333299999993</v>
      </c>
      <c r="G87" s="12">
        <v>6.9561826</v>
      </c>
      <c r="H87" s="12">
        <v>7.2087836999999997</v>
      </c>
      <c r="I87" s="12">
        <v>3.2131826000000001</v>
      </c>
      <c r="J87" s="12">
        <v>2.9627756000000001</v>
      </c>
      <c r="K87" s="12">
        <v>2.5357588</v>
      </c>
      <c r="L87" s="12">
        <v>1.0695777</v>
      </c>
      <c r="M87" s="12">
        <v>3.8900343999999998</v>
      </c>
      <c r="N87" s="12">
        <v>5.3856432999999999</v>
      </c>
      <c r="O87" s="12">
        <v>6.5891222000000003</v>
      </c>
      <c r="P87" s="7">
        <v>1689.1</v>
      </c>
      <c r="Q87" s="7">
        <v>133.30000000000001</v>
      </c>
      <c r="R87" s="7">
        <v>7.3</v>
      </c>
      <c r="S87" s="12">
        <v>5.0774920000000003</v>
      </c>
      <c r="T87" s="12">
        <v>3</v>
      </c>
      <c r="U87" s="12">
        <v>103.10666670000001</v>
      </c>
      <c r="V87" s="12">
        <v>0.98447589999999996</v>
      </c>
      <c r="W87" s="12">
        <v>-1.9707565</v>
      </c>
      <c r="X87" s="12">
        <v>7.7183272000000001</v>
      </c>
      <c r="Y87" s="12">
        <v>8.9231262999999998</v>
      </c>
      <c r="Z87" s="12">
        <v>24.340021100000001</v>
      </c>
      <c r="AA87" s="12">
        <v>46.532904100000003</v>
      </c>
      <c r="AB87" s="12">
        <v>18.805952600000001</v>
      </c>
      <c r="AC87" s="12">
        <v>10.7062457</v>
      </c>
      <c r="AD87" s="12">
        <v>67.619496400000003</v>
      </c>
      <c r="AE87" s="12">
        <v>43.665253100000001</v>
      </c>
      <c r="AF87" s="12">
        <v>3.9454916999999998</v>
      </c>
      <c r="AG87" s="12">
        <v>72.611394000000004</v>
      </c>
    </row>
    <row r="88" spans="1:33" s="11" customFormat="1" outlineLevel="1" x14ac:dyDescent="0.3">
      <c r="A88" s="11" t="s">
        <v>94</v>
      </c>
      <c r="B88" s="12">
        <v>1.7730376000000001</v>
      </c>
      <c r="C88" s="12">
        <v>104.64</v>
      </c>
      <c r="D88" s="12">
        <v>1.9651152000000001</v>
      </c>
      <c r="E88" s="17">
        <v>0</v>
      </c>
      <c r="F88" s="13">
        <v>67.713333300000002</v>
      </c>
      <c r="G88" s="12">
        <v>17.644784300000001</v>
      </c>
      <c r="H88" s="12">
        <v>6.8796581000000003</v>
      </c>
      <c r="I88" s="12">
        <v>-4.2045984000000001</v>
      </c>
      <c r="J88" s="12">
        <v>2.9684816000000001</v>
      </c>
      <c r="K88" s="12">
        <v>3.7820417000000002</v>
      </c>
      <c r="L88" s="12">
        <v>3.1791686000000001</v>
      </c>
      <c r="M88" s="12">
        <v>14.4382147</v>
      </c>
      <c r="N88" s="12">
        <v>1.9595305000000001</v>
      </c>
      <c r="O88" s="12">
        <v>9.0130675</v>
      </c>
      <c r="P88" s="7">
        <v>1644</v>
      </c>
      <c r="Q88" s="7">
        <v>153.69999999999999</v>
      </c>
      <c r="R88" s="7">
        <v>8.6</v>
      </c>
      <c r="S88" s="12">
        <v>3.7203230999999999</v>
      </c>
      <c r="T88" s="12">
        <v>3</v>
      </c>
      <c r="U88" s="12">
        <v>102.56</v>
      </c>
      <c r="V88" s="12">
        <v>0.98465279999999999</v>
      </c>
      <c r="W88" s="12">
        <v>-2.8419183000000001</v>
      </c>
      <c r="X88" s="12">
        <v>4.9747218999999996</v>
      </c>
      <c r="Y88" s="12">
        <v>11.291379900000001</v>
      </c>
      <c r="Z88" s="12">
        <v>-7.1206443999999998</v>
      </c>
      <c r="AA88" s="12">
        <v>61.8618922</v>
      </c>
      <c r="AB88" s="12">
        <v>22.794780200000002</v>
      </c>
      <c r="AC88" s="12">
        <v>27.5687432</v>
      </c>
      <c r="AD88" s="12">
        <v>39.684635700000001</v>
      </c>
      <c r="AE88" s="12">
        <v>51.910051299999999</v>
      </c>
      <c r="AF88" s="12">
        <v>4.5809309000000002</v>
      </c>
      <c r="AG88" s="12">
        <v>73.065671399999999</v>
      </c>
    </row>
    <row r="89" spans="1:33" s="11" customFormat="1" outlineLevel="1" x14ac:dyDescent="0.3">
      <c r="A89" s="11" t="s">
        <v>95</v>
      </c>
      <c r="B89" s="12">
        <v>1.9308453999999999</v>
      </c>
      <c r="C89" s="12">
        <v>104.17</v>
      </c>
      <c r="D89" s="12">
        <v>1.5830191</v>
      </c>
      <c r="E89" s="17">
        <v>0</v>
      </c>
      <c r="F89" s="13">
        <v>63.17</v>
      </c>
      <c r="G89" s="12">
        <v>5.9803290999999996</v>
      </c>
      <c r="H89" s="12">
        <v>8.6803598999999991</v>
      </c>
      <c r="I89" s="12">
        <v>-1.4714563000000001</v>
      </c>
      <c r="J89" s="12">
        <v>4.8091745000000001</v>
      </c>
      <c r="K89" s="12">
        <v>4.9088399999999996</v>
      </c>
      <c r="L89" s="12">
        <v>2.0317345000000002</v>
      </c>
      <c r="M89" s="12">
        <v>12.998218100000001</v>
      </c>
      <c r="N89" s="12">
        <v>6.6656594</v>
      </c>
      <c r="O89" s="12">
        <v>9.3446561999999993</v>
      </c>
      <c r="P89" s="7">
        <v>1661.1</v>
      </c>
      <c r="Q89" s="7">
        <v>135.69999999999999</v>
      </c>
      <c r="R89" s="7">
        <v>7.6</v>
      </c>
      <c r="S89" s="12">
        <v>3.9478925999999999</v>
      </c>
      <c r="T89" s="12">
        <v>3</v>
      </c>
      <c r="U89" s="12">
        <v>101.64333329999999</v>
      </c>
      <c r="V89" s="12">
        <v>0.98499349999999997</v>
      </c>
      <c r="W89" s="12">
        <v>1.5409310000000001</v>
      </c>
      <c r="X89" s="12">
        <v>9.0554064000000007</v>
      </c>
      <c r="Y89" s="12">
        <v>10.2853458</v>
      </c>
      <c r="Z89" s="12">
        <v>-17.3924989</v>
      </c>
      <c r="AA89" s="12">
        <v>63.172528300000003</v>
      </c>
      <c r="AB89" s="12">
        <v>23.698146099999999</v>
      </c>
      <c r="AC89" s="12">
        <v>33.118032999999997</v>
      </c>
      <c r="AD89" s="12">
        <v>37.633350700000001</v>
      </c>
      <c r="AE89" s="12">
        <v>57.622058199999998</v>
      </c>
      <c r="AF89" s="12">
        <v>5.9836292999999996</v>
      </c>
      <c r="AG89" s="12">
        <v>70.024403599999999</v>
      </c>
    </row>
    <row r="90" spans="1:33" s="11" customFormat="1" outlineLevel="1" x14ac:dyDescent="0.3">
      <c r="A90" s="11" t="s">
        <v>96</v>
      </c>
      <c r="B90" s="12">
        <v>1.5959346999999999</v>
      </c>
      <c r="C90" s="12">
        <v>105.7566667</v>
      </c>
      <c r="D90" s="12">
        <v>1.6760672000000001</v>
      </c>
      <c r="E90" s="17">
        <v>0</v>
      </c>
      <c r="F90" s="13">
        <v>68.923333299999996</v>
      </c>
      <c r="G90" s="12">
        <v>7.1979072999999998</v>
      </c>
      <c r="H90" s="12">
        <v>6.4149687999999996</v>
      </c>
      <c r="I90" s="12">
        <v>2.1410561000000001</v>
      </c>
      <c r="J90" s="12">
        <v>3.4686124</v>
      </c>
      <c r="K90" s="12">
        <v>3.0678725999999998</v>
      </c>
      <c r="L90" s="12">
        <v>1.3340308999999999</v>
      </c>
      <c r="M90" s="12">
        <v>15.0830456</v>
      </c>
      <c r="N90" s="12">
        <v>5.1248269999999998</v>
      </c>
      <c r="O90" s="12">
        <v>9.2612371000000007</v>
      </c>
      <c r="P90" s="7">
        <v>1677.5</v>
      </c>
      <c r="Q90" s="7">
        <v>108.3</v>
      </c>
      <c r="R90" s="7">
        <v>6.1</v>
      </c>
      <c r="S90" s="12">
        <v>3.0574694999999998</v>
      </c>
      <c r="T90" s="12">
        <v>3</v>
      </c>
      <c r="U90" s="12">
        <v>103.25</v>
      </c>
      <c r="V90" s="12">
        <v>0.98458199999999996</v>
      </c>
      <c r="W90" s="12">
        <v>-0.156055</v>
      </c>
      <c r="X90" s="12">
        <v>7.3808385000000003</v>
      </c>
      <c r="Y90" s="12">
        <v>10.053460100000001</v>
      </c>
      <c r="Z90" s="12">
        <v>-3.0527324999999998</v>
      </c>
      <c r="AA90" s="12">
        <v>57.715425000000003</v>
      </c>
      <c r="AB90" s="12">
        <v>22.528366599999998</v>
      </c>
      <c r="AC90" s="12">
        <v>24.626909399999999</v>
      </c>
      <c r="AD90" s="12">
        <v>48.590465299999998</v>
      </c>
      <c r="AE90" s="12">
        <v>53.461899299999999</v>
      </c>
      <c r="AF90" s="12">
        <v>6.1018176999999998</v>
      </c>
      <c r="AG90" s="12">
        <v>71.908031300000005</v>
      </c>
    </row>
    <row r="91" spans="1:33" s="11" customFormat="1" outlineLevel="1" x14ac:dyDescent="0.3">
      <c r="A91" s="11" t="s">
        <v>97</v>
      </c>
      <c r="B91" s="12">
        <v>2.3612953000000001</v>
      </c>
      <c r="C91" s="12">
        <v>105.74</v>
      </c>
      <c r="D91" s="12">
        <v>1.3158734999999999</v>
      </c>
      <c r="E91" s="17">
        <v>0</v>
      </c>
      <c r="F91" s="13">
        <v>61.93</v>
      </c>
      <c r="G91" s="12">
        <v>8.8308847000000004</v>
      </c>
      <c r="H91" s="12">
        <v>7.3801446999999998</v>
      </c>
      <c r="I91" s="12">
        <v>2.7606503</v>
      </c>
      <c r="J91" s="12">
        <v>3.4446984999999999</v>
      </c>
      <c r="K91" s="12">
        <v>3.5901888</v>
      </c>
      <c r="L91" s="12">
        <v>2.2401629000000001</v>
      </c>
      <c r="M91" s="12">
        <v>-16.9423128</v>
      </c>
      <c r="N91" s="12">
        <v>7.8745827999999998</v>
      </c>
      <c r="O91" s="12">
        <v>5.3561401000000002</v>
      </c>
      <c r="P91" s="7">
        <v>1703.9</v>
      </c>
      <c r="Q91" s="7">
        <v>102.8</v>
      </c>
      <c r="R91" s="7">
        <v>5.7</v>
      </c>
      <c r="S91" s="12">
        <v>3.6379453000000002</v>
      </c>
      <c r="T91" s="12">
        <v>3</v>
      </c>
      <c r="U91" s="12">
        <v>103.7966667</v>
      </c>
      <c r="V91" s="12">
        <v>0.98131710000000005</v>
      </c>
      <c r="W91" s="12">
        <v>1.848249</v>
      </c>
      <c r="X91" s="12">
        <v>8.2976495999999997</v>
      </c>
      <c r="Y91" s="12">
        <v>5.4663326999999997</v>
      </c>
      <c r="Z91" s="12">
        <v>27.780671099999999</v>
      </c>
      <c r="AA91" s="12">
        <v>46.698979000000001</v>
      </c>
      <c r="AB91" s="12">
        <v>18.4839755</v>
      </c>
      <c r="AC91" s="12">
        <v>9.0534646999999993</v>
      </c>
      <c r="AD91" s="12">
        <v>69.431879699999996</v>
      </c>
      <c r="AE91" s="12">
        <v>43.668298900000003</v>
      </c>
      <c r="AF91" s="12">
        <v>6.1314487</v>
      </c>
      <c r="AG91" s="12">
        <v>71.733381899999998</v>
      </c>
    </row>
    <row r="92" spans="1:33" s="11" customFormat="1" outlineLevel="1" x14ac:dyDescent="0.3">
      <c r="A92" s="11" t="s">
        <v>98</v>
      </c>
      <c r="B92" s="12">
        <v>1.3592039</v>
      </c>
      <c r="C92" s="12">
        <v>106.0066667</v>
      </c>
      <c r="D92" s="12">
        <v>1.3060653</v>
      </c>
      <c r="E92" s="17">
        <v>0</v>
      </c>
      <c r="F92" s="13">
        <v>63.41</v>
      </c>
      <c r="G92" s="12">
        <v>7.7598829</v>
      </c>
      <c r="H92" s="12">
        <v>10.011215699999999</v>
      </c>
      <c r="I92" s="12">
        <v>-3.2933998999999998</v>
      </c>
      <c r="J92" s="12">
        <v>2.0599040999999998</v>
      </c>
      <c r="K92" s="12">
        <v>4.3474857</v>
      </c>
      <c r="L92" s="12">
        <v>5.4227838999999998</v>
      </c>
      <c r="M92" s="12">
        <v>-10.6485454</v>
      </c>
      <c r="N92" s="12">
        <v>7.0138172000000001</v>
      </c>
      <c r="O92" s="12">
        <v>2.9762537999999998</v>
      </c>
      <c r="P92" s="7">
        <v>1675.3</v>
      </c>
      <c r="Q92" s="7">
        <v>129.19999999999999</v>
      </c>
      <c r="R92" s="7">
        <v>7.2</v>
      </c>
      <c r="S92" s="12">
        <v>4.4757334999999996</v>
      </c>
      <c r="T92" s="12">
        <v>3</v>
      </c>
      <c r="U92" s="12">
        <v>103.4766667</v>
      </c>
      <c r="V92" s="12">
        <v>0.98736480000000004</v>
      </c>
      <c r="W92" s="12">
        <v>-0.79219989999999996</v>
      </c>
      <c r="X92" s="12">
        <v>8.0523983999999995</v>
      </c>
      <c r="Y92" s="12">
        <v>2.9156236</v>
      </c>
      <c r="Z92" s="12">
        <v>-5.0224320000000002</v>
      </c>
      <c r="AA92" s="12">
        <v>62.151075800000001</v>
      </c>
      <c r="AB92" s="12">
        <v>23.077492599999999</v>
      </c>
      <c r="AC92" s="12">
        <v>24.849323999999999</v>
      </c>
      <c r="AD92" s="12">
        <v>40.977950200000002</v>
      </c>
      <c r="AE92" s="12">
        <v>51.055842699999999</v>
      </c>
      <c r="AF92" s="12">
        <v>6.9332555999999999</v>
      </c>
      <c r="AG92" s="12">
        <v>70.877253699999997</v>
      </c>
    </row>
    <row r="93" spans="1:33" s="11" customFormat="1" outlineLevel="1" x14ac:dyDescent="0.3">
      <c r="A93" s="11" t="s">
        <v>99</v>
      </c>
      <c r="B93" s="12">
        <v>-2.2061226999999999</v>
      </c>
      <c r="C93" s="12">
        <v>105.74666670000001</v>
      </c>
      <c r="D93" s="12">
        <v>1.5135516</v>
      </c>
      <c r="E93" s="17">
        <v>0</v>
      </c>
      <c r="F93" s="13">
        <v>50.44</v>
      </c>
      <c r="G93" s="12">
        <v>6.2673467</v>
      </c>
      <c r="H93" s="12">
        <v>-0.67050489999999996</v>
      </c>
      <c r="I93" s="12">
        <v>-4.7840553999999997</v>
      </c>
      <c r="J93" s="12">
        <v>-1.3466940000000001</v>
      </c>
      <c r="K93" s="12">
        <v>1.8624240999999999</v>
      </c>
      <c r="L93" s="12">
        <v>3.1960532000000001</v>
      </c>
      <c r="M93" s="12">
        <v>-17.625252400000001</v>
      </c>
      <c r="N93" s="12">
        <v>-1.0175174</v>
      </c>
      <c r="O93" s="12">
        <v>-4.2700180999999997</v>
      </c>
      <c r="P93" s="7">
        <v>1649</v>
      </c>
      <c r="Q93" s="7">
        <v>123.4</v>
      </c>
      <c r="R93" s="7">
        <v>7</v>
      </c>
      <c r="S93" s="12">
        <v>3.2286895000000002</v>
      </c>
      <c r="T93" s="12">
        <v>3</v>
      </c>
      <c r="U93" s="12">
        <v>102.8166667</v>
      </c>
      <c r="V93" s="12">
        <v>0.99399649999999995</v>
      </c>
      <c r="W93" s="12">
        <v>-2.8453998999999999</v>
      </c>
      <c r="X93" s="12">
        <v>-1.2981199999999999</v>
      </c>
      <c r="Y93" s="12">
        <v>-4.4291770000000001</v>
      </c>
      <c r="Z93" s="12">
        <v>-12.204913700000001</v>
      </c>
      <c r="AA93" s="12">
        <v>64.091088099999993</v>
      </c>
      <c r="AB93" s="12">
        <v>25.802720600000001</v>
      </c>
      <c r="AC93" s="12">
        <v>27.810884000000001</v>
      </c>
      <c r="AD93" s="12">
        <v>36.690050499999998</v>
      </c>
      <c r="AE93" s="12">
        <v>54.393905099999998</v>
      </c>
      <c r="AF93" s="12">
        <v>6.6599880000000002</v>
      </c>
      <c r="AG93" s="12">
        <v>78.555764100000005</v>
      </c>
    </row>
    <row r="94" spans="1:33" s="11" customFormat="1" outlineLevel="1" x14ac:dyDescent="0.3">
      <c r="A94" s="11" t="s">
        <v>100</v>
      </c>
      <c r="B94" s="12">
        <v>-13.380244299999999</v>
      </c>
      <c r="C94" s="12">
        <v>106.50333329999999</v>
      </c>
      <c r="D94" s="12">
        <v>0.70602319999999996</v>
      </c>
      <c r="E94" s="17">
        <v>0</v>
      </c>
      <c r="F94" s="13">
        <v>29.343333300000001</v>
      </c>
      <c r="G94" s="12">
        <v>16.200193200000001</v>
      </c>
      <c r="H94" s="12">
        <v>-16.907880299999999</v>
      </c>
      <c r="I94" s="12">
        <v>-15.37006</v>
      </c>
      <c r="J94" s="12">
        <v>-16.1425126</v>
      </c>
      <c r="K94" s="12">
        <v>-12.7677166</v>
      </c>
      <c r="L94" s="12">
        <v>3.6433365000000002</v>
      </c>
      <c r="M94" s="12">
        <v>-22.2257152</v>
      </c>
      <c r="N94" s="12">
        <v>-36.8725807</v>
      </c>
      <c r="O94" s="12">
        <v>-26.191141099999999</v>
      </c>
      <c r="P94" s="7">
        <v>1668.1</v>
      </c>
      <c r="Q94" s="7">
        <v>114.6</v>
      </c>
      <c r="R94" s="7">
        <v>6.5</v>
      </c>
      <c r="S94" s="12">
        <v>0.97388220000000003</v>
      </c>
      <c r="T94" s="12">
        <v>3</v>
      </c>
      <c r="U94" s="12">
        <v>102.81</v>
      </c>
      <c r="V94" s="12">
        <v>1.0058575000000001</v>
      </c>
      <c r="W94" s="12">
        <v>-8.5651765999999991</v>
      </c>
      <c r="X94" s="12">
        <v>-40.246437100000001</v>
      </c>
      <c r="Y94" s="12">
        <v>-28.322763500000001</v>
      </c>
      <c r="Z94" s="12">
        <v>-5.0059091999999996</v>
      </c>
      <c r="AA94" s="12">
        <v>59.3659818</v>
      </c>
      <c r="AB94" s="12">
        <v>27.076673199999998</v>
      </c>
      <c r="AC94" s="12">
        <v>24.733449700000001</v>
      </c>
      <c r="AD94" s="12">
        <v>34.9798683</v>
      </c>
      <c r="AE94" s="12">
        <v>46.156837000000003</v>
      </c>
      <c r="AF94" s="12">
        <v>4.1796445999999996</v>
      </c>
      <c r="AG94" s="12">
        <v>86.654946800000005</v>
      </c>
    </row>
    <row r="95" spans="1:33" s="11" customFormat="1" outlineLevel="1" x14ac:dyDescent="0.3">
      <c r="A95" s="11" t="s">
        <v>101</v>
      </c>
      <c r="B95" s="12">
        <v>-3.6984297000000002</v>
      </c>
      <c r="C95" s="12">
        <v>106.27</v>
      </c>
      <c r="D95" s="12">
        <v>0.50122940000000005</v>
      </c>
      <c r="E95" s="17">
        <v>0</v>
      </c>
      <c r="F95" s="13">
        <v>42.963333300000002</v>
      </c>
      <c r="G95" s="12">
        <v>2.2228604999999999</v>
      </c>
      <c r="H95" s="12">
        <v>-6.2857653999999998</v>
      </c>
      <c r="I95" s="12">
        <v>-0.83796090000000001</v>
      </c>
      <c r="J95" s="12">
        <v>-11.511460700000001</v>
      </c>
      <c r="K95" s="12">
        <v>-6.2847483999999998</v>
      </c>
      <c r="L95" s="12">
        <v>4.8730169999999999</v>
      </c>
      <c r="M95" s="12">
        <v>92.202309799999995</v>
      </c>
      <c r="N95" s="12">
        <v>-31.6955974</v>
      </c>
      <c r="O95" s="12">
        <v>-12.172986099999999</v>
      </c>
      <c r="P95" s="7">
        <v>1678.4</v>
      </c>
      <c r="Q95" s="7">
        <v>135.4</v>
      </c>
      <c r="R95" s="7">
        <v>7.5</v>
      </c>
      <c r="S95" s="12">
        <v>2.8686688</v>
      </c>
      <c r="T95" s="12">
        <v>3</v>
      </c>
      <c r="U95" s="12">
        <v>103.31</v>
      </c>
      <c r="V95" s="12">
        <v>0.99891609999999997</v>
      </c>
      <c r="W95" s="12">
        <v>-0.60490290000000002</v>
      </c>
      <c r="X95" s="12">
        <v>-33.643792300000001</v>
      </c>
      <c r="Y95" s="12">
        <v>-13.774797400000001</v>
      </c>
      <c r="Z95" s="12">
        <v>13.2973014</v>
      </c>
      <c r="AA95" s="12">
        <v>50.396853700000001</v>
      </c>
      <c r="AB95" s="12">
        <v>22.622803399999999</v>
      </c>
      <c r="AC95" s="12">
        <v>17.148220599999998</v>
      </c>
      <c r="AD95" s="12">
        <v>53.807939900000001</v>
      </c>
      <c r="AE95" s="12">
        <v>43.976531399999999</v>
      </c>
      <c r="AF95" s="12">
        <v>4.1779957000000003</v>
      </c>
      <c r="AG95" s="12">
        <v>85.669764099999995</v>
      </c>
    </row>
    <row r="96" spans="1:33" s="11" customFormat="1" outlineLevel="1" x14ac:dyDescent="0.3">
      <c r="A96" s="11" t="s">
        <v>102</v>
      </c>
      <c r="B96" s="12">
        <v>-3.2236577</v>
      </c>
      <c r="C96" s="12">
        <v>106.2833333</v>
      </c>
      <c r="D96" s="12">
        <v>0.26098979999999999</v>
      </c>
      <c r="E96" s="17">
        <v>0</v>
      </c>
      <c r="F96" s="13">
        <v>44.29</v>
      </c>
      <c r="G96" s="12">
        <v>6.5536269000000003</v>
      </c>
      <c r="H96" s="12">
        <v>-4.4843381000000004</v>
      </c>
      <c r="I96" s="12">
        <v>-9.3534548999999991</v>
      </c>
      <c r="J96" s="12">
        <v>-3.8142320000000001</v>
      </c>
      <c r="K96" s="12">
        <v>-3.3936028999999999</v>
      </c>
      <c r="L96" s="12">
        <v>2.3268932000000002</v>
      </c>
      <c r="M96" s="12">
        <v>-8.0793061000000002</v>
      </c>
      <c r="N96" s="12">
        <v>-7.5617226000000004</v>
      </c>
      <c r="O96" s="12">
        <v>-5.6978460000000002</v>
      </c>
      <c r="P96" s="7">
        <v>1633.9</v>
      </c>
      <c r="Q96" s="7">
        <v>164.7</v>
      </c>
      <c r="R96" s="7">
        <v>9.1999999999999993</v>
      </c>
      <c r="S96" s="12">
        <v>2.9242992999999999</v>
      </c>
      <c r="T96" s="12">
        <v>3</v>
      </c>
      <c r="U96" s="12">
        <v>103.30666669999999</v>
      </c>
      <c r="V96" s="12">
        <v>1.0033224999999999</v>
      </c>
      <c r="W96" s="12">
        <v>1.0442260999999999</v>
      </c>
      <c r="X96" s="12">
        <v>-11.4102336</v>
      </c>
      <c r="Y96" s="12">
        <v>-7.3114895000000004</v>
      </c>
      <c r="Z96" s="12">
        <v>-2.3980130000000002</v>
      </c>
      <c r="AA96" s="12">
        <v>62.316531300000001</v>
      </c>
      <c r="AB96" s="12">
        <v>25.100352399999998</v>
      </c>
      <c r="AC96" s="12">
        <v>24.175731599999999</v>
      </c>
      <c r="AD96" s="12">
        <v>38.166079400000001</v>
      </c>
      <c r="AE96" s="12">
        <v>49.7586947</v>
      </c>
      <c r="AF96" s="12">
        <v>2.3125819000000001</v>
      </c>
      <c r="AG96" s="12">
        <v>86.7757711</v>
      </c>
    </row>
    <row r="97" spans="1:33" s="11" customFormat="1" outlineLevel="1" x14ac:dyDescent="0.3">
      <c r="A97" s="11" t="s">
        <v>103</v>
      </c>
      <c r="B97" s="12">
        <v>-0.1765746</v>
      </c>
      <c r="C97" s="12">
        <v>107.21</v>
      </c>
      <c r="D97" s="12">
        <v>1.3838102999999999</v>
      </c>
      <c r="E97" s="17">
        <v>0</v>
      </c>
      <c r="F97" s="13">
        <v>60.82</v>
      </c>
      <c r="G97" s="12">
        <v>9.1102006000000006</v>
      </c>
      <c r="H97" s="12">
        <v>9.0166147999999993</v>
      </c>
      <c r="I97" s="12">
        <v>-5.1049854999999997</v>
      </c>
      <c r="J97" s="12">
        <v>4.1104994000000001</v>
      </c>
      <c r="K97" s="12">
        <v>0.57145210000000002</v>
      </c>
      <c r="L97" s="12">
        <v>-5.6398530999999998</v>
      </c>
      <c r="M97" s="12">
        <v>16.1438743</v>
      </c>
      <c r="N97" s="12">
        <v>0.34345409999999998</v>
      </c>
      <c r="O97" s="12">
        <v>-1.0879989999999999</v>
      </c>
      <c r="P97" s="7">
        <v>1629.3</v>
      </c>
      <c r="Q97" s="7">
        <v>178.8</v>
      </c>
      <c r="R97" s="7">
        <v>9.9</v>
      </c>
      <c r="S97" s="12">
        <v>2.6047115999999999</v>
      </c>
      <c r="T97" s="12">
        <v>3</v>
      </c>
      <c r="U97" s="12">
        <v>103.58</v>
      </c>
      <c r="V97" s="12">
        <v>1.0049992000000001</v>
      </c>
      <c r="W97" s="12">
        <v>4.2629352999999996</v>
      </c>
      <c r="X97" s="12">
        <v>0.29478460000000001</v>
      </c>
      <c r="Y97" s="12">
        <v>-0.152952</v>
      </c>
      <c r="Z97" s="12">
        <v>-11.110650700000001</v>
      </c>
      <c r="AA97" s="12">
        <v>62.772624899999997</v>
      </c>
      <c r="AB97" s="12">
        <v>25.394864099999999</v>
      </c>
      <c r="AC97" s="12">
        <v>29.013876100000001</v>
      </c>
      <c r="AD97" s="12">
        <v>36.109643400000003</v>
      </c>
      <c r="AE97" s="12">
        <v>53.290195699999998</v>
      </c>
      <c r="AF97" s="12">
        <v>1.5912001</v>
      </c>
      <c r="AG97" s="12">
        <v>77.474926300000007</v>
      </c>
    </row>
    <row r="98" spans="1:33" s="11" customFormat="1" outlineLevel="1" x14ac:dyDescent="0.3">
      <c r="A98" s="11" t="s">
        <v>104</v>
      </c>
      <c r="B98" s="12">
        <v>14.630134099999999</v>
      </c>
      <c r="C98" s="12">
        <v>108.82</v>
      </c>
      <c r="D98" s="12">
        <v>2.1752058000000001</v>
      </c>
      <c r="E98" s="17">
        <v>0</v>
      </c>
      <c r="F98" s="13">
        <v>68.833333300000007</v>
      </c>
      <c r="G98" s="12">
        <v>0.54684089999999996</v>
      </c>
      <c r="H98" s="12">
        <v>20.538334200000001</v>
      </c>
      <c r="I98" s="12">
        <v>-5.1593365999999996</v>
      </c>
      <c r="J98" s="12">
        <v>21.3559415</v>
      </c>
      <c r="K98" s="12">
        <v>18.858924999999999</v>
      </c>
      <c r="L98" s="12">
        <v>8.5106383000000001</v>
      </c>
      <c r="M98" s="12">
        <v>31.755714000000001</v>
      </c>
      <c r="N98" s="12">
        <v>43.2086045</v>
      </c>
      <c r="O98" s="12">
        <v>33.120175600000003</v>
      </c>
      <c r="P98" s="7">
        <v>1685.7</v>
      </c>
      <c r="Q98" s="7">
        <v>145.6</v>
      </c>
      <c r="R98" s="7">
        <v>8</v>
      </c>
      <c r="S98" s="12">
        <v>5.0491396000000002</v>
      </c>
      <c r="T98" s="12">
        <v>3</v>
      </c>
      <c r="U98" s="12">
        <v>105.1033333</v>
      </c>
      <c r="V98" s="12">
        <v>0.99933640000000001</v>
      </c>
      <c r="W98" s="12">
        <v>13.8803418</v>
      </c>
      <c r="X98" s="12">
        <v>51.453416099999998</v>
      </c>
      <c r="Y98" s="12">
        <v>41.415662699999999</v>
      </c>
      <c r="Z98" s="12">
        <v>-7.3097745999999999</v>
      </c>
      <c r="AA98" s="12">
        <v>59.091393699999998</v>
      </c>
      <c r="AB98" s="12">
        <v>24.3302032</v>
      </c>
      <c r="AC98" s="12">
        <v>26.638327499999999</v>
      </c>
      <c r="AD98" s="12">
        <v>43.291369600000003</v>
      </c>
      <c r="AE98" s="12">
        <v>53.351294099999997</v>
      </c>
      <c r="AF98" s="12">
        <v>3.1775102</v>
      </c>
      <c r="AG98" s="12">
        <v>77.541184599999994</v>
      </c>
    </row>
    <row r="99" spans="1:33" s="11" customFormat="1" outlineLevel="1" x14ac:dyDescent="0.3">
      <c r="A99" s="11" t="s">
        <v>105</v>
      </c>
      <c r="B99" s="12">
        <v>4.8925850000000004</v>
      </c>
      <c r="C99" s="12">
        <v>109.55666669999999</v>
      </c>
      <c r="D99" s="12">
        <v>3.0927511999999999</v>
      </c>
      <c r="E99" s="17">
        <v>0</v>
      </c>
      <c r="F99" s="13">
        <v>73.47</v>
      </c>
      <c r="G99" s="12">
        <v>4.4442709999999996</v>
      </c>
      <c r="H99" s="12">
        <v>16.321597799999999</v>
      </c>
      <c r="I99" s="12">
        <v>3.6548525999999999</v>
      </c>
      <c r="J99" s="12">
        <v>17.604294800000002</v>
      </c>
      <c r="K99" s="12">
        <v>16.5352453</v>
      </c>
      <c r="L99" s="12">
        <v>-4.2158458999999997</v>
      </c>
      <c r="M99" s="12">
        <v>-41.158675600000002</v>
      </c>
      <c r="N99" s="12">
        <v>50.9120445</v>
      </c>
      <c r="O99" s="12">
        <v>19.783157800000001</v>
      </c>
      <c r="P99" s="7">
        <v>1704.9</v>
      </c>
      <c r="Q99" s="7">
        <v>113.4</v>
      </c>
      <c r="R99" s="7">
        <v>6.3</v>
      </c>
      <c r="S99" s="12">
        <v>4.0270162000000003</v>
      </c>
      <c r="T99" s="12">
        <v>3</v>
      </c>
      <c r="U99" s="12">
        <v>106.5366667</v>
      </c>
      <c r="V99" s="12">
        <v>0.99502729999999995</v>
      </c>
      <c r="W99" s="12">
        <v>3.3311978999999998</v>
      </c>
      <c r="X99" s="12">
        <v>56.236758500000001</v>
      </c>
      <c r="Y99" s="12">
        <v>29.941672100000002</v>
      </c>
      <c r="Z99" s="12">
        <v>23.964911000000001</v>
      </c>
      <c r="AA99" s="12">
        <v>49.3735876</v>
      </c>
      <c r="AB99" s="12">
        <v>18.6565504</v>
      </c>
      <c r="AC99" s="12">
        <v>9.9728359999999991</v>
      </c>
      <c r="AD99" s="12">
        <v>68.674698800000002</v>
      </c>
      <c r="AE99" s="12">
        <v>46.677087399999998</v>
      </c>
      <c r="AF99" s="12">
        <v>4.0516458999999996</v>
      </c>
      <c r="AG99" s="12">
        <v>78.415725300000005</v>
      </c>
    </row>
    <row r="100" spans="1:33" s="11" customFormat="1" outlineLevel="1" x14ac:dyDescent="0.3">
      <c r="A100" s="11" t="s">
        <v>106</v>
      </c>
      <c r="B100" s="12">
        <v>5.3916862999999999</v>
      </c>
      <c r="C100" s="12">
        <v>111.5333333</v>
      </c>
      <c r="D100" s="12">
        <v>4.9396268000000001</v>
      </c>
      <c r="E100" s="17">
        <v>0</v>
      </c>
      <c r="F100" s="13">
        <v>79.586666699999995</v>
      </c>
      <c r="G100" s="12">
        <v>2.1508034999999999</v>
      </c>
      <c r="H100" s="12">
        <v>10.135354599999999</v>
      </c>
      <c r="I100" s="12">
        <v>-4.8880122999999998</v>
      </c>
      <c r="J100" s="12">
        <v>11.6480499</v>
      </c>
      <c r="K100" s="12">
        <v>8.2332383999999994</v>
      </c>
      <c r="L100" s="12">
        <v>13.667998900000001</v>
      </c>
      <c r="M100" s="12">
        <v>14.0873551</v>
      </c>
      <c r="N100" s="12">
        <v>24.9826169</v>
      </c>
      <c r="O100" s="12">
        <v>20.0287869</v>
      </c>
      <c r="P100" s="7">
        <v>1692.8</v>
      </c>
      <c r="Q100" s="7">
        <v>114.9</v>
      </c>
      <c r="R100" s="7">
        <v>6.4</v>
      </c>
      <c r="S100" s="12">
        <v>4.8818840999999997</v>
      </c>
      <c r="T100" s="12">
        <v>3</v>
      </c>
      <c r="U100" s="12">
        <v>108.0466667</v>
      </c>
      <c r="V100" s="12">
        <v>0.9977703</v>
      </c>
      <c r="W100" s="12">
        <v>4.0425532000000004</v>
      </c>
      <c r="X100" s="12">
        <v>36.888710000000003</v>
      </c>
      <c r="Y100" s="12">
        <v>33.374498299999999</v>
      </c>
      <c r="Z100" s="12">
        <v>-7.6915769000000003</v>
      </c>
      <c r="AA100" s="12">
        <v>61.1874039</v>
      </c>
      <c r="AB100" s="12">
        <v>25.2811393</v>
      </c>
      <c r="AC100" s="12">
        <v>25.7852511</v>
      </c>
      <c r="AD100" s="12">
        <v>45.343986100000002</v>
      </c>
      <c r="AE100" s="12">
        <v>57.597780299999997</v>
      </c>
      <c r="AF100" s="12">
        <v>3.8941639000000001</v>
      </c>
      <c r="AG100" s="12">
        <v>78.121244099999998</v>
      </c>
    </row>
    <row r="101" spans="1:33" outlineLevel="1" x14ac:dyDescent="0.3">
      <c r="A101" t="s">
        <v>108</v>
      </c>
      <c r="B101" s="12">
        <v>5.7284746999999996</v>
      </c>
      <c r="C101" s="12">
        <v>114.2266667</v>
      </c>
      <c r="D101" s="12">
        <v>6.5447875</v>
      </c>
      <c r="E101" s="17">
        <v>0</v>
      </c>
      <c r="F101" s="12">
        <v>100.2966667</v>
      </c>
      <c r="G101" s="12">
        <v>-2.0107118000000002</v>
      </c>
      <c r="H101" s="12">
        <v>7.4485650999999997</v>
      </c>
      <c r="I101" s="12">
        <v>-0.30117709999999998</v>
      </c>
      <c r="J101" s="12">
        <v>7.8006659000000003</v>
      </c>
      <c r="K101" s="12">
        <v>7.1995411000000002</v>
      </c>
      <c r="L101" s="12">
        <v>4.5891769</v>
      </c>
      <c r="M101" s="12">
        <v>30.480293799999998</v>
      </c>
      <c r="N101" s="12">
        <v>26.3316774</v>
      </c>
      <c r="O101" s="12">
        <v>29.692740499999999</v>
      </c>
      <c r="P101" s="7">
        <v>1689.9</v>
      </c>
      <c r="Q101" s="7">
        <v>129.80000000000001</v>
      </c>
      <c r="R101" s="7">
        <v>7.2</v>
      </c>
      <c r="S101" s="12">
        <v>6.9547483999999997</v>
      </c>
      <c r="T101" s="12">
        <v>3</v>
      </c>
      <c r="U101" s="12">
        <v>110.16333330000001</v>
      </c>
      <c r="V101" s="12">
        <v>1.0011547000000001</v>
      </c>
      <c r="W101" s="12">
        <v>3.4019974999999998</v>
      </c>
      <c r="X101" s="12">
        <v>36.920642100000002</v>
      </c>
      <c r="Y101" s="12">
        <v>46.875</v>
      </c>
      <c r="Z101" s="12">
        <v>-20.7378143</v>
      </c>
      <c r="AA101" s="12">
        <v>63.082068999999997</v>
      </c>
      <c r="AB101" s="12">
        <v>22.960322600000001</v>
      </c>
      <c r="AC101" s="12">
        <v>39.001367700000003</v>
      </c>
      <c r="AD101" s="12">
        <v>42.937220500000002</v>
      </c>
      <c r="AE101" s="12">
        <v>67.9809798</v>
      </c>
      <c r="AF101" s="12">
        <v>4.0941685000000003</v>
      </c>
      <c r="AG101" s="12">
        <v>66.890316799999994</v>
      </c>
    </row>
    <row r="102" spans="1:33" outlineLevel="1" x14ac:dyDescent="0.3">
      <c r="A102" t="s">
        <v>109</v>
      </c>
      <c r="B102" s="12">
        <v>4.2015890999999996</v>
      </c>
      <c r="C102" s="12">
        <v>118.4333333</v>
      </c>
      <c r="D102" s="12">
        <v>8.8341604</v>
      </c>
      <c r="E102" s="17">
        <v>0</v>
      </c>
      <c r="F102" s="12">
        <v>113.5433333</v>
      </c>
      <c r="G102" s="12">
        <v>-0.21446290000000001</v>
      </c>
      <c r="H102" s="12">
        <v>14.837008300000001</v>
      </c>
      <c r="I102" s="12">
        <v>1.4270867</v>
      </c>
      <c r="J102" s="12">
        <v>9.2604754000000007</v>
      </c>
      <c r="K102" s="12">
        <v>9.5809539000000008</v>
      </c>
      <c r="L102" s="12">
        <v>-2.2493278000000001</v>
      </c>
      <c r="M102" s="12">
        <v>4.7244533999999998</v>
      </c>
      <c r="N102" s="12">
        <v>41.804271100000001</v>
      </c>
      <c r="O102" s="12">
        <v>27.823256900000001</v>
      </c>
      <c r="P102" s="7">
        <v>1709.2</v>
      </c>
      <c r="Q102" s="7">
        <v>133.80000000000001</v>
      </c>
      <c r="R102" s="7">
        <v>7.3</v>
      </c>
      <c r="S102" s="12">
        <v>8.4304246999999997</v>
      </c>
      <c r="T102" s="12">
        <v>3</v>
      </c>
      <c r="U102" s="12">
        <v>116.45</v>
      </c>
      <c r="V102" s="12">
        <v>1.0006636</v>
      </c>
      <c r="W102" s="12">
        <v>2.1615131000000001</v>
      </c>
      <c r="X102" s="12">
        <v>54.560367499999998</v>
      </c>
      <c r="Y102" s="12">
        <v>47.870074500000001</v>
      </c>
      <c r="Z102" s="12">
        <v>-7.2322807999999998</v>
      </c>
      <c r="AA102" s="12">
        <v>59.779671499999999</v>
      </c>
      <c r="AB102" s="12">
        <v>20.9733646</v>
      </c>
      <c r="AC102" s="12">
        <v>29.265077099999999</v>
      </c>
      <c r="AD102" s="12">
        <v>55.974700800000001</v>
      </c>
      <c r="AE102" s="12">
        <v>65.992220200000006</v>
      </c>
      <c r="AF102" s="12">
        <v>5.4187453000000003</v>
      </c>
      <c r="AG102" s="12">
        <v>67.106368099999997</v>
      </c>
    </row>
    <row r="103" spans="1:33" outlineLevel="1" x14ac:dyDescent="0.3">
      <c r="A103" t="s">
        <v>110</v>
      </c>
      <c r="B103" s="12">
        <v>2.5907767000000002</v>
      </c>
      <c r="C103" s="12">
        <v>120.83</v>
      </c>
      <c r="D103" s="12">
        <v>10.289956500000001</v>
      </c>
      <c r="E103" s="17">
        <v>1.25</v>
      </c>
      <c r="F103" s="12">
        <v>100.7133333</v>
      </c>
      <c r="G103" s="12">
        <v>10.1095551</v>
      </c>
      <c r="H103" s="12">
        <v>11.403964500000001</v>
      </c>
      <c r="I103" s="12">
        <v>3.9668893000000001</v>
      </c>
      <c r="J103" s="12">
        <v>5.5260739000000001</v>
      </c>
      <c r="K103" s="12">
        <v>6.8521361000000001</v>
      </c>
      <c r="L103" s="12">
        <v>2.5282391</v>
      </c>
      <c r="M103" s="12">
        <v>-10.2401578</v>
      </c>
      <c r="N103" s="12">
        <v>24.084801299999999</v>
      </c>
      <c r="O103" s="12">
        <v>31.663631299999999</v>
      </c>
      <c r="P103" s="7">
        <v>1709.6</v>
      </c>
      <c r="Q103" s="7">
        <v>122.9</v>
      </c>
      <c r="R103" s="7">
        <v>6.7</v>
      </c>
      <c r="S103" s="12">
        <v>8.5485898000000002</v>
      </c>
      <c r="T103" s="12">
        <v>3</v>
      </c>
      <c r="U103" s="12">
        <v>119.9533333</v>
      </c>
      <c r="V103" s="12">
        <v>0.99783219999999995</v>
      </c>
      <c r="W103" s="12">
        <v>1.7048977999999999</v>
      </c>
      <c r="X103" s="12">
        <v>35.723366400000003</v>
      </c>
      <c r="Y103" s="12">
        <v>52.344139699999999</v>
      </c>
      <c r="Z103" s="12">
        <v>20.208990700000001</v>
      </c>
      <c r="AA103" s="12">
        <v>51.724260399999999</v>
      </c>
      <c r="AB103" s="12">
        <v>17.267456899999999</v>
      </c>
      <c r="AC103" s="12">
        <v>11.8068341</v>
      </c>
      <c r="AD103" s="12">
        <v>81.004985899999994</v>
      </c>
      <c r="AE103" s="12">
        <v>61.804044500000003</v>
      </c>
      <c r="AF103" s="12">
        <v>5.1216274999999998</v>
      </c>
      <c r="AG103" s="12">
        <v>67.375954300000004</v>
      </c>
    </row>
    <row r="104" spans="1:33" outlineLevel="1" x14ac:dyDescent="0.3">
      <c r="A104" t="s">
        <v>111</v>
      </c>
      <c r="B104" s="12">
        <v>1.4006327999999999</v>
      </c>
      <c r="C104" s="12">
        <v>123.8</v>
      </c>
      <c r="D104" s="12">
        <v>10.9982068</v>
      </c>
      <c r="E104" s="17">
        <v>2.5</v>
      </c>
      <c r="F104" s="12">
        <v>88.556666699999994</v>
      </c>
      <c r="G104" s="12">
        <v>21.0207877</v>
      </c>
      <c r="H104" s="12">
        <v>20.748065199999999</v>
      </c>
      <c r="I104" s="12">
        <v>-5.2182645000000001</v>
      </c>
      <c r="J104" s="12">
        <v>3.2385316</v>
      </c>
      <c r="K104" s="12">
        <v>3.3293072000000001</v>
      </c>
      <c r="L104" s="12">
        <v>5.9016095000000002</v>
      </c>
      <c r="M104" s="12">
        <v>5.8253573999999997</v>
      </c>
      <c r="N104" s="12">
        <v>18.8467454</v>
      </c>
      <c r="O104" s="12">
        <v>17.746350400000001</v>
      </c>
      <c r="P104" s="7">
        <v>1719.4</v>
      </c>
      <c r="Q104" s="7">
        <v>124.4</v>
      </c>
      <c r="R104" s="7">
        <v>6.8</v>
      </c>
      <c r="S104" s="12">
        <v>9.2261594000000002</v>
      </c>
      <c r="T104" s="12">
        <v>3</v>
      </c>
      <c r="U104" s="12">
        <v>121.86333329999999</v>
      </c>
      <c r="V104" s="12">
        <v>1.0006060999999999</v>
      </c>
      <c r="W104" s="12">
        <v>-2.2494888</v>
      </c>
      <c r="X104" s="12">
        <v>28.976771500000002</v>
      </c>
      <c r="Y104" s="12">
        <v>33.599536999999998</v>
      </c>
      <c r="Z104" s="12">
        <v>-10.0882918</v>
      </c>
      <c r="AA104" s="12">
        <v>61.948567599999997</v>
      </c>
      <c r="AB104" s="12">
        <v>24.414229299999999</v>
      </c>
      <c r="AC104" s="12">
        <v>29.626722699999998</v>
      </c>
      <c r="AD104" s="12">
        <v>50.635402499999998</v>
      </c>
      <c r="AE104" s="12">
        <v>66.623767900000004</v>
      </c>
      <c r="AF104" s="12">
        <v>5.3837858000000001</v>
      </c>
      <c r="AG104" s="12">
        <v>68.163240099999996</v>
      </c>
    </row>
    <row r="105" spans="1:33" x14ac:dyDescent="0.3">
      <c r="A105" t="s">
        <v>112</v>
      </c>
      <c r="B105" s="12">
        <v>1.3448477999999999</v>
      </c>
      <c r="C105" s="12">
        <v>124.9666667</v>
      </c>
      <c r="D105" s="12">
        <v>9.4023579000000002</v>
      </c>
      <c r="E105" s="17">
        <v>3.5</v>
      </c>
      <c r="F105" s="12">
        <v>81.173333299999996</v>
      </c>
      <c r="G105" s="12">
        <v>18.855537600000002</v>
      </c>
      <c r="H105" s="12">
        <v>15.5640588</v>
      </c>
      <c r="I105" s="12">
        <v>-1.6378227999999999</v>
      </c>
      <c r="J105" s="12">
        <v>1.6075987</v>
      </c>
      <c r="K105" s="12">
        <v>1.9328780000000001</v>
      </c>
      <c r="L105" s="12">
        <v>2.6326874</v>
      </c>
      <c r="M105" s="12">
        <v>-13.8706675</v>
      </c>
      <c r="N105" s="12">
        <v>9.8346158999999993</v>
      </c>
      <c r="O105" s="12">
        <v>0.71086269999999996</v>
      </c>
      <c r="P105" s="7">
        <v>1582.3</v>
      </c>
      <c r="Q105" s="7">
        <v>125.1</v>
      </c>
      <c r="R105" s="7">
        <v>7.3</v>
      </c>
      <c r="S105" s="12">
        <v>13.3679822</v>
      </c>
      <c r="T105" s="12">
        <v>3.5</v>
      </c>
      <c r="U105" s="12">
        <v>122.91666669999999</v>
      </c>
      <c r="V105" s="12">
        <v>1</v>
      </c>
      <c r="W105" s="12">
        <v>-0.90552370000000004</v>
      </c>
      <c r="X105" s="12">
        <v>19.435270800000001</v>
      </c>
      <c r="Y105" s="12">
        <v>9.8456404000000006</v>
      </c>
      <c r="Z105" s="12">
        <v>-16.675225999999999</v>
      </c>
      <c r="AA105" s="12">
        <v>62.328220399999999</v>
      </c>
      <c r="AB105" s="12">
        <v>22.324384200000001</v>
      </c>
      <c r="AC105" s="12">
        <v>35.267329599999997</v>
      </c>
      <c r="AD105" s="12">
        <v>44.9835104</v>
      </c>
      <c r="AE105" s="12">
        <v>64.9034446</v>
      </c>
      <c r="AF105" s="12">
        <v>6.0131331000000001</v>
      </c>
      <c r="AG105" s="12">
        <v>64.124370900000002</v>
      </c>
    </row>
    <row r="106" spans="1:33" x14ac:dyDescent="0.3">
      <c r="A106" t="s">
        <v>113</v>
      </c>
      <c r="B106" s="12">
        <v>0.20197219999999999</v>
      </c>
      <c r="C106" s="12">
        <v>126.9766667</v>
      </c>
      <c r="D106" s="12">
        <v>7.2136222999999999</v>
      </c>
      <c r="E106" s="17">
        <v>4</v>
      </c>
      <c r="F106" s="12">
        <v>78.316666699999999</v>
      </c>
      <c r="G106" s="12">
        <v>26.108332900000001</v>
      </c>
      <c r="H106" s="12">
        <v>23.2066421</v>
      </c>
      <c r="I106" s="12">
        <v>0.47504550000000001</v>
      </c>
      <c r="J106" s="12">
        <v>2.5534561</v>
      </c>
      <c r="K106" s="12">
        <v>2.1303567000000001</v>
      </c>
      <c r="L106" s="12">
        <v>6.7757949999999996</v>
      </c>
      <c r="M106" s="12">
        <v>-4.5539281000000003</v>
      </c>
      <c r="N106" s="12">
        <v>-0.6719465</v>
      </c>
      <c r="O106" s="12">
        <v>-1.6466715999999999</v>
      </c>
      <c r="P106" s="7">
        <v>1610.5</v>
      </c>
      <c r="Q106" s="7">
        <v>95.3</v>
      </c>
      <c r="R106" s="7">
        <v>5.6</v>
      </c>
      <c r="S106" s="12">
        <v>13.5600459</v>
      </c>
      <c r="T106" s="12">
        <v>4</v>
      </c>
      <c r="U106" s="12">
        <v>126.3166667</v>
      </c>
      <c r="V106" s="12">
        <v>1</v>
      </c>
      <c r="W106" s="12">
        <v>-0.67587419999999998</v>
      </c>
      <c r="X106" s="12">
        <v>3.6404160000000001</v>
      </c>
      <c r="Y106" s="12">
        <v>1.1253150999999999</v>
      </c>
      <c r="Z106" s="12">
        <v>-4.4638355000000001</v>
      </c>
      <c r="AA106" s="12">
        <v>59.0096761</v>
      </c>
      <c r="AB106" s="12">
        <v>21.4943499</v>
      </c>
      <c r="AC106" s="12">
        <v>26.595648700000002</v>
      </c>
      <c r="AD106" s="12">
        <v>51.870193100000002</v>
      </c>
      <c r="AE106" s="12">
        <v>58.969867800000003</v>
      </c>
      <c r="AF106" s="12">
        <v>6.6077136999999997</v>
      </c>
      <c r="AG106" s="12">
        <v>63.459602599999997</v>
      </c>
    </row>
    <row r="107" spans="1:33" x14ac:dyDescent="0.3">
      <c r="A107" t="s">
        <v>114</v>
      </c>
      <c r="B107" s="12">
        <v>-0.19771859999999999</v>
      </c>
      <c r="C107" s="12">
        <v>127.6866667</v>
      </c>
      <c r="D107" s="12">
        <v>5.6746392999999999</v>
      </c>
      <c r="E107" s="17">
        <v>4.5</v>
      </c>
      <c r="F107" s="12">
        <v>86.66</v>
      </c>
      <c r="G107" s="12">
        <v>12.991543500000001</v>
      </c>
      <c r="H107" s="12">
        <v>18.243508599999998</v>
      </c>
      <c r="I107" s="12">
        <v>5.9292843</v>
      </c>
      <c r="J107" s="12">
        <v>2.7499234000000001</v>
      </c>
      <c r="K107" s="12">
        <v>3.0070508</v>
      </c>
      <c r="L107" s="12">
        <v>2.0894490999999999</v>
      </c>
      <c r="M107" s="12">
        <v>28.473911300000001</v>
      </c>
      <c r="N107" s="12">
        <v>-8.4794482999999996</v>
      </c>
      <c r="O107" s="12">
        <v>-12.102964099999999</v>
      </c>
      <c r="P107" s="7">
        <v>1602.4</v>
      </c>
      <c r="Q107" s="7">
        <v>93.2</v>
      </c>
      <c r="R107" s="7">
        <v>5.5</v>
      </c>
      <c r="S107" s="12">
        <v>16.057031200000001</v>
      </c>
      <c r="T107" s="12">
        <v>4.5</v>
      </c>
      <c r="U107" s="12">
        <v>129.50333330000001</v>
      </c>
      <c r="V107" s="12">
        <v>1</v>
      </c>
      <c r="W107" s="12">
        <v>-0.60957030000000001</v>
      </c>
      <c r="X107" s="12">
        <v>-1.7297365</v>
      </c>
      <c r="Y107" s="12">
        <v>-12.137829399999999</v>
      </c>
      <c r="Z107" s="12">
        <v>23.6457166</v>
      </c>
      <c r="AA107" s="12">
        <v>51.086681400000003</v>
      </c>
      <c r="AB107" s="12">
        <v>17.648175599999998</v>
      </c>
      <c r="AC107" s="12">
        <v>8.6713015000000002</v>
      </c>
      <c r="AD107" s="12">
        <v>70.768542299999993</v>
      </c>
      <c r="AE107" s="12">
        <v>48.174700799999997</v>
      </c>
      <c r="AF107" s="12">
        <v>8.2735035999999997</v>
      </c>
      <c r="AG107" s="12">
        <v>63.458542999999999</v>
      </c>
    </row>
    <row r="108" spans="1:33" x14ac:dyDescent="0.3">
      <c r="A108" t="s">
        <v>115</v>
      </c>
      <c r="B108" s="7" t="s">
        <v>107</v>
      </c>
      <c r="C108" s="12">
        <v>127.9933333</v>
      </c>
      <c r="D108" s="12">
        <v>3.3871836000000002</v>
      </c>
      <c r="E108" s="17">
        <v>4.5</v>
      </c>
      <c r="F108" s="12">
        <v>83.723333299999993</v>
      </c>
      <c r="G108" s="7" t="s">
        <v>107</v>
      </c>
      <c r="H108" s="7" t="s">
        <v>107</v>
      </c>
      <c r="I108" s="7" t="s">
        <v>107</v>
      </c>
      <c r="J108" s="7" t="s">
        <v>107</v>
      </c>
      <c r="K108" s="7" t="s">
        <v>107</v>
      </c>
      <c r="L108" s="7" t="s">
        <v>107</v>
      </c>
      <c r="M108" s="7" t="s">
        <v>107</v>
      </c>
      <c r="N108" s="7" t="s">
        <v>107</v>
      </c>
      <c r="O108" s="7" t="s">
        <v>107</v>
      </c>
      <c r="P108" s="7" t="s">
        <v>107</v>
      </c>
      <c r="Q108" s="7" t="s">
        <v>107</v>
      </c>
      <c r="R108" s="7" t="s">
        <v>107</v>
      </c>
      <c r="S108" s="7" t="s">
        <v>107</v>
      </c>
      <c r="T108" s="12">
        <v>4.5</v>
      </c>
      <c r="U108" s="12">
        <v>129.01</v>
      </c>
      <c r="V108" s="12">
        <v>1</v>
      </c>
      <c r="W108" s="7" t="s">
        <v>107</v>
      </c>
      <c r="X108" s="7" t="s">
        <v>107</v>
      </c>
      <c r="Y108" s="7" t="s">
        <v>107</v>
      </c>
      <c r="Z108" s="7" t="s">
        <v>107</v>
      </c>
      <c r="AA108" s="7" t="s">
        <v>107</v>
      </c>
      <c r="AB108" s="7" t="s">
        <v>107</v>
      </c>
      <c r="AC108" s="7" t="s">
        <v>107</v>
      </c>
      <c r="AD108" s="7" t="s">
        <v>107</v>
      </c>
      <c r="AE108" s="7" t="s">
        <v>107</v>
      </c>
      <c r="AF108" s="12">
        <v>9.9221775999999995</v>
      </c>
      <c r="AG108" s="7" t="s">
        <v>107</v>
      </c>
    </row>
  </sheetData>
  <pageMargins left="0.7" right="0.7" top="0.75" bottom="0.75" header="0.3" footer="0.3"/>
  <pageSetup paperSize="9" orientation="portrait" horizontalDpi="90" verticalDpi="9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AC077-D345-4432-B00E-663067204BD3}">
  <sheetPr codeName="Tabelle12">
    <tabColor rgb="FFFFC000"/>
  </sheetPr>
  <dimension ref="A1:AG108"/>
  <sheetViews>
    <sheetView workbookViewId="0">
      <pane xSplit="1" ySplit="12" topLeftCell="Z13" activePane="bottomRight" state="frozen"/>
      <selection activeCell="E12" sqref="E12"/>
      <selection pane="topRight" activeCell="E12" sqref="E12"/>
      <selection pane="bottomLeft" activeCell="E12" sqref="E12"/>
      <selection pane="bottomRight" activeCell="AG1" sqref="AG1"/>
    </sheetView>
  </sheetViews>
  <sheetFormatPr defaultColWidth="9.109375" defaultRowHeight="14.4" outlineLevelRow="1" x14ac:dyDescent="0.3"/>
  <cols>
    <col min="2" max="2" width="11.5546875" bestFit="1" customWidth="1"/>
    <col min="4" max="4" width="12.44140625" customWidth="1"/>
    <col min="7" max="7" width="12.44140625" bestFit="1" customWidth="1"/>
    <col min="8" max="8" width="12.33203125" customWidth="1"/>
    <col min="18" max="18" width="11.109375" bestFit="1" customWidth="1"/>
    <col min="19" max="19" width="12.44140625" bestFit="1" customWidth="1"/>
    <col min="24" max="24" width="12.5546875" bestFit="1" customWidth="1"/>
    <col min="25" max="25" width="12.6640625" bestFit="1" customWidth="1"/>
    <col min="27" max="27" width="13.6640625" customWidth="1"/>
  </cols>
  <sheetData>
    <row r="1" spans="1:33" s="8" customFormat="1" x14ac:dyDescent="0.3">
      <c r="A1" s="8" t="s">
        <v>0</v>
      </c>
      <c r="B1" s="8" t="s">
        <v>1</v>
      </c>
      <c r="C1" s="8" t="s">
        <v>2</v>
      </c>
      <c r="D1" s="8" t="s">
        <v>3</v>
      </c>
      <c r="E1" s="14" t="s">
        <v>4</v>
      </c>
      <c r="F1" s="8" t="s">
        <v>5</v>
      </c>
      <c r="G1" s="8" t="s">
        <v>6</v>
      </c>
      <c r="H1" s="8" t="s">
        <v>254</v>
      </c>
      <c r="I1" s="8" t="s">
        <v>7</v>
      </c>
      <c r="J1" s="8" t="s">
        <v>230</v>
      </c>
      <c r="K1" s="8" t="s">
        <v>231</v>
      </c>
      <c r="L1" s="8" t="s">
        <v>232</v>
      </c>
      <c r="M1" s="8" t="s">
        <v>233</v>
      </c>
      <c r="N1" s="8" t="s">
        <v>234</v>
      </c>
      <c r="O1" s="8" t="s">
        <v>235</v>
      </c>
      <c r="P1" s="8" t="s">
        <v>8</v>
      </c>
      <c r="Q1" s="8" t="s">
        <v>9</v>
      </c>
      <c r="R1" s="8" t="s">
        <v>10</v>
      </c>
      <c r="S1" s="8" t="s">
        <v>11</v>
      </c>
      <c r="T1" s="14" t="s">
        <v>12</v>
      </c>
      <c r="U1" s="8" t="s">
        <v>13</v>
      </c>
      <c r="V1" s="8" t="s">
        <v>14</v>
      </c>
      <c r="W1" s="8" t="s">
        <v>15</v>
      </c>
      <c r="X1" s="8" t="s">
        <v>16</v>
      </c>
      <c r="Y1" s="8" t="s">
        <v>17</v>
      </c>
      <c r="Z1" s="8" t="s">
        <v>18</v>
      </c>
      <c r="AA1" s="9" t="s">
        <v>248</v>
      </c>
      <c r="AB1" s="8" t="s">
        <v>236</v>
      </c>
      <c r="AC1" s="8" t="s">
        <v>237</v>
      </c>
      <c r="AD1" s="8" t="s">
        <v>238</v>
      </c>
      <c r="AE1" s="8" t="s">
        <v>239</v>
      </c>
      <c r="AF1" s="14" t="s">
        <v>255</v>
      </c>
      <c r="AG1" s="14" t="s">
        <v>1317</v>
      </c>
    </row>
    <row r="2" spans="1:33" s="10" customFormat="1" outlineLevel="1" x14ac:dyDescent="0.3">
      <c r="A2" s="16" t="s">
        <v>1292</v>
      </c>
      <c r="B2" s="26"/>
      <c r="C2" s="26"/>
      <c r="D2" s="26" t="s">
        <v>198</v>
      </c>
      <c r="E2" s="26"/>
      <c r="F2" s="26"/>
      <c r="G2" s="26" t="s">
        <v>703</v>
      </c>
      <c r="H2" s="26" t="s">
        <v>707</v>
      </c>
      <c r="I2" s="26"/>
      <c r="J2" s="26" t="s">
        <v>710</v>
      </c>
      <c r="K2" s="26" t="s">
        <v>712</v>
      </c>
      <c r="L2" s="26" t="s">
        <v>714</v>
      </c>
      <c r="M2" s="26" t="s">
        <v>716</v>
      </c>
      <c r="N2" s="26" t="s">
        <v>718</v>
      </c>
      <c r="O2" s="26" t="s">
        <v>720</v>
      </c>
      <c r="P2" s="26"/>
      <c r="Q2" s="26"/>
      <c r="R2" s="26"/>
      <c r="S2" s="26" t="s">
        <v>725</v>
      </c>
      <c r="T2" s="26"/>
      <c r="U2" s="26"/>
      <c r="V2" s="26"/>
      <c r="W2" s="26" t="s">
        <v>731</v>
      </c>
      <c r="X2" s="26" t="s">
        <v>734</v>
      </c>
      <c r="Y2" s="26" t="s">
        <v>736</v>
      </c>
      <c r="Z2" s="26"/>
      <c r="AA2" s="26" t="s">
        <v>739</v>
      </c>
      <c r="AB2" s="26"/>
      <c r="AC2" s="26"/>
      <c r="AD2" s="26"/>
      <c r="AE2" s="26"/>
      <c r="AF2" s="26" t="s">
        <v>898</v>
      </c>
      <c r="AG2" s="26"/>
    </row>
    <row r="3" spans="1:33" outlineLevel="1" x14ac:dyDescent="0.3">
      <c r="A3" s="16" t="s">
        <v>1293</v>
      </c>
      <c r="B3" s="27" t="s">
        <v>123</v>
      </c>
      <c r="C3" s="27" t="s">
        <v>195</v>
      </c>
      <c r="D3" s="27" t="s">
        <v>195</v>
      </c>
      <c r="E3" s="27" t="s">
        <v>186</v>
      </c>
      <c r="F3" s="27" t="s">
        <v>125</v>
      </c>
      <c r="G3" s="27" t="s">
        <v>277</v>
      </c>
      <c r="H3" s="27" t="s">
        <v>277</v>
      </c>
      <c r="I3" s="27" t="s">
        <v>277</v>
      </c>
      <c r="J3" s="27" t="s">
        <v>123</v>
      </c>
      <c r="K3" s="27" t="s">
        <v>125</v>
      </c>
      <c r="L3" s="27" t="s">
        <v>125</v>
      </c>
      <c r="M3" s="27" t="s">
        <v>125</v>
      </c>
      <c r="N3" s="27" t="s">
        <v>125</v>
      </c>
      <c r="O3" s="27" t="s">
        <v>125</v>
      </c>
      <c r="P3" s="27" t="s">
        <v>1267</v>
      </c>
      <c r="Q3" s="27" t="s">
        <v>1267</v>
      </c>
      <c r="R3" s="27" t="s">
        <v>1267</v>
      </c>
      <c r="S3" s="27" t="s">
        <v>727</v>
      </c>
      <c r="T3" s="27" t="s">
        <v>728</v>
      </c>
      <c r="U3" s="27" t="s">
        <v>195</v>
      </c>
      <c r="V3" s="27" t="s">
        <v>284</v>
      </c>
      <c r="W3" s="27" t="s">
        <v>733</v>
      </c>
      <c r="X3" s="27" t="s">
        <v>207</v>
      </c>
      <c r="Y3" s="27" t="s">
        <v>207</v>
      </c>
      <c r="Z3" s="27" t="s">
        <v>203</v>
      </c>
      <c r="AA3" s="27" t="s">
        <v>125</v>
      </c>
      <c r="AB3" s="27" t="s">
        <v>125</v>
      </c>
      <c r="AC3" s="27" t="s">
        <v>125</v>
      </c>
      <c r="AD3" s="27" t="s">
        <v>125</v>
      </c>
      <c r="AE3" s="27" t="s">
        <v>125</v>
      </c>
      <c r="AF3" s="27" t="s">
        <v>745</v>
      </c>
      <c r="AG3" s="27" t="s">
        <v>125</v>
      </c>
    </row>
    <row r="4" spans="1:33" outlineLevel="1" x14ac:dyDescent="0.3">
      <c r="A4" s="16" t="s">
        <v>1288</v>
      </c>
      <c r="B4" s="2">
        <v>144396</v>
      </c>
      <c r="C4" s="2">
        <v>77811</v>
      </c>
      <c r="D4" s="2">
        <v>77812</v>
      </c>
      <c r="E4" s="2">
        <v>144399</v>
      </c>
      <c r="F4" s="27">
        <v>101874</v>
      </c>
      <c r="G4" s="2">
        <v>32806</v>
      </c>
      <c r="H4" s="2">
        <v>32805</v>
      </c>
      <c r="I4" s="2">
        <v>89170</v>
      </c>
      <c r="J4" s="2">
        <v>88668</v>
      </c>
      <c r="K4" s="27">
        <v>90876</v>
      </c>
      <c r="L4" s="27">
        <v>90920</v>
      </c>
      <c r="M4" s="27">
        <v>90942</v>
      </c>
      <c r="N4" s="27">
        <v>90986</v>
      </c>
      <c r="O4" s="27">
        <v>91008</v>
      </c>
      <c r="P4" s="2">
        <v>32651</v>
      </c>
      <c r="Q4" s="2">
        <v>32681</v>
      </c>
      <c r="R4" s="2">
        <v>32698</v>
      </c>
      <c r="S4" s="2">
        <v>315</v>
      </c>
      <c r="T4" s="2">
        <v>784</v>
      </c>
      <c r="U4" s="2">
        <v>572</v>
      </c>
      <c r="V4" s="2">
        <v>964</v>
      </c>
      <c r="W4" s="2">
        <v>32210</v>
      </c>
      <c r="X4" s="2">
        <v>87275</v>
      </c>
      <c r="Y4" s="2">
        <v>87312</v>
      </c>
      <c r="Z4" s="2">
        <v>88745</v>
      </c>
      <c r="AA4" s="27">
        <v>90348</v>
      </c>
      <c r="AB4" s="27">
        <v>90392</v>
      </c>
      <c r="AC4" s="27">
        <v>90414</v>
      </c>
      <c r="AD4" s="27">
        <v>90502</v>
      </c>
      <c r="AE4" s="27">
        <v>90524</v>
      </c>
      <c r="AF4" s="2">
        <v>89622</v>
      </c>
      <c r="AG4" s="27">
        <v>144770</v>
      </c>
    </row>
    <row r="5" spans="1:33" outlineLevel="1" x14ac:dyDescent="0.3">
      <c r="A5" t="s">
        <v>1291</v>
      </c>
      <c r="B5" s="27" t="s">
        <v>221</v>
      </c>
      <c r="C5" s="27" t="s">
        <v>194</v>
      </c>
      <c r="D5" s="27" t="s">
        <v>199</v>
      </c>
      <c r="E5" s="27" t="s">
        <v>253</v>
      </c>
      <c r="F5" s="27" t="s">
        <v>189</v>
      </c>
      <c r="G5" s="27" t="s">
        <v>704</v>
      </c>
      <c r="H5" s="27" t="s">
        <v>708</v>
      </c>
      <c r="I5" s="27" t="s">
        <v>709</v>
      </c>
      <c r="J5" s="27" t="s">
        <v>711</v>
      </c>
      <c r="K5" s="27" t="s">
        <v>713</v>
      </c>
      <c r="L5" s="27" t="s">
        <v>715</v>
      </c>
      <c r="M5" s="27" t="s">
        <v>717</v>
      </c>
      <c r="N5" s="27" t="s">
        <v>719</v>
      </c>
      <c r="O5" s="27" t="s">
        <v>721</v>
      </c>
      <c r="P5" s="27" t="s">
        <v>722</v>
      </c>
      <c r="Q5" s="27" t="s">
        <v>723</v>
      </c>
      <c r="R5" s="27" t="s">
        <v>724</v>
      </c>
      <c r="S5" s="27" t="s">
        <v>726</v>
      </c>
      <c r="T5" s="27" t="s">
        <v>1301</v>
      </c>
      <c r="U5" s="27" t="s">
        <v>729</v>
      </c>
      <c r="V5" s="27" t="s">
        <v>730</v>
      </c>
      <c r="W5" s="27" t="s">
        <v>732</v>
      </c>
      <c r="X5" s="27" t="s">
        <v>735</v>
      </c>
      <c r="Y5" s="27" t="s">
        <v>737</v>
      </c>
      <c r="Z5" s="27" t="s">
        <v>738</v>
      </c>
      <c r="AA5" s="27" t="s">
        <v>740</v>
      </c>
      <c r="AB5" s="27" t="s">
        <v>741</v>
      </c>
      <c r="AC5" s="27" t="s">
        <v>742</v>
      </c>
      <c r="AD5" s="27" t="s">
        <v>743</v>
      </c>
      <c r="AE5" s="27" t="s">
        <v>744</v>
      </c>
      <c r="AF5" s="27" t="s">
        <v>899</v>
      </c>
      <c r="AG5" s="27" t="s">
        <v>746</v>
      </c>
    </row>
    <row r="6" spans="1:33" outlineLevel="1" x14ac:dyDescent="0.3">
      <c r="A6" t="s">
        <v>1289</v>
      </c>
      <c r="B6" s="27" t="s">
        <v>222</v>
      </c>
      <c r="C6" s="27" t="s">
        <v>196</v>
      </c>
      <c r="D6" s="27" t="s">
        <v>196</v>
      </c>
      <c r="E6" s="27" t="s">
        <v>187</v>
      </c>
      <c r="F6" s="27" t="s">
        <v>190</v>
      </c>
      <c r="G6" s="27" t="s">
        <v>705</v>
      </c>
      <c r="H6" s="27" t="s">
        <v>705</v>
      </c>
      <c r="I6" s="27" t="s">
        <v>705</v>
      </c>
      <c r="J6" s="27" t="s">
        <v>705</v>
      </c>
      <c r="K6" s="27" t="s">
        <v>705</v>
      </c>
      <c r="L6" s="27" t="s">
        <v>705</v>
      </c>
      <c r="M6" s="27" t="s">
        <v>705</v>
      </c>
      <c r="N6" s="27" t="s">
        <v>705</v>
      </c>
      <c r="O6" s="27" t="s">
        <v>705</v>
      </c>
      <c r="P6" s="27" t="s">
        <v>705</v>
      </c>
      <c r="Q6" s="27" t="s">
        <v>705</v>
      </c>
      <c r="R6" s="27" t="s">
        <v>705</v>
      </c>
      <c r="S6" s="27" t="s">
        <v>705</v>
      </c>
      <c r="T6" s="27" t="s">
        <v>705</v>
      </c>
      <c r="U6" s="27" t="s">
        <v>705</v>
      </c>
      <c r="V6" s="27" t="s">
        <v>705</v>
      </c>
      <c r="W6" s="27" t="s">
        <v>705</v>
      </c>
      <c r="X6" s="27" t="s">
        <v>705</v>
      </c>
      <c r="Y6" s="27" t="s">
        <v>705</v>
      </c>
      <c r="Z6" s="27" t="s">
        <v>705</v>
      </c>
      <c r="AA6" s="27" t="s">
        <v>705</v>
      </c>
      <c r="AB6" s="27" t="s">
        <v>705</v>
      </c>
      <c r="AC6" s="27" t="s">
        <v>705</v>
      </c>
      <c r="AD6" s="27" t="s">
        <v>705</v>
      </c>
      <c r="AE6" s="27" t="s">
        <v>705</v>
      </c>
      <c r="AF6" s="27" t="s">
        <v>705</v>
      </c>
      <c r="AG6" s="27" t="s">
        <v>705</v>
      </c>
    </row>
    <row r="7" spans="1:33" outlineLevel="1" x14ac:dyDescent="0.3">
      <c r="A7" t="s">
        <v>1290</v>
      </c>
      <c r="B7" s="27" t="s">
        <v>223</v>
      </c>
      <c r="C7" s="27" t="s">
        <v>197</v>
      </c>
      <c r="D7" s="27" t="s">
        <v>197</v>
      </c>
      <c r="E7" s="27" t="s">
        <v>188</v>
      </c>
      <c r="F7" s="27" t="s">
        <v>191</v>
      </c>
      <c r="G7" s="27" t="s">
        <v>706</v>
      </c>
      <c r="H7" s="27" t="s">
        <v>706</v>
      </c>
      <c r="I7" s="27" t="s">
        <v>706</v>
      </c>
      <c r="J7" s="27" t="s">
        <v>706</v>
      </c>
      <c r="K7" s="27" t="s">
        <v>706</v>
      </c>
      <c r="L7" s="27" t="s">
        <v>706</v>
      </c>
      <c r="M7" s="27" t="s">
        <v>706</v>
      </c>
      <c r="N7" s="27" t="s">
        <v>706</v>
      </c>
      <c r="O7" s="27" t="s">
        <v>706</v>
      </c>
      <c r="P7" s="27" t="s">
        <v>706</v>
      </c>
      <c r="Q7" s="27" t="s">
        <v>706</v>
      </c>
      <c r="R7" s="27" t="s">
        <v>706</v>
      </c>
      <c r="S7" s="27" t="s">
        <v>706</v>
      </c>
      <c r="T7" s="27" t="s">
        <v>706</v>
      </c>
      <c r="U7" s="27" t="s">
        <v>706</v>
      </c>
      <c r="V7" s="27" t="s">
        <v>706</v>
      </c>
      <c r="W7" s="27" t="s">
        <v>706</v>
      </c>
      <c r="X7" s="27" t="s">
        <v>706</v>
      </c>
      <c r="Y7" s="27" t="s">
        <v>706</v>
      </c>
      <c r="Z7" s="27" t="s">
        <v>706</v>
      </c>
      <c r="AA7" s="27" t="s">
        <v>706</v>
      </c>
      <c r="AB7" s="27" t="s">
        <v>706</v>
      </c>
      <c r="AC7" s="27" t="s">
        <v>706</v>
      </c>
      <c r="AD7" s="27" t="s">
        <v>706</v>
      </c>
      <c r="AE7" s="27" t="s">
        <v>706</v>
      </c>
      <c r="AF7" s="27" t="s">
        <v>706</v>
      </c>
      <c r="AG7" s="27" t="s">
        <v>706</v>
      </c>
    </row>
    <row r="8" spans="1:33" outlineLevel="1" x14ac:dyDescent="0.3">
      <c r="A8" s="16" t="s">
        <v>489</v>
      </c>
      <c r="B8" s="27" t="s">
        <v>120</v>
      </c>
      <c r="C8" s="27" t="s">
        <v>163</v>
      </c>
      <c r="D8" s="27" t="s">
        <v>163</v>
      </c>
      <c r="E8" s="27" t="s">
        <v>159</v>
      </c>
      <c r="F8" s="27"/>
      <c r="G8" s="27" t="s">
        <v>290</v>
      </c>
      <c r="H8" s="27" t="s">
        <v>293</v>
      </c>
      <c r="I8" s="27" t="s">
        <v>278</v>
      </c>
      <c r="J8" s="27" t="s">
        <v>120</v>
      </c>
      <c r="K8" s="27" t="s">
        <v>126</v>
      </c>
      <c r="L8" s="27" t="s">
        <v>129</v>
      </c>
      <c r="M8" s="27" t="s">
        <v>132</v>
      </c>
      <c r="N8" s="27" t="s">
        <v>135</v>
      </c>
      <c r="O8" s="27" t="s">
        <v>138</v>
      </c>
      <c r="P8" s="27" t="s">
        <v>141</v>
      </c>
      <c r="Q8" s="27" t="s">
        <v>146</v>
      </c>
      <c r="R8" s="27" t="s">
        <v>149</v>
      </c>
      <c r="S8" s="27" t="s">
        <v>154</v>
      </c>
      <c r="T8" s="27" t="s">
        <v>159</v>
      </c>
      <c r="U8" s="27" t="s">
        <v>163</v>
      </c>
      <c r="V8" s="27" t="s">
        <v>168</v>
      </c>
      <c r="W8" s="27" t="s">
        <v>217</v>
      </c>
      <c r="X8" s="27" t="s">
        <v>208</v>
      </c>
      <c r="Y8" s="27" t="s">
        <v>213</v>
      </c>
      <c r="Z8" s="27" t="s">
        <v>204</v>
      </c>
      <c r="AA8" s="27" t="s">
        <v>126</v>
      </c>
      <c r="AB8" s="27" t="s">
        <v>129</v>
      </c>
      <c r="AC8" s="27" t="s">
        <v>132</v>
      </c>
      <c r="AD8" s="27" t="s">
        <v>135</v>
      </c>
      <c r="AE8" s="27" t="s">
        <v>138</v>
      </c>
      <c r="AF8" s="27" t="s">
        <v>351</v>
      </c>
      <c r="AG8" s="27" t="s">
        <v>402</v>
      </c>
    </row>
    <row r="9" spans="1:33" outlineLevel="1" x14ac:dyDescent="0.3">
      <c r="A9" s="16" t="s">
        <v>490</v>
      </c>
      <c r="B9" s="27" t="s">
        <v>121</v>
      </c>
      <c r="C9" s="27" t="s">
        <v>164</v>
      </c>
      <c r="D9" s="27" t="s">
        <v>164</v>
      </c>
      <c r="E9" s="27" t="s">
        <v>160</v>
      </c>
      <c r="F9" s="27"/>
      <c r="G9" s="27" t="s">
        <v>291</v>
      </c>
      <c r="H9" s="27" t="s">
        <v>294</v>
      </c>
      <c r="I9" s="27" t="s">
        <v>279</v>
      </c>
      <c r="J9" s="27" t="s">
        <v>121</v>
      </c>
      <c r="K9" s="27" t="s">
        <v>127</v>
      </c>
      <c r="L9" s="27" t="s">
        <v>130</v>
      </c>
      <c r="M9" s="27" t="s">
        <v>133</v>
      </c>
      <c r="N9" s="27" t="s">
        <v>136</v>
      </c>
      <c r="O9" s="27" t="s">
        <v>139</v>
      </c>
      <c r="P9" s="27" t="s">
        <v>142</v>
      </c>
      <c r="Q9" s="27" t="s">
        <v>147</v>
      </c>
      <c r="R9" s="27" t="s">
        <v>150</v>
      </c>
      <c r="S9" s="27" t="s">
        <v>155</v>
      </c>
      <c r="T9" s="27" t="s">
        <v>160</v>
      </c>
      <c r="U9" s="27" t="s">
        <v>164</v>
      </c>
      <c r="V9" s="27" t="s">
        <v>169</v>
      </c>
      <c r="W9" s="27" t="s">
        <v>218</v>
      </c>
      <c r="X9" s="27" t="s">
        <v>209</v>
      </c>
      <c r="Y9" s="27" t="s">
        <v>214</v>
      </c>
      <c r="Z9" s="27" t="s">
        <v>205</v>
      </c>
      <c r="AA9" s="27" t="s">
        <v>127</v>
      </c>
      <c r="AB9" s="27" t="s">
        <v>130</v>
      </c>
      <c r="AC9" s="27" t="s">
        <v>133</v>
      </c>
      <c r="AD9" s="27" t="s">
        <v>136</v>
      </c>
      <c r="AE9" s="27" t="s">
        <v>139</v>
      </c>
      <c r="AF9" s="27" t="s">
        <v>352</v>
      </c>
      <c r="AG9" s="28" t="s">
        <v>403</v>
      </c>
    </row>
    <row r="10" spans="1:33" outlineLevel="1" x14ac:dyDescent="0.3">
      <c r="A10" s="16" t="s">
        <v>491</v>
      </c>
      <c r="B10" s="27" t="s">
        <v>224</v>
      </c>
      <c r="C10" s="27" t="s">
        <v>165</v>
      </c>
      <c r="D10" s="27" t="s">
        <v>200</v>
      </c>
      <c r="E10" s="27" t="s">
        <v>226</v>
      </c>
      <c r="F10" s="27"/>
      <c r="G10" s="27" t="s">
        <v>175</v>
      </c>
      <c r="H10" s="27" t="s">
        <v>175</v>
      </c>
      <c r="I10" s="27" t="s">
        <v>184</v>
      </c>
      <c r="J10" s="27" t="s">
        <v>122</v>
      </c>
      <c r="K10" s="27" t="s">
        <v>122</v>
      </c>
      <c r="L10" s="27" t="s">
        <v>122</v>
      </c>
      <c r="M10" s="27" t="s">
        <v>122</v>
      </c>
      <c r="N10" s="27" t="s">
        <v>122</v>
      </c>
      <c r="O10" s="27" t="s">
        <v>122</v>
      </c>
      <c r="P10" s="27" t="s">
        <v>143</v>
      </c>
      <c r="Q10" s="27" t="s">
        <v>143</v>
      </c>
      <c r="R10" s="27" t="s">
        <v>151</v>
      </c>
      <c r="S10" s="27" t="s">
        <v>156</v>
      </c>
      <c r="T10" s="27" t="s">
        <v>447</v>
      </c>
      <c r="U10" s="27" t="s">
        <v>165</v>
      </c>
      <c r="V10" s="27" t="s">
        <v>170</v>
      </c>
      <c r="W10" s="27" t="s">
        <v>219</v>
      </c>
      <c r="X10" s="27" t="s">
        <v>210</v>
      </c>
      <c r="Y10" s="27" t="s">
        <v>210</v>
      </c>
      <c r="Z10" s="27" t="s">
        <v>184</v>
      </c>
      <c r="AA10" s="27" t="s">
        <v>184</v>
      </c>
      <c r="AB10" s="27" t="s">
        <v>184</v>
      </c>
      <c r="AC10" s="27" t="s">
        <v>184</v>
      </c>
      <c r="AD10" s="27" t="s">
        <v>184</v>
      </c>
      <c r="AE10" s="27" t="s">
        <v>184</v>
      </c>
      <c r="AF10" s="27" t="s">
        <v>156</v>
      </c>
      <c r="AG10" s="27" t="s">
        <v>184</v>
      </c>
    </row>
    <row r="11" spans="1:33" ht="15.6" customHeight="1" outlineLevel="1" x14ac:dyDescent="0.3">
      <c r="A11" s="16" t="s">
        <v>492</v>
      </c>
      <c r="B11" s="27" t="s">
        <v>225</v>
      </c>
      <c r="C11" s="27" t="s">
        <v>166</v>
      </c>
      <c r="D11" s="27" t="s">
        <v>201</v>
      </c>
      <c r="E11" s="27" t="s">
        <v>227</v>
      </c>
      <c r="F11" s="27"/>
      <c r="G11" s="27" t="s">
        <v>176</v>
      </c>
      <c r="H11" s="27" t="s">
        <v>176</v>
      </c>
      <c r="I11" s="27" t="s">
        <v>185</v>
      </c>
      <c r="J11" s="27" t="s">
        <v>118</v>
      </c>
      <c r="K11" s="27" t="s">
        <v>118</v>
      </c>
      <c r="L11" s="27" t="s">
        <v>118</v>
      </c>
      <c r="M11" s="27" t="s">
        <v>118</v>
      </c>
      <c r="N11" s="27" t="s">
        <v>118</v>
      </c>
      <c r="O11" s="27" t="s">
        <v>118</v>
      </c>
      <c r="P11" s="27" t="s">
        <v>144</v>
      </c>
      <c r="Q11" s="27" t="s">
        <v>144</v>
      </c>
      <c r="R11" s="27" t="s">
        <v>152</v>
      </c>
      <c r="S11" s="27" t="s">
        <v>157</v>
      </c>
      <c r="T11" s="27" t="s">
        <v>448</v>
      </c>
      <c r="U11" s="27" t="s">
        <v>166</v>
      </c>
      <c r="V11" s="27" t="s">
        <v>171</v>
      </c>
      <c r="W11" s="27" t="s">
        <v>220</v>
      </c>
      <c r="X11" s="27" t="s">
        <v>211</v>
      </c>
      <c r="Y11" s="27" t="s">
        <v>211</v>
      </c>
      <c r="Z11" s="27" t="s">
        <v>185</v>
      </c>
      <c r="AA11" s="27" t="s">
        <v>185</v>
      </c>
      <c r="AB11" s="27" t="s">
        <v>185</v>
      </c>
      <c r="AC11" s="27" t="s">
        <v>185</v>
      </c>
      <c r="AD11" s="27" t="s">
        <v>185</v>
      </c>
      <c r="AE11" s="27" t="s">
        <v>185</v>
      </c>
      <c r="AF11" s="27" t="s">
        <v>157</v>
      </c>
      <c r="AG11" s="27" t="s">
        <v>185</v>
      </c>
    </row>
    <row r="12" spans="1:33" outlineLevel="1" x14ac:dyDescent="0.3">
      <c r="B12" s="4" t="str">
        <f>INDEX({"31/01/2024 @ 15:42","macro_id=DBGlobal","label_id=144396","time=Q","year_from=2000","year_to=2023","direction=V","opt_font=true","fontsize=8","opt_color=true","col_desc=Calculation:10;Footnote 1:9;ID:8;Label:7;Reporter:6:s;Reporter:5:long;Indicator:4:s;Indicator:3:l;Unit:2:s;Unit:1:long;","numberformat=0.00","auto_tr=1999|2015","com=true","comp=4"},1,1)</f>
        <v>31/01/2024 @ 15:42</v>
      </c>
      <c r="C12" s="4" t="str">
        <f>INDEX({"31/01/2024 @ 15:42","macro_id=DBGlobal","label_id=77811","time=Q","year_from=2000","year_to=2023","direction=V","opt_font=true","fontsize=8","opt_color=true","col_desc=Calculation:10;Footnote 1:9;ID:8;Label:7;Reporter:6:s;Reporter:5:long;Indicator:4:s;Indicator:3:l;Unit:2:s;Unit:1:long;","numberformat=0.00","auto_tr=1999|2015","com=true","comp=4"},1,1)</f>
        <v>31/01/2024 @ 15:42</v>
      </c>
      <c r="D12" s="6" t="str">
        <f>INDEX({"31/01/2024 @ 15:42","macro_id=DBGlobal","label_id=77812","calc=SubScal(L_77812,100)","time=Q","year_from=2000","year_to=2023","direction=V","opt_font=true","fontsize=8","opt_color=true","col_desc=Calculation:10;Footnote 1:9;ID:8;Label:7;Reporter:6:s;Reporter:5:long;Indicator:4:s;Indicator:3:l;Unit:2:s;Unit:1:long;","numberformat=0.00","auto_tr=1999|2015","com=true","comp=4"},1,1)</f>
        <v>31/01/2024 @ 15:42</v>
      </c>
      <c r="E12" s="4" t="str">
        <f>INDEX({"31/01/2024 @ 15:42","macro_id=DBGlobal","label_id=144399","time=Q","year_from=2000","year_to=2023","direction=V","opt_font=true","fontsize=8","opt_color=true","col_desc=Calculation:10;Footnote 1:9;ID:8;Label:7;Reporter:6:s;Reporter:5:long;Indicator:4:s;Indicator:3:l;Unit:2:s;Unit:1:long;","numberformat=0.00","auto_tr=1999|2015","com=true","comp=4"},1,1)</f>
        <v>31/01/2024 @ 15:42</v>
      </c>
      <c r="F12" s="4" t="str">
        <f>INDEX({"31/01/2024 @ 15:42","macro_id=DBGlobal","label_id=101874","time=Q","year_from=2000","year_to=2023","direction=V","opt_font=true","fontsize=8","opt_color=true","col_desc=Calculation:10;Footnote 1:9;ID:8;Label:7;Reporter:6:s;Reporter:5:long;Indicator:4:s;Indicator:3:l;Unit:2:s;Unit:1:long;","numberformat=0.00","auto_tr=1999|2015","com=true","comp=4"},1,1)</f>
        <v>31/01/2024 @ 15:42</v>
      </c>
      <c r="G12" s="5" t="str">
        <f>INDEX({"31/01/2024 @ 15:42","macro_id=DBGlobal","label_id=32806","calc=SubScal(CPPY=100(L_32806),100)","time=Q","year_from=2000","year_to=2023","direction=V","opt_font=true","fontsize=8","opt_color=true","col_desc=Calculation:10;Footnote 1:9;ID:8;Label:7;Reporter:6:s;Reporter:5:long;Indicator:4:s;Indicator:3:l;Unit:2:s;Unit:1:long;","numberformat=0.00","auto_tr=1999|2015","com=true","comp=4"},1,1)</f>
        <v>31/01/2024 @ 15:42</v>
      </c>
      <c r="H12" s="5" t="str">
        <f>INDEX({"31/01/2024 @ 15:42","macro_id=DBGlobal","label_id=32805","calc=SubScal(CPPY=100(L_32805),100)","time=Q","year_from=2000","year_to=2023","direction=V","opt_font=true","fontsize=8","opt_color=true","col_desc=Calculation:10;Footnote 1:9;ID:8;Label:7;Reporter:6:s;Reporter:5:long;Indicator:4:s;Indicator:3:l;Unit:2:s;Unit:1:long;","numberformat=0.00","auto_tr=1999|2015","com=true","comp=4"},1,1)</f>
        <v>31/01/2024 @ 15:42</v>
      </c>
      <c r="I12" s="1" t="str">
        <f>INDEX({"31/01/2024 @ 15:42","macro_id=DBGlobal","label_id=89170","time=Q","year_from=2000","year_to=2023","direction=V","opt_font=true","fontsize=8","opt_color=true","col_desc=Calculation:10;Footnote 1:9;ID:8;Label:7;Reporter:6:s;Reporter:5:long;Indicator:4:s;Indicator:3:l;Unit:2:s;Unit:1:long;","numberformat=0.00","auto_tr=1999|2015","com=true","comp=4"},1,1)</f>
        <v>31/01/2024 @ 15:42</v>
      </c>
      <c r="J12" s="5" t="str">
        <f>INDEX({"31/01/2024 @ 15:42","macro_id=DBGlobal","label_id=88668","calc=SubScal(CPPY=100(L_88668),100)","time=Q","year_from=2000","year_to=2023","direction=V","opt_font=true","fontsize=8","opt_color=true","col_desc=Calculation:10;Footnote 1:9;ID:8;Label:7;Reporter:6:s;Reporter:5:long;Indicator:4:s;Indicator:3:l;Unit:2:s;Unit:1:long;","numberformat=0.00","auto_tr=1999|2015","com=true","comp=4"},1,1)</f>
        <v>31/01/2024 @ 15:42</v>
      </c>
      <c r="K12" s="5" t="str">
        <f>INDEX({"31/01/2024 @ 15:42","macro_id=DBGlobal","label_id=90876","calc=SubScal(CPPY=100(L_90876),100)","time=Q","year_from=2000","year_to=2023","direction=V","opt_font=true","fontsize=8","opt_color=true","col_desc=Calculation:10;Footnote 1:9;ID:8;Label:7;Reporter:6:s;Reporter:5:long;Indicator:4:s;Indicator:3:l;Unit:2:s;Unit:1:long;","numberformat=0.00","auto_tr=1999|2015","com=true","comp=4"},1,1)</f>
        <v>31/01/2024 @ 15:42</v>
      </c>
      <c r="L12" s="5" t="str">
        <f>INDEX({"31/01/2024 @ 15:42","macro_id=DBGlobal","label_id=90920","calc=SubScal(CPPY=100(L_90920),100)","time=Q","year_from=2000","year_to=2023","direction=V","opt_font=true","fontsize=8","opt_color=true","col_desc=Calculation:10;Footnote 1:9;ID:8;Label:7;Reporter:6:s;Reporter:5:long;Indicator:4:s;Indicator:3:l;Unit:2:s;Unit:1:long;","numberformat=0.00","auto_tr=1999|2015","com=true","comp=4"},1,1)</f>
        <v>31/01/2024 @ 15:42</v>
      </c>
      <c r="M12" s="5" t="str">
        <f>INDEX({"31/01/2024 @ 15:42","macro_id=DBGlobal","label_id=90942","calc=SubScal(CPPY=100(L_90942),100)","time=Q","year_from=2000","year_to=2023","direction=V","opt_font=true","fontsize=8","opt_color=true","col_desc=Calculation:10;Footnote 1:9;ID:8;Label:7;Reporter:6:s;Reporter:5:long;Indicator:4:s;Indicator:3:l;Unit:2:s;Unit:1:long;","numberformat=0.00","auto_tr=1999|2015","com=true","comp=4"},1,1)</f>
        <v>31/01/2024 @ 15:42</v>
      </c>
      <c r="N12" s="5" t="str">
        <f>INDEX({"31/01/2024 @ 15:42","macro_id=DBGlobal","label_id=90986","calc=SubScal(CPPY=100(L_90986),100)","time=Q","year_from=2000","year_to=2023","direction=V","opt_font=true","fontsize=8","opt_color=true","col_desc=Calculation:10;Footnote 1:9;ID:8;Label:7;Reporter:6:s;Reporter:5:long;Indicator:4:s;Indicator:3:l;Unit:2:s;Unit:1:long;","numberformat=0.00","auto_tr=1999|2015","com=true","comp=4"},1,1)</f>
        <v>31/01/2024 @ 15:42</v>
      </c>
      <c r="O12" s="5" t="str">
        <f>INDEX({"31/01/2024 @ 15:42","macro_id=DBGlobal","label_id=91008","calc=SubScal(CPPY=100(L_91008),100)","time=Q","year_from=2000","year_to=2023","direction=V","opt_font=true","fontsize=8","opt_color=true","col_desc=Calculation:10;Footnote 1:9;ID:8;Label:7;Reporter:6:s;Reporter:5:long;Indicator:4:s;Indicator:3:l;Unit:2:s;Unit:1:long;","numberformat=0.00","auto_tr=1999|2015","com=true","comp=4"},1,1)</f>
        <v>31/01/2024 @ 15:42</v>
      </c>
      <c r="P12" s="1" t="str">
        <f>INDEX({"31/01/2024 @ 15:42","macro_id=DBGlobal","label_id=32651","time=Q","year_from=2000","year_to=2023","direction=V","opt_font=true","fontsize=8","opt_color=true","col_desc=Calculation:10;Footnote 1:9;ID:8;Label:7;Reporter:6:s;Reporter:5:long;Indicator:4:s;Indicator:3:l;Unit:2:s;Unit:1:long;","numberformat=0.00","auto_tr=1999|2015","com=true","comp=4"},1,1)</f>
        <v>31/01/2024 @ 15:42</v>
      </c>
      <c r="Q12" s="1" t="str">
        <f>INDEX({"31/01/2024 @ 15:42","macro_id=DBGlobal","label_id=32681","time=Q","year_from=2000","year_to=2023","direction=V","opt_font=true","fontsize=8","opt_color=true","col_desc=Calculation:10;Footnote 1:9;ID:8;Label:7;Reporter:6:s;Reporter:5:long;Indicator:4:s;Indicator:3:l;Unit:2:s;Unit:1:long;","numberformat=0.00","auto_tr=1999|2015","com=true","comp=4"},1,1)</f>
        <v>31/01/2024 @ 15:42</v>
      </c>
      <c r="R12" s="1" t="str">
        <f>INDEX({"31/01/2024 @ 15:42","macro_id=DBGlobal","label_id=32698","time=Q","year_from=2000","year_to=2023","direction=V","opt_font=true","fontsize=8","opt_color=true","col_desc=Calculation:10;Footnote 1:9;ID:8;Label:7;Reporter:6:s;Reporter:5:long;Indicator:4:s;Indicator:3:l;Unit:2:s;Unit:1:long;","numberformat=0.00","auto_tr=1999|2015","com=true","comp=4"},1,1)</f>
        <v>31/01/2024 @ 15:42</v>
      </c>
      <c r="S12" s="5" t="str">
        <f>INDEX({"31/01/2024 @ 15:42","macro_id=DBGlobal","label_id=315","calc=SubScal(L_315,100)","time=Q","year_from=2000","year_to=2023","direction=V","opt_font=true","fontsize=8","opt_color=true","col_desc=Calculation:10;Footnote 1:9;ID:8;Label:7;Reporter:6:s;Reporter:5:long;Indicator:4:s;Indicator:3:l;Unit:2:s;Unit:1:long;","numberformat=0.00","auto_tr=1999|2015","com=true","comp=4"},1,1)</f>
        <v>31/01/2024 @ 15:42</v>
      </c>
      <c r="T12" s="1" t="str">
        <f>INDEX({"31/01/2024 @ 15:42","macro_id=DBGlobal","label_id=784","time=Q","year_from=2000","year_to=2023","direction=V","opt_font=true","fontsize=8","opt_color=true","col_desc=Calculation:10;Footnote 1:9;ID:8;Label:7;Reporter:6:s;Reporter:5:long;Indicator:4:s;Indicator:3:l;Unit:2:s;Unit:1:long;","numberformat=0.00","auto_tr=1999|2015","com=true","comp=4"},1,1)</f>
        <v>31/01/2024 @ 15:42</v>
      </c>
      <c r="U12" s="1" t="str">
        <f>INDEX({"31/01/2024 @ 15:42","macro_id=DBGlobal","label_id=572","time=Q","year_from=2000","year_to=2023","direction=V","opt_font=true","fontsize=8","opt_color=true","col_desc=Calculation:10;Footnote 1:9;ID:8;Label:7;Reporter:6:s;Reporter:5:long;Indicator:4:s;Indicator:3:l;Unit:2:s;Unit:1:long;","numberformat=0.00","auto_tr=1999|2015","com=true","comp=4"},1,1)</f>
        <v>31/01/2024 @ 15:42</v>
      </c>
      <c r="V12" s="1" t="str">
        <f>INDEX({"31/01/2024 @ 15:42","macro_id=DBGlobal","label_id=964","time=Q","year_from=2000","year_to=2023","direction=V","opt_font=true","fontsize=8","opt_color=true","col_desc=Calculation:10;Footnote 1:9;ID:8;Label:7;Reporter:6:s;Reporter:5:long;Indicator:4:s;Indicator:3:l;Unit:2:s;Unit:1:long;","numberformat=0.00","auto_tr=1999|2015","com=true","comp=4"},1,1)</f>
        <v>31/01/2024 @ 15:42</v>
      </c>
      <c r="W12" s="5" t="str">
        <f>INDEX({"31/01/2024 @ 15:42","macro_id=DBGlobal","label_id=32210","calc=SubScal(L_32210,100)","time=Q","year_from=2000","year_to=2023","direction=V","opt_font=true","fontsize=8","opt_color=true","col_desc=Calculation:10;Footnote 1:9;ID:8;Label:7;Reporter:6:s;Reporter:5:long;Indicator:4:s;Indicator:3:l;Unit:2:s;Unit:1:long;","numberformat=0.00","auto_tr=1999|2015","com=true","comp=4"},1,1)</f>
        <v>31/01/2024 @ 15:42</v>
      </c>
      <c r="X12" s="6" t="str">
        <f>INDEX({"31/01/2024 @ 15:42","macro_id=DBGlobal","label_id=87275","calc=SubScal(CPPY=100(AddNull(L_87275,L_87349)),100)","time=Q","year_from=2000","year_to=2023","direction=V","opt_font=true","fontsize=8","opt_color=true","col_desc=Calculation:10;Footnote 1:9;ID:8;Label:7;Reporter:6:s;Reporter:5:long;Indicator:4:s;Indicator:3:l;Unit:2:s;Unit:1:long;","numberformat=0.00","auto_tr=1999|2015","com=true","comp=4"},1,1)</f>
        <v>31/01/2024 @ 15:42</v>
      </c>
      <c r="Y12" s="6" t="str">
        <f>INDEX({"31/01/2024 @ 15:42","macro_id=DBGlobal","label_id=87312","calc=SubScal(CPPY=100(AddNull(L_87312,L_87386)),100)","time=Q","year_from=2000","year_to=2023","direction=V","opt_font=true","fontsize=8","opt_color=true","col_desc=Calculation:10;Footnote 1:9;ID:8;Label:7;Reporter:6:s;Reporter:5:long;Indicator:4:s;Indicator:3:l;Unit:2:s;Unit:1:long;","numberformat=0.00","auto_tr=1999|2015","com=true","comp=4"},1,1)</f>
        <v>31/01/2024 @ 15:42</v>
      </c>
      <c r="Z12" s="1" t="str">
        <f>INDEX({"31/01/2024 @ 15:42","macro_id=DBGlobal","label_id=88745","time=Q","year_from=2000","year_to=2023","direction=V","opt_font=true","fontsize=8","opt_color=true","col_desc=Calculation:10;Footnote 1:9;ID:8;Label:7;Reporter:6:s;Reporter:5:long;Indicator:4:s;Indicator:3:l;Unit:2:s;Unit:1:long;","numberformat=0.00","auto_tr=1999|2015","com=true","comp=4"},1,1)</f>
        <v>31/01/2024 @ 15:42</v>
      </c>
      <c r="AA12" s="5" t="str">
        <f>INDEX({"31/01/2024 @ 15:42","macro_id=DBGlobal","label_id=90348","calc=AddNull(L_90348,L_90370)","time=Q","year_from=2000","year_to=2023","direction=V","opt_font=true","fontsize=8","opt_color=true","col_desc=Calculation:10;Footnote 1:9;ID:8;Label:7;Reporter:6:s;Reporter:5:long;Indicator:4:s;Indicator:3:l;Unit:2:s;Unit:1:long;","numberformat=0.00","auto_tr=1999|2015","com=true","comp=4"},1,1)</f>
        <v>31/01/2024 @ 15:42</v>
      </c>
      <c r="AB12" s="1" t="str">
        <f>INDEX({"31/01/2024 @ 15:42","macro_id=DBGlobal","label_id=90392","time=Q","year_from=2000","year_to=2023","direction=V","opt_font=true","fontsize=8","opt_color=true","col_desc=Calculation:10;Footnote 1:9;ID:8;Label:7;Reporter:6:s;Reporter:5:long;Indicator:4:s;Indicator:3:l;Unit:2:s;Unit:1:long;","numberformat=0.00","auto_tr=1999|2015","com=true","comp=4"},1,1)</f>
        <v>31/01/2024 @ 15:42</v>
      </c>
      <c r="AC12" s="1" t="str">
        <f>INDEX({"31/01/2024 @ 15:42","macro_id=DBGlobal","label_id=90414","time=Q","year_from=2000","year_to=2023","direction=V","opt_font=true","fontsize=8","opt_color=true","col_desc=Calculation:10;Footnote 1:9;ID:8;Label:7;Reporter:6:s;Reporter:5:long;Indicator:4:s;Indicator:3:l;Unit:2:s;Unit:1:long;","numberformat=0.00","auto_tr=1999|2015","com=true","comp=4"},1,1)</f>
        <v>31/01/2024 @ 15:42</v>
      </c>
      <c r="AD12" s="1" t="str">
        <f>INDEX({"31/01/2024 @ 15:42","macro_id=DBGlobal","label_id=90502","time=Q","year_from=2000","year_to=2023","direction=V","opt_font=true","fontsize=8","opt_color=true","col_desc=Calculation:10;Footnote 1:9;ID:8;Label:7;Reporter:6:s;Reporter:5:long;Indicator:4:s;Indicator:3:l;Unit:2:s;Unit:1:long;","numberformat=0.00","auto_tr=1999|2015","com=true","comp=4"},1,1)</f>
        <v>31/01/2024 @ 15:42</v>
      </c>
      <c r="AE12" s="1" t="str">
        <f>INDEX({"31/01/2024 @ 15:42","macro_id=DBGlobal","label_id=90524","time=Q","year_from=2000","year_to=2023","direction=V","opt_font=true","fontsize=8","opt_color=true","col_desc=Calculation:10;Footnote 1:9;ID:8;Label:7;Reporter:6:s;Reporter:5:long;Indicator:4:s;Indicator:3:l;Unit:2:s;Unit:1:long;","numberformat=0.00","auto_tr=1999|2015","com=true","comp=4"},1,1)</f>
        <v>31/01/2024 @ 15:42</v>
      </c>
      <c r="AF12" s="5" t="str">
        <f>INDEX({"31/01/2024 @ 15:42","macro_id=DBGlobal","label_id=89622","calc=SubScal(L_89622,100)","time=Q","year_from=2000","year_to=2023","direction=V","opt_font=true","fontsize=8","opt_color=true","col_desc=Calculation:10;Footnote 1:9;ID:8;Label:7;Reporter:6:s;Reporter:5:long;Indicator:4:s;Indicator:3:l;Unit:2:s;Unit:1:long;","numberformat=0.00","auto_tr=1999|2015","com=true","comp=4"},1,1)</f>
        <v>31/01/2024 @ 15:42</v>
      </c>
      <c r="AG12" s="4" t="str">
        <f>INDEX({"31/01/2024 @ 15:42","macro_id=DBGlobal","label_id=144770","time=Q","year_from=2000","year_to=2023","direction=V","opt_font=true","fontsize=8","opt_color=true","col_desc=Calculation:10;Footnote 1:9;ID:8;Label:7;Reporter:6:s;Reporter:5:long;Indicator:4:s;Indicator:3:l;Unit:2:s;Unit:1:long;","numberformat=0.00","auto_tr=1999|2015","com=true","comp=4"},1,1)</f>
        <v>31/01/2024 @ 15:42</v>
      </c>
    </row>
    <row r="13" spans="1:33" s="11" customFormat="1" x14ac:dyDescent="0.3">
      <c r="A13" s="11" t="s">
        <v>19</v>
      </c>
      <c r="B13" s="12">
        <v>4.8214176000000002</v>
      </c>
      <c r="C13" s="12">
        <v>73.989999999999995</v>
      </c>
      <c r="D13" s="12">
        <v>1.7557532</v>
      </c>
      <c r="E13" s="12">
        <v>3.25</v>
      </c>
      <c r="F13" s="13">
        <v>26.926666699999998</v>
      </c>
      <c r="G13" s="12">
        <v>43.122191600000001</v>
      </c>
      <c r="H13" s="12">
        <v>61.386109400000002</v>
      </c>
      <c r="I13" s="12">
        <v>-3.1241878000000001</v>
      </c>
      <c r="J13" s="12">
        <v>-2.4317593</v>
      </c>
      <c r="K13" s="12">
        <v>-12.124091099999999</v>
      </c>
      <c r="L13" s="12">
        <v>-15.9215848</v>
      </c>
      <c r="M13" s="12">
        <v>86.196942699999994</v>
      </c>
      <c r="N13" s="12">
        <v>-34.445246099999999</v>
      </c>
      <c r="O13" s="12">
        <v>-26.3862807</v>
      </c>
      <c r="P13" s="7">
        <v>9901.6869999999999</v>
      </c>
      <c r="Q13" s="7">
        <v>927</v>
      </c>
      <c r="R13" s="7">
        <v>8.1</v>
      </c>
      <c r="S13" s="12">
        <v>42.7947846</v>
      </c>
      <c r="T13" s="12">
        <v>35</v>
      </c>
      <c r="U13" s="12">
        <v>24.503333300000001</v>
      </c>
      <c r="V13" s="12">
        <v>1.8505</v>
      </c>
      <c r="W13" s="7" t="s">
        <v>107</v>
      </c>
      <c r="X13" s="7" t="s">
        <v>107</v>
      </c>
      <c r="Y13" s="7" t="s">
        <v>107</v>
      </c>
      <c r="Z13" s="12">
        <v>-1.5567010999999999</v>
      </c>
      <c r="AA13" s="12">
        <v>64.528704500000003</v>
      </c>
      <c r="AB13" s="12">
        <v>18.156948</v>
      </c>
      <c r="AC13" s="12">
        <v>19.996717100000001</v>
      </c>
      <c r="AD13" s="12">
        <v>24.070882399999999</v>
      </c>
      <c r="AE13" s="12">
        <v>26.753252100000001</v>
      </c>
      <c r="AF13" s="7" t="s">
        <v>107</v>
      </c>
      <c r="AG13" s="12">
        <v>16.7075332</v>
      </c>
    </row>
    <row r="14" spans="1:33" s="11" customFormat="1" hidden="1" outlineLevel="1" x14ac:dyDescent="0.3">
      <c r="A14" s="11" t="s">
        <v>20</v>
      </c>
      <c r="B14" s="12">
        <v>4.3154814000000004</v>
      </c>
      <c r="C14" s="12">
        <v>74.493333300000003</v>
      </c>
      <c r="D14" s="12">
        <v>1.6742492</v>
      </c>
      <c r="E14" s="12">
        <v>3.9166666999999999</v>
      </c>
      <c r="F14" s="13">
        <v>26.766666699999998</v>
      </c>
      <c r="G14" s="12">
        <v>55.017106099999999</v>
      </c>
      <c r="H14" s="12">
        <v>42.114369799999999</v>
      </c>
      <c r="I14" s="12">
        <v>-4.7434687999999996</v>
      </c>
      <c r="J14" s="12">
        <v>7.9369534000000002</v>
      </c>
      <c r="K14" s="12">
        <v>4.1384258000000003</v>
      </c>
      <c r="L14" s="12">
        <v>-7.6961309</v>
      </c>
      <c r="M14" s="12">
        <v>57.714782399999997</v>
      </c>
      <c r="N14" s="12">
        <v>-17.064603399999999</v>
      </c>
      <c r="O14" s="12">
        <v>-5.6523757000000003</v>
      </c>
      <c r="P14" s="7">
        <v>10766.383</v>
      </c>
      <c r="Q14" s="7">
        <v>816.1</v>
      </c>
      <c r="R14" s="7">
        <v>6.7</v>
      </c>
      <c r="S14" s="12">
        <v>47.983990900000002</v>
      </c>
      <c r="T14" s="12">
        <v>35</v>
      </c>
      <c r="U14" s="12">
        <v>26.74</v>
      </c>
      <c r="V14" s="12">
        <v>1.9042667</v>
      </c>
      <c r="W14" s="7" t="s">
        <v>107</v>
      </c>
      <c r="X14" s="7" t="s">
        <v>107</v>
      </c>
      <c r="Y14" s="7" t="s">
        <v>107</v>
      </c>
      <c r="Z14" s="12">
        <v>-5.4400719000000004</v>
      </c>
      <c r="AA14" s="12">
        <v>68.486071800000005</v>
      </c>
      <c r="AB14" s="12">
        <v>16.332180699999999</v>
      </c>
      <c r="AC14" s="12">
        <v>22.166520500000001</v>
      </c>
      <c r="AD14" s="12">
        <v>20.066952300000001</v>
      </c>
      <c r="AE14" s="12">
        <v>27.051725399999999</v>
      </c>
      <c r="AF14" s="7" t="s">
        <v>107</v>
      </c>
      <c r="AG14" s="12">
        <v>18.611132699999999</v>
      </c>
    </row>
    <row r="15" spans="1:33" s="11" customFormat="1" hidden="1" outlineLevel="1" x14ac:dyDescent="0.3">
      <c r="A15" s="11" t="s">
        <v>21</v>
      </c>
      <c r="B15" s="12">
        <v>3.5071058000000002</v>
      </c>
      <c r="C15" s="12">
        <v>74.819999999999993</v>
      </c>
      <c r="D15" s="12">
        <v>1.9670194000000001</v>
      </c>
      <c r="E15" s="17">
        <v>4.3333332999999996</v>
      </c>
      <c r="F15" s="13">
        <v>30.673333299999999</v>
      </c>
      <c r="G15" s="12">
        <v>29.609815399999999</v>
      </c>
      <c r="H15" s="12">
        <v>35.835408000000001</v>
      </c>
      <c r="I15" s="12">
        <v>-3.2896494999999999</v>
      </c>
      <c r="J15" s="12">
        <v>-0.16224740000000001</v>
      </c>
      <c r="K15" s="12">
        <v>-1.3467935</v>
      </c>
      <c r="L15" s="12">
        <v>43.564777599999999</v>
      </c>
      <c r="M15" s="12">
        <v>7.9731546</v>
      </c>
      <c r="N15" s="12">
        <v>-12.6007959</v>
      </c>
      <c r="O15" s="12">
        <v>4.2918523000000004</v>
      </c>
      <c r="P15" s="7">
        <v>10963.294</v>
      </c>
      <c r="Q15" s="7">
        <v>764</v>
      </c>
      <c r="R15" s="7">
        <v>6.2</v>
      </c>
      <c r="S15" s="12">
        <v>43.476701200000001</v>
      </c>
      <c r="T15" s="12">
        <v>35</v>
      </c>
      <c r="U15" s="12">
        <v>29.196666700000002</v>
      </c>
      <c r="V15" s="12">
        <v>2.0386332999999999</v>
      </c>
      <c r="W15" s="7" t="s">
        <v>107</v>
      </c>
      <c r="X15" s="7" t="s">
        <v>107</v>
      </c>
      <c r="Y15" s="7" t="s">
        <v>107</v>
      </c>
      <c r="Z15" s="12">
        <v>-1.7150063</v>
      </c>
      <c r="AA15" s="12">
        <v>66.920795200000001</v>
      </c>
      <c r="AB15" s="12">
        <v>15.1355425</v>
      </c>
      <c r="AC15" s="12">
        <v>20.666780599999999</v>
      </c>
      <c r="AD15" s="12">
        <v>21.975542300000001</v>
      </c>
      <c r="AE15" s="12">
        <v>24.6986606</v>
      </c>
      <c r="AF15" s="7" t="s">
        <v>107</v>
      </c>
      <c r="AG15" s="12">
        <v>19.7406802</v>
      </c>
    </row>
    <row r="16" spans="1:33" s="11" customFormat="1" hidden="1" outlineLevel="1" x14ac:dyDescent="0.3">
      <c r="A16" s="11" t="s">
        <v>22</v>
      </c>
      <c r="B16" s="12">
        <v>2.8994336000000001</v>
      </c>
      <c r="C16" s="12">
        <v>75.3</v>
      </c>
      <c r="D16" s="12">
        <v>2.2218200000000001</v>
      </c>
      <c r="E16" s="17">
        <v>4.75</v>
      </c>
      <c r="F16" s="13">
        <v>29.7233333</v>
      </c>
      <c r="G16" s="12">
        <v>49.383389899999997</v>
      </c>
      <c r="H16" s="12">
        <v>39.2549767</v>
      </c>
      <c r="I16" s="12">
        <v>-6.5159726999999998</v>
      </c>
      <c r="J16" s="12">
        <v>3.9532066000000001</v>
      </c>
      <c r="K16" s="12">
        <v>10.180020600000001</v>
      </c>
      <c r="L16" s="12">
        <v>-11.1724786</v>
      </c>
      <c r="M16" s="12">
        <v>-2.5266587</v>
      </c>
      <c r="N16" s="12">
        <v>-14.2044286</v>
      </c>
      <c r="O16" s="12">
        <v>-7.1908906999999997</v>
      </c>
      <c r="P16" s="7">
        <v>10399.278</v>
      </c>
      <c r="Q16" s="7">
        <v>777.8</v>
      </c>
      <c r="R16" s="7">
        <v>6.6</v>
      </c>
      <c r="S16" s="12">
        <v>52.1278468</v>
      </c>
      <c r="T16" s="12">
        <v>35</v>
      </c>
      <c r="U16" s="12">
        <v>31.58</v>
      </c>
      <c r="V16" s="12">
        <v>2.1804667000000002</v>
      </c>
      <c r="W16" s="7" t="s">
        <v>107</v>
      </c>
      <c r="X16" s="7" t="s">
        <v>107</v>
      </c>
      <c r="Y16" s="7" t="s">
        <v>107</v>
      </c>
      <c r="Z16" s="12">
        <v>-5.6976256999999997</v>
      </c>
      <c r="AA16" s="12">
        <v>73.237192800000003</v>
      </c>
      <c r="AB16" s="12">
        <v>18.0413736</v>
      </c>
      <c r="AC16" s="12">
        <v>16.790993100000001</v>
      </c>
      <c r="AD16" s="12">
        <v>20.896336600000001</v>
      </c>
      <c r="AE16" s="12">
        <v>28.9658962</v>
      </c>
      <c r="AF16" s="7" t="s">
        <v>107</v>
      </c>
      <c r="AG16" s="12">
        <v>22.4867107</v>
      </c>
    </row>
    <row r="17" spans="1:33" s="11" customFormat="1" hidden="1" outlineLevel="1" x14ac:dyDescent="0.3">
      <c r="A17" s="11" t="s">
        <v>23</v>
      </c>
      <c r="B17" s="12">
        <v>3.0047543999999999</v>
      </c>
      <c r="C17" s="12">
        <v>75.393333299999995</v>
      </c>
      <c r="D17" s="12">
        <v>1.8966527</v>
      </c>
      <c r="E17" s="17">
        <v>4.75</v>
      </c>
      <c r="F17" s="13">
        <v>25.873333299999999</v>
      </c>
      <c r="G17" s="12">
        <v>52.849233699999999</v>
      </c>
      <c r="H17" s="12">
        <v>44.436315800000003</v>
      </c>
      <c r="I17" s="12">
        <v>-5.4958717000000004</v>
      </c>
      <c r="J17" s="12">
        <v>7.4572295999999998</v>
      </c>
      <c r="K17" s="12">
        <v>13.5065092</v>
      </c>
      <c r="L17" s="12">
        <v>18.1833326</v>
      </c>
      <c r="M17" s="12">
        <v>-5.5561546999999996</v>
      </c>
      <c r="N17" s="12">
        <v>45.967595299999999</v>
      </c>
      <c r="O17" s="12">
        <v>50.806218700000002</v>
      </c>
      <c r="P17" s="7">
        <v>9972.259</v>
      </c>
      <c r="Q17" s="7">
        <v>851.7</v>
      </c>
      <c r="R17" s="7">
        <v>7.5</v>
      </c>
      <c r="S17" s="12">
        <v>52.964339699999996</v>
      </c>
      <c r="T17" s="12">
        <v>35</v>
      </c>
      <c r="U17" s="12">
        <v>34.326666699999997</v>
      </c>
      <c r="V17" s="12">
        <v>2.4706332999999998</v>
      </c>
      <c r="W17" s="12">
        <v>7.458405</v>
      </c>
      <c r="X17" s="7" t="s">
        <v>107</v>
      </c>
      <c r="Y17" s="7" t="s">
        <v>107</v>
      </c>
      <c r="Z17" s="12">
        <v>-5.5335432999999998</v>
      </c>
      <c r="AA17" s="12">
        <v>69.366992499999995</v>
      </c>
      <c r="AB17" s="12">
        <v>19.66499</v>
      </c>
      <c r="AC17" s="12">
        <v>18.456391799999999</v>
      </c>
      <c r="AD17" s="12">
        <v>28.8089589</v>
      </c>
      <c r="AE17" s="12">
        <v>36.297333199999997</v>
      </c>
      <c r="AF17" s="12">
        <v>60.366177800000003</v>
      </c>
      <c r="AG17" s="12">
        <v>17.7692744</v>
      </c>
    </row>
    <row r="18" spans="1:33" s="11" customFormat="1" hidden="1" outlineLevel="1" x14ac:dyDescent="0.3">
      <c r="A18" s="11" t="s">
        <v>24</v>
      </c>
      <c r="B18" s="12">
        <v>2.2522867999999998</v>
      </c>
      <c r="C18" s="12">
        <v>76.483333299999998</v>
      </c>
      <c r="D18" s="12">
        <v>2.6713800000000001</v>
      </c>
      <c r="E18" s="17">
        <v>4.5833332999999996</v>
      </c>
      <c r="F18" s="13">
        <v>27.273333300000001</v>
      </c>
      <c r="G18" s="12">
        <v>43.360831099999999</v>
      </c>
      <c r="H18" s="12">
        <v>44.936689600000001</v>
      </c>
      <c r="I18" s="12">
        <v>-4.2025249000000002</v>
      </c>
      <c r="J18" s="12">
        <v>-0.23136039999999999</v>
      </c>
      <c r="K18" s="12">
        <v>5.9030215999999998</v>
      </c>
      <c r="L18" s="12">
        <v>-13.368896899999999</v>
      </c>
      <c r="M18" s="12">
        <v>8.2246310000000005</v>
      </c>
      <c r="N18" s="12">
        <v>13.4535055</v>
      </c>
      <c r="O18" s="12">
        <v>24.657876999999999</v>
      </c>
      <c r="P18" s="7">
        <v>10633.985000000001</v>
      </c>
      <c r="Q18" s="7">
        <v>758.5</v>
      </c>
      <c r="R18" s="7">
        <v>6.3</v>
      </c>
      <c r="S18" s="12">
        <v>53.876113500000002</v>
      </c>
      <c r="T18" s="12">
        <v>35</v>
      </c>
      <c r="U18" s="12">
        <v>36.5833333</v>
      </c>
      <c r="V18" s="12">
        <v>2.4830999999999999</v>
      </c>
      <c r="W18" s="12">
        <v>4.3455218999999996</v>
      </c>
      <c r="X18" s="7" t="s">
        <v>107</v>
      </c>
      <c r="Y18" s="7" t="s">
        <v>107</v>
      </c>
      <c r="Z18" s="12">
        <v>-8.6475705999999999</v>
      </c>
      <c r="AA18" s="12">
        <v>70.092310499999996</v>
      </c>
      <c r="AB18" s="12">
        <v>17.8861244</v>
      </c>
      <c r="AC18" s="12">
        <v>22.043628900000002</v>
      </c>
      <c r="AD18" s="12">
        <v>22.019072300000001</v>
      </c>
      <c r="AE18" s="12">
        <v>32.041136000000002</v>
      </c>
      <c r="AF18" s="12">
        <v>62.655186499999999</v>
      </c>
      <c r="AG18" s="12">
        <v>20.359242699999999</v>
      </c>
    </row>
    <row r="19" spans="1:33" s="11" customFormat="1" hidden="1" outlineLevel="1" x14ac:dyDescent="0.3">
      <c r="A19" s="11" t="s">
        <v>25</v>
      </c>
      <c r="B19" s="12">
        <v>1.8991327</v>
      </c>
      <c r="C19" s="12">
        <v>76.516666700000002</v>
      </c>
      <c r="D19" s="12">
        <v>2.2676647000000001</v>
      </c>
      <c r="E19" s="17">
        <v>4.1666667000000004</v>
      </c>
      <c r="F19" s="13">
        <v>25.303333299999998</v>
      </c>
      <c r="G19" s="12">
        <v>32.9196995</v>
      </c>
      <c r="H19" s="12">
        <v>37.872162299999999</v>
      </c>
      <c r="I19" s="12">
        <v>-1.9804375999999999</v>
      </c>
      <c r="J19" s="12">
        <v>5.5641961000000002</v>
      </c>
      <c r="K19" s="12">
        <v>2.9077473</v>
      </c>
      <c r="L19" s="12">
        <v>-9.1060283000000002</v>
      </c>
      <c r="M19" s="12">
        <v>31.470896799999998</v>
      </c>
      <c r="N19" s="12">
        <v>16.820256499999999</v>
      </c>
      <c r="O19" s="12">
        <v>18.848131599999999</v>
      </c>
      <c r="P19" s="7">
        <v>10955.575999999999</v>
      </c>
      <c r="Q19" s="7">
        <v>669.9</v>
      </c>
      <c r="R19" s="7">
        <v>5.5</v>
      </c>
      <c r="S19" s="12">
        <v>52.161434</v>
      </c>
      <c r="T19" s="12">
        <v>35</v>
      </c>
      <c r="U19" s="12">
        <v>38.479999999999997</v>
      </c>
      <c r="V19" s="12">
        <v>2.6558332999999998</v>
      </c>
      <c r="W19" s="12">
        <v>2.8679654000000001</v>
      </c>
      <c r="X19" s="7" t="s">
        <v>107</v>
      </c>
      <c r="Y19" s="7" t="s">
        <v>107</v>
      </c>
      <c r="Z19" s="12">
        <v>0.29720429999999998</v>
      </c>
      <c r="AA19" s="12">
        <v>60.534911700000002</v>
      </c>
      <c r="AB19" s="12">
        <v>13.792289999999999</v>
      </c>
      <c r="AC19" s="12">
        <v>28.0878555</v>
      </c>
      <c r="AD19" s="12">
        <v>22.993703</v>
      </c>
      <c r="AE19" s="12">
        <v>25.408760099999999</v>
      </c>
      <c r="AF19" s="12">
        <v>74.1675714</v>
      </c>
      <c r="AG19" s="12">
        <v>22.0492302</v>
      </c>
    </row>
    <row r="20" spans="1:33" s="11" customFormat="1" hidden="1" outlineLevel="1" x14ac:dyDescent="0.3">
      <c r="A20" s="11" t="s">
        <v>26</v>
      </c>
      <c r="B20" s="12">
        <v>1.4300580000000001</v>
      </c>
      <c r="C20" s="12">
        <v>76.746666700000006</v>
      </c>
      <c r="D20" s="12">
        <v>1.9212041</v>
      </c>
      <c r="E20" s="17">
        <v>3.4166666999999999</v>
      </c>
      <c r="F20" s="13">
        <v>19.350000000000001</v>
      </c>
      <c r="G20" s="12">
        <v>25.744813199999999</v>
      </c>
      <c r="H20" s="12">
        <v>37.067135299999997</v>
      </c>
      <c r="I20" s="12">
        <v>-3.0587757</v>
      </c>
      <c r="J20" s="12">
        <v>7.7205497999999997</v>
      </c>
      <c r="K20" s="12">
        <v>11.8796024</v>
      </c>
      <c r="L20" s="12">
        <v>-5.3017504000000004</v>
      </c>
      <c r="M20" s="12">
        <v>28.921600000000002</v>
      </c>
      <c r="N20" s="12">
        <v>-4.0831002999999999</v>
      </c>
      <c r="O20" s="12">
        <v>12.8872696</v>
      </c>
      <c r="P20" s="7">
        <v>10197.305</v>
      </c>
      <c r="Q20" s="7">
        <v>719.7</v>
      </c>
      <c r="R20" s="7">
        <v>6.3</v>
      </c>
      <c r="S20" s="12">
        <v>39.393360600000001</v>
      </c>
      <c r="T20" s="12">
        <v>35</v>
      </c>
      <c r="U20" s="12">
        <v>41.24</v>
      </c>
      <c r="V20" s="12">
        <v>2.7945332999999999</v>
      </c>
      <c r="W20" s="12">
        <v>1.3297871999999999</v>
      </c>
      <c r="X20" s="7" t="s">
        <v>107</v>
      </c>
      <c r="Y20" s="7" t="s">
        <v>107</v>
      </c>
      <c r="Z20" s="12">
        <v>-8.5808833999999994</v>
      </c>
      <c r="AA20" s="12">
        <v>76.2032916</v>
      </c>
      <c r="AB20" s="12">
        <v>13.833901900000001</v>
      </c>
      <c r="AC20" s="12">
        <v>20.927061699999999</v>
      </c>
      <c r="AD20" s="12">
        <v>17.480131799999999</v>
      </c>
      <c r="AE20" s="12">
        <v>28.444386999999999</v>
      </c>
      <c r="AF20" s="12">
        <v>87.574754100000007</v>
      </c>
      <c r="AG20" s="12">
        <v>25.869441900000002</v>
      </c>
    </row>
    <row r="21" spans="1:33" s="11" customFormat="1" hidden="1" outlineLevel="1" x14ac:dyDescent="0.3">
      <c r="A21" s="11" t="s">
        <v>27</v>
      </c>
      <c r="B21" s="12">
        <v>7.1740499999999999E-2</v>
      </c>
      <c r="C21" s="12">
        <v>77.180000000000007</v>
      </c>
      <c r="D21" s="12">
        <v>2.3697940000000002</v>
      </c>
      <c r="E21" s="17">
        <v>3.25</v>
      </c>
      <c r="F21" s="13">
        <v>21.1333333</v>
      </c>
      <c r="G21" s="12">
        <v>27.883914600000001</v>
      </c>
      <c r="H21" s="12">
        <v>41.2310692</v>
      </c>
      <c r="I21" s="12">
        <v>-1.5551097</v>
      </c>
      <c r="J21" s="12">
        <v>6.9549341</v>
      </c>
      <c r="K21" s="12">
        <v>17.544326600000002</v>
      </c>
      <c r="L21" s="12">
        <v>-2.3530034</v>
      </c>
      <c r="M21" s="12">
        <v>-23.591335699999998</v>
      </c>
      <c r="N21" s="12">
        <v>10.923598399999999</v>
      </c>
      <c r="O21" s="12">
        <v>6.4128752000000002</v>
      </c>
      <c r="P21" s="7">
        <v>8814.4869999999992</v>
      </c>
      <c r="Q21" s="7">
        <v>1029.4000000000001</v>
      </c>
      <c r="R21" s="7">
        <v>10.1</v>
      </c>
      <c r="S21" s="12">
        <v>39.6564002</v>
      </c>
      <c r="T21" s="12">
        <v>34.200000000000003</v>
      </c>
      <c r="U21" s="12">
        <v>43.566666699999999</v>
      </c>
      <c r="V21" s="12">
        <v>2.8344667000000001</v>
      </c>
      <c r="W21" s="12">
        <v>-4.6449546000000002</v>
      </c>
      <c r="X21" s="7" t="s">
        <v>107</v>
      </c>
      <c r="Y21" s="7" t="s">
        <v>107</v>
      </c>
      <c r="Z21" s="12">
        <v>-2.8897539000000001</v>
      </c>
      <c r="AA21" s="12">
        <v>73.307894300000001</v>
      </c>
      <c r="AB21" s="12">
        <v>19.320718200000002</v>
      </c>
      <c r="AC21" s="12">
        <v>12.9513587</v>
      </c>
      <c r="AD21" s="12">
        <v>26.9171251</v>
      </c>
      <c r="AE21" s="12">
        <v>32.497096200000001</v>
      </c>
      <c r="AF21" s="12">
        <v>97.736280800000003</v>
      </c>
      <c r="AG21" s="12">
        <v>18.870635700000001</v>
      </c>
    </row>
    <row r="22" spans="1:33" s="11" customFormat="1" hidden="1" outlineLevel="1" x14ac:dyDescent="0.3">
      <c r="A22" s="11" t="s">
        <v>28</v>
      </c>
      <c r="B22" s="12">
        <v>1.2490021</v>
      </c>
      <c r="C22" s="12">
        <v>77.933333300000001</v>
      </c>
      <c r="D22" s="12">
        <v>1.8958379000000001</v>
      </c>
      <c r="E22" s="17">
        <v>3.25</v>
      </c>
      <c r="F22" s="13">
        <v>25.053333299999998</v>
      </c>
      <c r="G22" s="12">
        <v>20.149253699999999</v>
      </c>
      <c r="H22" s="12">
        <v>29.099595699999998</v>
      </c>
      <c r="I22" s="12">
        <v>-1.4307908</v>
      </c>
      <c r="J22" s="12">
        <v>10.5951985</v>
      </c>
      <c r="K22" s="12">
        <v>8.7251823000000002</v>
      </c>
      <c r="L22" s="12">
        <v>10.7866804</v>
      </c>
      <c r="M22" s="12">
        <v>2.0823901999999999</v>
      </c>
      <c r="N22" s="12">
        <v>20.2808192</v>
      </c>
      <c r="O22" s="12">
        <v>7.0383526999999999</v>
      </c>
      <c r="P22" s="7">
        <v>9397.5660000000007</v>
      </c>
      <c r="Q22" s="7">
        <v>862.1</v>
      </c>
      <c r="R22" s="7">
        <v>8.1</v>
      </c>
      <c r="S22" s="12">
        <v>27.114993599999998</v>
      </c>
      <c r="T22" s="12">
        <v>30.6</v>
      </c>
      <c r="U22" s="12">
        <v>45.466666699999998</v>
      </c>
      <c r="V22" s="12">
        <v>3.0644999999999998</v>
      </c>
      <c r="W22" s="12">
        <v>-2.6917216000000002</v>
      </c>
      <c r="X22" s="7" t="s">
        <v>107</v>
      </c>
      <c r="Y22" s="7" t="s">
        <v>107</v>
      </c>
      <c r="Z22" s="12">
        <v>-6.0726693000000003</v>
      </c>
      <c r="AA22" s="12">
        <v>69.877133999999998</v>
      </c>
      <c r="AB22" s="12">
        <v>13.951840199999999</v>
      </c>
      <c r="AC22" s="12">
        <v>22.9190173</v>
      </c>
      <c r="AD22" s="12">
        <v>23.066433799999999</v>
      </c>
      <c r="AE22" s="12">
        <v>29.8144253</v>
      </c>
      <c r="AF22" s="12">
        <v>129.0729809</v>
      </c>
      <c r="AG22" s="12">
        <v>21.322243499999999</v>
      </c>
    </row>
    <row r="23" spans="1:33" s="11" customFormat="1" hidden="1" outlineLevel="1" x14ac:dyDescent="0.3">
      <c r="A23" s="11" t="s">
        <v>29</v>
      </c>
      <c r="B23" s="12">
        <v>1.6677649999999999</v>
      </c>
      <c r="C23" s="12">
        <v>77.973333299999993</v>
      </c>
      <c r="D23" s="12">
        <v>1.9037246000000001</v>
      </c>
      <c r="E23" s="17">
        <v>3.25</v>
      </c>
      <c r="F23" s="13">
        <v>26.93</v>
      </c>
      <c r="G23" s="12">
        <v>27.879820899999999</v>
      </c>
      <c r="H23" s="12">
        <v>33.944291499999999</v>
      </c>
      <c r="I23" s="12">
        <v>-0.60938740000000002</v>
      </c>
      <c r="J23" s="12">
        <v>3.4602609000000002</v>
      </c>
      <c r="K23" s="12">
        <v>-1.6330707</v>
      </c>
      <c r="L23" s="12">
        <v>-6.0809075999999997</v>
      </c>
      <c r="M23" s="12">
        <v>27.321605699999999</v>
      </c>
      <c r="N23" s="12">
        <v>21.0864388</v>
      </c>
      <c r="O23" s="12">
        <v>23.937757999999999</v>
      </c>
      <c r="P23" s="7">
        <v>9608.2080000000005</v>
      </c>
      <c r="Q23" s="7">
        <v>815.9</v>
      </c>
      <c r="R23" s="7">
        <v>7.5</v>
      </c>
      <c r="S23" s="12">
        <v>23.007861500000001</v>
      </c>
      <c r="T23" s="12">
        <v>25.6</v>
      </c>
      <c r="U23" s="12">
        <v>46.686666700000004</v>
      </c>
      <c r="V23" s="12">
        <v>3.2520666999999999</v>
      </c>
      <c r="W23" s="12">
        <v>2.8406102</v>
      </c>
      <c r="X23" s="7" t="s">
        <v>107</v>
      </c>
      <c r="Y23" s="7" t="s">
        <v>107</v>
      </c>
      <c r="Z23" s="12">
        <v>-0.337976</v>
      </c>
      <c r="AA23" s="12">
        <v>60.924095800000003</v>
      </c>
      <c r="AB23" s="12">
        <v>14.4202789</v>
      </c>
      <c r="AC23" s="12">
        <v>28.583339599999999</v>
      </c>
      <c r="AD23" s="12">
        <v>24.766401500000001</v>
      </c>
      <c r="AE23" s="12">
        <v>28.6941159</v>
      </c>
      <c r="AF23" s="12">
        <v>144.13138889999999</v>
      </c>
      <c r="AG23" s="12">
        <v>21.7701277</v>
      </c>
    </row>
    <row r="24" spans="1:33" s="11" customFormat="1" hidden="1" outlineLevel="1" x14ac:dyDescent="0.3">
      <c r="A24" s="11" t="s">
        <v>30</v>
      </c>
      <c r="B24" s="12">
        <v>1.208337</v>
      </c>
      <c r="C24" s="12">
        <v>78.4033333</v>
      </c>
      <c r="D24" s="12">
        <v>2.158617</v>
      </c>
      <c r="E24" s="17">
        <v>3.0833333000000001</v>
      </c>
      <c r="F24" s="13">
        <v>26.736666700000001</v>
      </c>
      <c r="G24" s="12">
        <v>23.2130236</v>
      </c>
      <c r="H24" s="12">
        <v>19.906893499999999</v>
      </c>
      <c r="I24" s="12">
        <v>-3.7190064999999999</v>
      </c>
      <c r="J24" s="12">
        <v>3.6513444000000002</v>
      </c>
      <c r="K24" s="12">
        <v>8.1182128000000002</v>
      </c>
      <c r="L24" s="12">
        <v>-8.3930045</v>
      </c>
      <c r="M24" s="12">
        <v>-9.9848838999999998</v>
      </c>
      <c r="N24" s="12">
        <v>15.8962637</v>
      </c>
      <c r="O24" s="12">
        <v>5.5009505000000001</v>
      </c>
      <c r="P24" s="7">
        <v>9116.4480000000003</v>
      </c>
      <c r="Q24" s="7">
        <v>828.8</v>
      </c>
      <c r="R24" s="7">
        <v>8</v>
      </c>
      <c r="S24" s="12">
        <v>22.286241499999999</v>
      </c>
      <c r="T24" s="12">
        <v>20.399999999999999</v>
      </c>
      <c r="U24" s="12">
        <v>48.826666699999997</v>
      </c>
      <c r="V24" s="12">
        <v>3.3483333000000002</v>
      </c>
      <c r="W24" s="12">
        <v>2.7821522999999999</v>
      </c>
      <c r="X24" s="7" t="s">
        <v>107</v>
      </c>
      <c r="Y24" s="7" t="s">
        <v>107</v>
      </c>
      <c r="Z24" s="12">
        <v>-4.2567706999999997</v>
      </c>
      <c r="AA24" s="12">
        <v>72.072913900000003</v>
      </c>
      <c r="AB24" s="12">
        <v>13.2222632</v>
      </c>
      <c r="AC24" s="12">
        <v>21.230246999999999</v>
      </c>
      <c r="AD24" s="12">
        <v>22.354721000000001</v>
      </c>
      <c r="AE24" s="12">
        <v>28.8801451</v>
      </c>
      <c r="AF24" s="12">
        <v>161.54982770000001</v>
      </c>
      <c r="AG24" s="12">
        <v>24.8207314</v>
      </c>
    </row>
    <row r="25" spans="1:33" s="11" customFormat="1" hidden="1" outlineLevel="1" x14ac:dyDescent="0.3">
      <c r="A25" s="11" t="s">
        <v>31</v>
      </c>
      <c r="B25" s="12">
        <v>1.0748135000000001</v>
      </c>
      <c r="C25" s="12">
        <v>78.856666700000005</v>
      </c>
      <c r="D25" s="12">
        <v>2.1724109</v>
      </c>
      <c r="E25" s="17">
        <v>2.6666666999999999</v>
      </c>
      <c r="F25" s="13">
        <v>31.52</v>
      </c>
      <c r="G25" s="12">
        <v>20.134019599999998</v>
      </c>
      <c r="H25" s="12">
        <v>18.077161</v>
      </c>
      <c r="I25" s="12">
        <v>-2.1550473000000001</v>
      </c>
      <c r="J25" s="12">
        <v>1.6444327000000001</v>
      </c>
      <c r="K25" s="12">
        <v>10.674534899999999</v>
      </c>
      <c r="L25" s="12">
        <v>-22.9183488</v>
      </c>
      <c r="M25" s="12">
        <v>-8.8585840000000005</v>
      </c>
      <c r="N25" s="12">
        <v>19.500070900000001</v>
      </c>
      <c r="O25" s="12">
        <v>17.327144700000002</v>
      </c>
      <c r="P25" s="7">
        <v>8806.5630000000001</v>
      </c>
      <c r="Q25" s="7">
        <v>778.8</v>
      </c>
      <c r="R25" s="7">
        <v>8.1</v>
      </c>
      <c r="S25" s="12">
        <v>25.9676711</v>
      </c>
      <c r="T25" s="12">
        <v>18.5</v>
      </c>
      <c r="U25" s="12">
        <v>50.816666699999999</v>
      </c>
      <c r="V25" s="12">
        <v>3.5590999999999999</v>
      </c>
      <c r="W25" s="12">
        <v>-0.50391940000000002</v>
      </c>
      <c r="X25" s="7" t="s">
        <v>107</v>
      </c>
      <c r="Y25" s="7" t="s">
        <v>107</v>
      </c>
      <c r="Z25" s="12">
        <v>-2.6444812999999998</v>
      </c>
      <c r="AA25" s="12">
        <v>71.603587399999995</v>
      </c>
      <c r="AB25" s="12">
        <v>18.707552100000001</v>
      </c>
      <c r="AC25" s="12">
        <v>13.879665599999999</v>
      </c>
      <c r="AD25" s="12">
        <v>31.7431938</v>
      </c>
      <c r="AE25" s="12">
        <v>35.933999</v>
      </c>
      <c r="AF25" s="12">
        <v>182.31676590000001</v>
      </c>
      <c r="AG25" s="12">
        <v>19.1999587</v>
      </c>
    </row>
    <row r="26" spans="1:33" s="11" customFormat="1" hidden="1" outlineLevel="1" x14ac:dyDescent="0.3">
      <c r="A26" s="11" t="s">
        <v>32</v>
      </c>
      <c r="B26" s="12">
        <v>0.33264589999999999</v>
      </c>
      <c r="C26" s="12">
        <v>79.37</v>
      </c>
      <c r="D26" s="12">
        <v>1.843456</v>
      </c>
      <c r="E26" s="17">
        <v>2.3333333000000001</v>
      </c>
      <c r="F26" s="13">
        <v>26.17</v>
      </c>
      <c r="G26" s="12">
        <v>18.0460174</v>
      </c>
      <c r="H26" s="12">
        <v>32.681296199999998</v>
      </c>
      <c r="I26" s="12">
        <v>2.7668138999999998</v>
      </c>
      <c r="J26" s="12">
        <v>2.5363935999999998</v>
      </c>
      <c r="K26" s="12">
        <v>13.9636026</v>
      </c>
      <c r="L26" s="12">
        <v>-20.181794499999999</v>
      </c>
      <c r="M26" s="12">
        <v>2.2953622</v>
      </c>
      <c r="N26" s="12">
        <v>5.8052783999999997</v>
      </c>
      <c r="O26" s="12">
        <v>19.371007899999999</v>
      </c>
      <c r="P26" s="7">
        <v>9431.7250000000004</v>
      </c>
      <c r="Q26" s="7">
        <v>699.7</v>
      </c>
      <c r="R26" s="7">
        <v>6.9</v>
      </c>
      <c r="S26" s="12">
        <v>22.421326700000002</v>
      </c>
      <c r="T26" s="12">
        <v>18.25</v>
      </c>
      <c r="U26" s="12">
        <v>52.183333300000001</v>
      </c>
      <c r="V26" s="12">
        <v>3.742</v>
      </c>
      <c r="W26" s="12">
        <v>0.99164920000000001</v>
      </c>
      <c r="X26" s="7" t="s">
        <v>107</v>
      </c>
      <c r="Y26" s="7" t="s">
        <v>107</v>
      </c>
      <c r="Z26" s="12">
        <v>-9.8235317000000002</v>
      </c>
      <c r="AA26" s="12">
        <v>71.423612599999998</v>
      </c>
      <c r="AB26" s="12">
        <v>14.954955399999999</v>
      </c>
      <c r="AC26" s="12">
        <v>23.850091800000001</v>
      </c>
      <c r="AD26" s="12">
        <v>23.427345800000001</v>
      </c>
      <c r="AE26" s="12">
        <v>33.656005700000001</v>
      </c>
      <c r="AF26" s="12">
        <v>233.56960580000001</v>
      </c>
      <c r="AG26" s="12">
        <v>20.277035600000001</v>
      </c>
    </row>
    <row r="27" spans="1:33" s="11" customFormat="1" hidden="1" outlineLevel="1" x14ac:dyDescent="0.3">
      <c r="A27" s="11" t="s">
        <v>33</v>
      </c>
      <c r="B27" s="12">
        <v>0.71308099999999996</v>
      </c>
      <c r="C27" s="12">
        <v>79.47</v>
      </c>
      <c r="D27" s="12">
        <v>1.9194597</v>
      </c>
      <c r="E27" s="17">
        <v>2</v>
      </c>
      <c r="F27" s="13">
        <v>28.45</v>
      </c>
      <c r="G27" s="12">
        <v>36.6451919</v>
      </c>
      <c r="H27" s="12">
        <v>27.2958167</v>
      </c>
      <c r="I27" s="12">
        <v>-2.8599758</v>
      </c>
      <c r="J27" s="12">
        <v>3.0644759000000001</v>
      </c>
      <c r="K27" s="12">
        <v>9.8744639000000003</v>
      </c>
      <c r="L27" s="12">
        <v>4.2088100000000003E-2</v>
      </c>
      <c r="M27" s="12">
        <v>1.8417215</v>
      </c>
      <c r="N27" s="12">
        <v>-2.5125704999999998</v>
      </c>
      <c r="O27" s="12">
        <v>9.8493285000000004</v>
      </c>
      <c r="P27" s="7">
        <v>9611.768</v>
      </c>
      <c r="Q27" s="7">
        <v>637.70000000000005</v>
      </c>
      <c r="R27" s="7">
        <v>6.2</v>
      </c>
      <c r="S27" s="12">
        <v>22.974387499999999</v>
      </c>
      <c r="T27" s="12">
        <v>19.25</v>
      </c>
      <c r="U27" s="12">
        <v>53.6666667</v>
      </c>
      <c r="V27" s="12">
        <v>3.7410667000000002</v>
      </c>
      <c r="W27" s="12">
        <v>-1.483376</v>
      </c>
      <c r="X27" s="7" t="s">
        <v>107</v>
      </c>
      <c r="Y27" s="7" t="s">
        <v>107</v>
      </c>
      <c r="Z27" s="12">
        <v>-2.5489470000000001</v>
      </c>
      <c r="AA27" s="12">
        <v>61.781128500000001</v>
      </c>
      <c r="AB27" s="12">
        <v>15.405537199999999</v>
      </c>
      <c r="AC27" s="12">
        <v>28.014062599999999</v>
      </c>
      <c r="AD27" s="12">
        <v>23.999313099999998</v>
      </c>
      <c r="AE27" s="12">
        <v>29.2000414</v>
      </c>
      <c r="AF27" s="12">
        <v>271.44499029999997</v>
      </c>
      <c r="AG27" s="12">
        <v>20.8566593</v>
      </c>
    </row>
    <row r="28" spans="1:33" s="11" customFormat="1" hidden="1" outlineLevel="1" x14ac:dyDescent="0.3">
      <c r="A28" s="11" t="s">
        <v>34</v>
      </c>
      <c r="B28" s="12">
        <v>1.3127310999999999</v>
      </c>
      <c r="C28" s="12">
        <v>79.913333300000005</v>
      </c>
      <c r="D28" s="12">
        <v>1.9259385</v>
      </c>
      <c r="E28" s="17">
        <v>2</v>
      </c>
      <c r="F28" s="13">
        <v>29.39</v>
      </c>
      <c r="G28" s="12">
        <v>21.238137099999999</v>
      </c>
      <c r="H28" s="12">
        <v>24.677598799999998</v>
      </c>
      <c r="I28" s="12">
        <v>-2.7568160000000002</v>
      </c>
      <c r="J28" s="12">
        <v>1.9435199000000001</v>
      </c>
      <c r="K28" s="12">
        <v>2.3438300999999999</v>
      </c>
      <c r="L28" s="12">
        <v>-8.1994687000000006</v>
      </c>
      <c r="M28" s="12">
        <v>33.880518000000002</v>
      </c>
      <c r="N28" s="12">
        <v>14.689009199999999</v>
      </c>
      <c r="O28" s="12">
        <v>26.655743099999999</v>
      </c>
      <c r="P28" s="7">
        <v>9039.9750000000004</v>
      </c>
      <c r="Q28" s="7">
        <v>650.79999999999995</v>
      </c>
      <c r="R28" s="7">
        <v>6.7</v>
      </c>
      <c r="S28" s="12">
        <v>23.412843500000001</v>
      </c>
      <c r="T28" s="12">
        <v>21.25</v>
      </c>
      <c r="U28" s="12">
        <v>56.056666700000001</v>
      </c>
      <c r="V28" s="12">
        <v>3.9767667000000002</v>
      </c>
      <c r="W28" s="12">
        <v>-1.9407559000000001</v>
      </c>
      <c r="X28" s="7" t="s">
        <v>107</v>
      </c>
      <c r="Y28" s="7" t="s">
        <v>107</v>
      </c>
      <c r="Z28" s="12">
        <v>-8.5979472000000001</v>
      </c>
      <c r="AA28" s="12">
        <v>70.714578399999994</v>
      </c>
      <c r="AB28" s="12">
        <v>15.882416900000001</v>
      </c>
      <c r="AC28" s="12">
        <v>23.7221279</v>
      </c>
      <c r="AD28" s="12">
        <v>20.638915099999998</v>
      </c>
      <c r="AE28" s="12">
        <v>30.958038299999998</v>
      </c>
      <c r="AF28" s="12">
        <v>258.94652389999999</v>
      </c>
      <c r="AG28" s="12">
        <v>22.109280200000001</v>
      </c>
    </row>
    <row r="29" spans="1:33" s="11" customFormat="1" hidden="1" outlineLevel="1" x14ac:dyDescent="0.3">
      <c r="A29" s="11" t="s">
        <v>35</v>
      </c>
      <c r="B29" s="12">
        <v>2.4350660999999998</v>
      </c>
      <c r="C29" s="12">
        <v>80.113333299999994</v>
      </c>
      <c r="D29" s="12">
        <v>1.5936086</v>
      </c>
      <c r="E29" s="17">
        <v>2</v>
      </c>
      <c r="F29" s="13">
        <v>31.923333299999999</v>
      </c>
      <c r="G29" s="12">
        <v>33.844163299999998</v>
      </c>
      <c r="H29" s="12">
        <v>37.655188099999997</v>
      </c>
      <c r="I29" s="12">
        <v>-1.1183510999999999</v>
      </c>
      <c r="J29" s="12">
        <v>9.2750357000000001</v>
      </c>
      <c r="K29" s="12">
        <v>14.213788299999999</v>
      </c>
      <c r="L29" s="12">
        <v>16.992626399999999</v>
      </c>
      <c r="M29" s="12">
        <v>10.494383900000001</v>
      </c>
      <c r="N29" s="12">
        <v>16.112279000000001</v>
      </c>
      <c r="O29" s="12">
        <v>30.6203705</v>
      </c>
      <c r="P29" s="7">
        <v>8816.8559999999998</v>
      </c>
      <c r="Q29" s="7">
        <v>850.2</v>
      </c>
      <c r="R29" s="7">
        <v>8.8000000000000007</v>
      </c>
      <c r="S29" s="12">
        <v>24.547951999999999</v>
      </c>
      <c r="T29" s="12">
        <v>21.25</v>
      </c>
      <c r="U29" s="12">
        <v>57.726666700000003</v>
      </c>
      <c r="V29" s="12">
        <v>4.0566332999999997</v>
      </c>
      <c r="W29" s="12">
        <v>3.0951042000000002</v>
      </c>
      <c r="X29" s="7" t="s">
        <v>107</v>
      </c>
      <c r="Y29" s="7" t="s">
        <v>107</v>
      </c>
      <c r="Z29" s="12">
        <v>-6.3453491</v>
      </c>
      <c r="AA29" s="12">
        <v>73.613144700000007</v>
      </c>
      <c r="AB29" s="12">
        <v>19.471903699999999</v>
      </c>
      <c r="AC29" s="12">
        <v>13.5236584</v>
      </c>
      <c r="AD29" s="12">
        <v>32.077736700000003</v>
      </c>
      <c r="AE29" s="12">
        <v>38.686443400000002</v>
      </c>
      <c r="AF29" s="12">
        <v>213.0931736</v>
      </c>
      <c r="AG29" s="12">
        <v>18.020191400000002</v>
      </c>
    </row>
    <row r="30" spans="1:33" s="11" customFormat="1" hidden="1" outlineLevel="1" x14ac:dyDescent="0.3">
      <c r="A30" s="11" t="s">
        <v>36</v>
      </c>
      <c r="B30" s="12">
        <v>2.9592486</v>
      </c>
      <c r="C30" s="12">
        <v>81.069999999999993</v>
      </c>
      <c r="D30" s="12">
        <v>2.1418672000000001</v>
      </c>
      <c r="E30" s="17">
        <v>2</v>
      </c>
      <c r="F30" s="13">
        <v>35.446666700000002</v>
      </c>
      <c r="G30" s="12">
        <v>36.815074199999998</v>
      </c>
      <c r="H30" s="12">
        <v>21.090057600000002</v>
      </c>
      <c r="I30" s="12">
        <v>-1.6670084999999999</v>
      </c>
      <c r="J30" s="12">
        <v>7.6271250000000004</v>
      </c>
      <c r="K30" s="12">
        <v>13.229499000000001</v>
      </c>
      <c r="L30" s="12">
        <v>35.6794133</v>
      </c>
      <c r="M30" s="12">
        <v>-11.200321499999999</v>
      </c>
      <c r="N30" s="12">
        <v>22.8018447</v>
      </c>
      <c r="O30" s="12">
        <v>28.900605200000001</v>
      </c>
      <c r="P30" s="7">
        <v>9336.8169999999991</v>
      </c>
      <c r="Q30" s="7">
        <v>776.5</v>
      </c>
      <c r="R30" s="7">
        <v>7.7</v>
      </c>
      <c r="S30" s="12">
        <v>22.3996803</v>
      </c>
      <c r="T30" s="12">
        <v>20.75</v>
      </c>
      <c r="U30" s="12">
        <v>58.6</v>
      </c>
      <c r="V30" s="12">
        <v>4.0663333000000002</v>
      </c>
      <c r="W30" s="12">
        <v>1.2403101000000001</v>
      </c>
      <c r="X30" s="7" t="s">
        <v>107</v>
      </c>
      <c r="Y30" s="7" t="s">
        <v>107</v>
      </c>
      <c r="Z30" s="12">
        <v>-10.0590618</v>
      </c>
      <c r="AA30" s="12">
        <v>72.262140500000001</v>
      </c>
      <c r="AB30" s="12">
        <v>18.690459100000002</v>
      </c>
      <c r="AC30" s="12">
        <v>19.183574199999999</v>
      </c>
      <c r="AD30" s="12">
        <v>26.775404900000002</v>
      </c>
      <c r="AE30" s="12">
        <v>36.9115787</v>
      </c>
      <c r="AF30" s="12">
        <v>133.5800452</v>
      </c>
      <c r="AG30" s="12">
        <v>18.814181099999999</v>
      </c>
    </row>
    <row r="31" spans="1:33" s="11" customFormat="1" hidden="1" outlineLevel="1" x14ac:dyDescent="0.3">
      <c r="A31" s="11" t="s">
        <v>37</v>
      </c>
      <c r="B31" s="12">
        <v>2.4141233999999998</v>
      </c>
      <c r="C31" s="12">
        <v>81.156666700000002</v>
      </c>
      <c r="D31" s="12">
        <v>2.1223942</v>
      </c>
      <c r="E31" s="17">
        <v>2</v>
      </c>
      <c r="F31" s="13">
        <v>41.386666699999999</v>
      </c>
      <c r="G31" s="12">
        <v>8.9069280000000006</v>
      </c>
      <c r="H31" s="12">
        <v>20.893982999999999</v>
      </c>
      <c r="I31" s="12">
        <v>0.3874918</v>
      </c>
      <c r="J31" s="12">
        <v>10.3265128</v>
      </c>
      <c r="K31" s="12">
        <v>19.663489899999998</v>
      </c>
      <c r="L31" s="12">
        <v>-25.989521400000001</v>
      </c>
      <c r="M31" s="12">
        <v>28.133815299999998</v>
      </c>
      <c r="N31" s="12">
        <v>8.8553528999999997</v>
      </c>
      <c r="O31" s="12">
        <v>27.605441200000001</v>
      </c>
      <c r="P31" s="7">
        <v>9398.8130000000001</v>
      </c>
      <c r="Q31" s="7">
        <v>770.6</v>
      </c>
      <c r="R31" s="7">
        <v>7.6</v>
      </c>
      <c r="S31" s="12">
        <v>21.393191000000002</v>
      </c>
      <c r="T31" s="12">
        <v>18.75</v>
      </c>
      <c r="U31" s="12">
        <v>60.0433333</v>
      </c>
      <c r="V31" s="12">
        <v>4.0994333000000003</v>
      </c>
      <c r="W31" s="12">
        <v>2.3883695999999999</v>
      </c>
      <c r="X31" s="7" t="s">
        <v>107</v>
      </c>
      <c r="Y31" s="7" t="s">
        <v>107</v>
      </c>
      <c r="Z31" s="12">
        <v>-6.3252895000000002</v>
      </c>
      <c r="AA31" s="12">
        <v>63.3909977</v>
      </c>
      <c r="AB31" s="12">
        <v>10.020096499999999</v>
      </c>
      <c r="AC31" s="12">
        <v>34.002584300000002</v>
      </c>
      <c r="AD31" s="12">
        <v>25.6804804</v>
      </c>
      <c r="AE31" s="12">
        <v>33.094158899999996</v>
      </c>
      <c r="AF31" s="12">
        <v>87.430816199999995</v>
      </c>
      <c r="AG31" s="12">
        <v>19.663996999999998</v>
      </c>
    </row>
    <row r="32" spans="1:33" s="11" customFormat="1" hidden="1" outlineLevel="1" x14ac:dyDescent="0.3">
      <c r="A32" s="11" t="s">
        <v>38</v>
      </c>
      <c r="B32" s="12">
        <v>2.308249</v>
      </c>
      <c r="C32" s="12">
        <v>81.663333300000005</v>
      </c>
      <c r="D32" s="12">
        <v>2.1898724000000001</v>
      </c>
      <c r="E32" s="17">
        <v>2</v>
      </c>
      <c r="F32" s="13">
        <v>44.163333299999998</v>
      </c>
      <c r="G32" s="12">
        <v>26.1183163</v>
      </c>
      <c r="H32" s="12">
        <v>29.3751295</v>
      </c>
      <c r="I32" s="12">
        <v>-1.9646659</v>
      </c>
      <c r="J32" s="12">
        <v>13.2611258</v>
      </c>
      <c r="K32" s="12">
        <v>15.596960899999999</v>
      </c>
      <c r="L32" s="12">
        <v>-9.1699558999999997</v>
      </c>
      <c r="M32" s="12">
        <v>27.4697934</v>
      </c>
      <c r="N32" s="12">
        <v>11.113548400000001</v>
      </c>
      <c r="O32" s="12">
        <v>16.302529499999999</v>
      </c>
      <c r="P32" s="7">
        <v>9077.9860000000008</v>
      </c>
      <c r="Q32" s="7">
        <v>800.8</v>
      </c>
      <c r="R32" s="7">
        <v>8.1</v>
      </c>
      <c r="S32" s="12">
        <v>22.0374731</v>
      </c>
      <c r="T32" s="12">
        <v>17</v>
      </c>
      <c r="U32" s="12">
        <v>61.6533333</v>
      </c>
      <c r="V32" s="12">
        <v>3.9875332999999999</v>
      </c>
      <c r="W32" s="12">
        <v>4.0104167000000004</v>
      </c>
      <c r="X32" s="7" t="s">
        <v>107</v>
      </c>
      <c r="Y32" s="7" t="s">
        <v>107</v>
      </c>
      <c r="Z32" s="12">
        <v>-10.3006273</v>
      </c>
      <c r="AA32" s="12">
        <v>72.819331199999993</v>
      </c>
      <c r="AB32" s="12">
        <v>13.3745262</v>
      </c>
      <c r="AC32" s="12">
        <v>25.211070100000001</v>
      </c>
      <c r="AD32" s="12">
        <v>21.446336800000001</v>
      </c>
      <c r="AE32" s="12">
        <v>32.851264299999997</v>
      </c>
      <c r="AF32" s="12">
        <v>58.297667500000003</v>
      </c>
      <c r="AG32" s="12">
        <v>18.945245799999999</v>
      </c>
    </row>
    <row r="33" spans="1:33" s="11" customFormat="1" hidden="1" outlineLevel="1" x14ac:dyDescent="0.3">
      <c r="A33" s="11" t="s">
        <v>39</v>
      </c>
      <c r="B33" s="12">
        <v>1.1277817999999999</v>
      </c>
      <c r="C33" s="12">
        <v>81.773333300000004</v>
      </c>
      <c r="D33" s="12">
        <v>2.0720646</v>
      </c>
      <c r="E33" s="17">
        <v>2</v>
      </c>
      <c r="F33" s="13">
        <v>47.696666700000002</v>
      </c>
      <c r="G33" s="12">
        <v>13.7650104</v>
      </c>
      <c r="H33" s="12">
        <v>17.76981</v>
      </c>
      <c r="I33" s="12">
        <v>0.30287809999999998</v>
      </c>
      <c r="J33" s="12">
        <v>9.3270295999999995</v>
      </c>
      <c r="K33" s="12">
        <v>15.436582</v>
      </c>
      <c r="L33" s="12">
        <v>-1.3330531999999999</v>
      </c>
      <c r="M33" s="12">
        <v>24.652185200000002</v>
      </c>
      <c r="N33" s="12">
        <v>12.6244941</v>
      </c>
      <c r="O33" s="12">
        <v>24.1331226</v>
      </c>
      <c r="P33" s="7">
        <v>8908.7999999999993</v>
      </c>
      <c r="Q33" s="7">
        <v>831.6</v>
      </c>
      <c r="R33" s="7">
        <v>8.5</v>
      </c>
      <c r="S33" s="12">
        <v>16.601837700000001</v>
      </c>
      <c r="T33" s="12">
        <v>14.5</v>
      </c>
      <c r="U33" s="12">
        <v>62.843333299999998</v>
      </c>
      <c r="V33" s="12">
        <v>3.7064333</v>
      </c>
      <c r="W33" s="12">
        <v>-1.2008734999999999</v>
      </c>
      <c r="X33" s="7" t="s">
        <v>107</v>
      </c>
      <c r="Y33" s="7" t="s">
        <v>107</v>
      </c>
      <c r="Z33" s="12">
        <v>-6.8880523</v>
      </c>
      <c r="AA33" s="12">
        <v>73.220773399999999</v>
      </c>
      <c r="AB33" s="12">
        <v>17.983749400000001</v>
      </c>
      <c r="AC33" s="12">
        <v>16.769870900000001</v>
      </c>
      <c r="AD33" s="12">
        <v>30.054095799999999</v>
      </c>
      <c r="AE33" s="12">
        <v>38.028489499999999</v>
      </c>
      <c r="AF33" s="12">
        <v>61.399892199999996</v>
      </c>
      <c r="AG33" s="12">
        <v>14.7565083</v>
      </c>
    </row>
    <row r="34" spans="1:33" s="11" customFormat="1" hidden="1" outlineLevel="1" x14ac:dyDescent="0.3">
      <c r="A34" s="11" t="s">
        <v>40</v>
      </c>
      <c r="B34" s="12">
        <v>2.2042253999999999</v>
      </c>
      <c r="C34" s="12">
        <v>82.71</v>
      </c>
      <c r="D34" s="12">
        <v>2.0229431</v>
      </c>
      <c r="E34" s="17">
        <v>2</v>
      </c>
      <c r="F34" s="13">
        <v>51.626666700000001</v>
      </c>
      <c r="G34" s="12">
        <v>15.440842099999999</v>
      </c>
      <c r="H34" s="12">
        <v>13.618990200000001</v>
      </c>
      <c r="I34" s="12">
        <v>-2.2343890000000002</v>
      </c>
      <c r="J34" s="12">
        <v>5.9930257999999998</v>
      </c>
      <c r="K34" s="12">
        <v>13.5762477</v>
      </c>
      <c r="L34" s="12">
        <v>-9.0358906000000001</v>
      </c>
      <c r="M34" s="12">
        <v>16.160511799999998</v>
      </c>
      <c r="N34" s="12">
        <v>4.9485932000000004</v>
      </c>
      <c r="O34" s="12">
        <v>17.720099900000001</v>
      </c>
      <c r="P34" s="7">
        <v>9302.6</v>
      </c>
      <c r="Q34" s="7">
        <v>717.5</v>
      </c>
      <c r="R34" s="7">
        <v>7.2</v>
      </c>
      <c r="S34" s="12">
        <v>17.445294000000001</v>
      </c>
      <c r="T34" s="12">
        <v>12.5</v>
      </c>
      <c r="U34" s="12">
        <v>64.426666699999998</v>
      </c>
      <c r="V34" s="12">
        <v>3.6196000000000002</v>
      </c>
      <c r="W34" s="12">
        <v>-4.0326696999999996</v>
      </c>
      <c r="X34" s="7" t="s">
        <v>107</v>
      </c>
      <c r="Y34" s="7" t="s">
        <v>107</v>
      </c>
      <c r="Z34" s="12">
        <v>-11.229922800000001</v>
      </c>
      <c r="AA34" s="12">
        <v>75.530749999999998</v>
      </c>
      <c r="AB34" s="12">
        <v>17.746259500000001</v>
      </c>
      <c r="AC34" s="12">
        <v>18.676546900000002</v>
      </c>
      <c r="AD34" s="12">
        <v>25.690281800000001</v>
      </c>
      <c r="AE34" s="12">
        <v>37.643838199999998</v>
      </c>
      <c r="AF34" s="12">
        <v>73.676594499999993</v>
      </c>
      <c r="AG34" s="12">
        <v>16.132187600000002</v>
      </c>
    </row>
    <row r="35" spans="1:33" s="11" customFormat="1" hidden="1" outlineLevel="1" x14ac:dyDescent="0.3">
      <c r="A35" s="11" t="s">
        <v>41</v>
      </c>
      <c r="B35" s="12">
        <v>2.0830310000000001</v>
      </c>
      <c r="C35" s="12">
        <v>83.016666700000002</v>
      </c>
      <c r="D35" s="12">
        <v>2.2918634999999998</v>
      </c>
      <c r="E35" s="17">
        <v>2</v>
      </c>
      <c r="F35" s="13">
        <v>61.47</v>
      </c>
      <c r="G35" s="12">
        <v>26.024111300000001</v>
      </c>
      <c r="H35" s="12">
        <v>21.259578600000001</v>
      </c>
      <c r="I35" s="12">
        <v>-0.76100679999999998</v>
      </c>
      <c r="J35" s="12">
        <v>1.8744589</v>
      </c>
      <c r="K35" s="12">
        <v>5.4084582000000001</v>
      </c>
      <c r="L35" s="12">
        <v>50.206571599999997</v>
      </c>
      <c r="M35" s="12">
        <v>-12.240743999999999</v>
      </c>
      <c r="N35" s="12">
        <v>14.7087568</v>
      </c>
      <c r="O35" s="12">
        <v>18.0063703</v>
      </c>
      <c r="P35" s="7">
        <v>9191.2000000000007</v>
      </c>
      <c r="Q35" s="7">
        <v>602.9</v>
      </c>
      <c r="R35" s="7">
        <v>6.2</v>
      </c>
      <c r="S35" s="12">
        <v>18.040272900000001</v>
      </c>
      <c r="T35" s="12">
        <v>7.5</v>
      </c>
      <c r="U35" s="12">
        <v>65.423333299999996</v>
      </c>
      <c r="V35" s="12">
        <v>3.5259333000000002</v>
      </c>
      <c r="W35" s="12">
        <v>-5.1724138000000002</v>
      </c>
      <c r="X35" s="7" t="s">
        <v>107</v>
      </c>
      <c r="Y35" s="7" t="s">
        <v>107</v>
      </c>
      <c r="Z35" s="12">
        <v>-6.9949729999999999</v>
      </c>
      <c r="AA35" s="12">
        <v>62.869704400000003</v>
      </c>
      <c r="AB35" s="12">
        <v>16.0825429</v>
      </c>
      <c r="AC35" s="12">
        <v>28.679765499999998</v>
      </c>
      <c r="AD35" s="12">
        <v>24.299120800000001</v>
      </c>
      <c r="AE35" s="12">
        <v>31.931133599999999</v>
      </c>
      <c r="AF35" s="12">
        <v>81.055767500000002</v>
      </c>
      <c r="AG35" s="12">
        <v>15.5042548</v>
      </c>
    </row>
    <row r="36" spans="1:33" s="11" customFormat="1" hidden="1" outlineLevel="1" x14ac:dyDescent="0.3">
      <c r="A36" s="11" t="s">
        <v>42</v>
      </c>
      <c r="B36" s="12">
        <v>2.0666498999999998</v>
      </c>
      <c r="C36" s="12">
        <v>83.51</v>
      </c>
      <c r="D36" s="12">
        <v>2.2613167999999999</v>
      </c>
      <c r="E36" s="17">
        <v>2.0833333000000001</v>
      </c>
      <c r="F36" s="13">
        <v>56.88</v>
      </c>
      <c r="G36" s="12">
        <v>10.7556867</v>
      </c>
      <c r="H36" s="12">
        <v>16.158137799999999</v>
      </c>
      <c r="I36" s="12">
        <v>-0.51868380000000003</v>
      </c>
      <c r="J36" s="12">
        <v>3.6454952999999999</v>
      </c>
      <c r="K36" s="12">
        <v>12.038622800000001</v>
      </c>
      <c r="L36" s="12">
        <v>0.81350549999999999</v>
      </c>
      <c r="M36" s="12">
        <v>2.0766610000000001</v>
      </c>
      <c r="N36" s="12">
        <v>4.6653788</v>
      </c>
      <c r="O36" s="12">
        <v>19.982390500000001</v>
      </c>
      <c r="P36" s="7">
        <v>9055.7000000000007</v>
      </c>
      <c r="Q36" s="7">
        <v>665.8</v>
      </c>
      <c r="R36" s="7">
        <v>6.8</v>
      </c>
      <c r="S36" s="12">
        <v>16.101558900000001</v>
      </c>
      <c r="T36" s="12">
        <v>7.5</v>
      </c>
      <c r="U36" s="12">
        <v>66.923333299999996</v>
      </c>
      <c r="V36" s="12">
        <v>3.6376333000000001</v>
      </c>
      <c r="W36" s="12">
        <v>-1.9529293999999999</v>
      </c>
      <c r="X36" s="7" t="s">
        <v>107</v>
      </c>
      <c r="Y36" s="7" t="s">
        <v>107</v>
      </c>
      <c r="Z36" s="12">
        <v>-9.4829155000000007</v>
      </c>
      <c r="AA36" s="12">
        <v>74.019216</v>
      </c>
      <c r="AB36" s="12">
        <v>14.2296759</v>
      </c>
      <c r="AC36" s="12">
        <v>24.6487096</v>
      </c>
      <c r="AD36" s="12">
        <v>20.517089599999998</v>
      </c>
      <c r="AE36" s="12">
        <v>33.414691099999999</v>
      </c>
      <c r="AF36" s="12">
        <v>79.976377099999993</v>
      </c>
      <c r="AG36" s="12">
        <v>15.905179499999999</v>
      </c>
    </row>
    <row r="37" spans="1:33" s="11" customFormat="1" hidden="1" outlineLevel="1" x14ac:dyDescent="0.3">
      <c r="A37" s="11" t="s">
        <v>43</v>
      </c>
      <c r="B37" s="12">
        <v>3.8191847000000001</v>
      </c>
      <c r="C37" s="12">
        <v>83.573333300000002</v>
      </c>
      <c r="D37" s="12">
        <v>2.2012065999999999</v>
      </c>
      <c r="E37" s="17">
        <v>2.3333333000000001</v>
      </c>
      <c r="F37" s="13">
        <v>61.753333300000001</v>
      </c>
      <c r="G37" s="12">
        <v>9.7623149999999992</v>
      </c>
      <c r="H37" s="12">
        <v>13.5232484</v>
      </c>
      <c r="I37" s="12">
        <v>1.5241111000000001</v>
      </c>
      <c r="J37" s="12">
        <v>9.5666831000000006</v>
      </c>
      <c r="K37" s="12">
        <v>12.4877295</v>
      </c>
      <c r="L37" s="12">
        <v>-4.9444366000000004</v>
      </c>
      <c r="M37" s="12">
        <v>39.528256300000002</v>
      </c>
      <c r="N37" s="12">
        <v>11.3213256</v>
      </c>
      <c r="O37" s="12">
        <v>21.308832599999999</v>
      </c>
      <c r="P37" s="7">
        <v>9001.4</v>
      </c>
      <c r="Q37" s="7">
        <v>762.5</v>
      </c>
      <c r="R37" s="7">
        <v>7.8</v>
      </c>
      <c r="S37" s="12">
        <v>17.159565700000002</v>
      </c>
      <c r="T37" s="12">
        <v>8.5</v>
      </c>
      <c r="U37" s="12">
        <v>68.28</v>
      </c>
      <c r="V37" s="12">
        <v>3.5638667000000002</v>
      </c>
      <c r="W37" s="12">
        <v>6.6850829999999997</v>
      </c>
      <c r="X37" s="7" t="s">
        <v>107</v>
      </c>
      <c r="Y37" s="7" t="s">
        <v>107</v>
      </c>
      <c r="Z37" s="12">
        <v>-7.1533930000000003</v>
      </c>
      <c r="AA37" s="12">
        <v>72.964810600000007</v>
      </c>
      <c r="AB37" s="12">
        <v>17.7411423</v>
      </c>
      <c r="AC37" s="12">
        <v>18.3777866</v>
      </c>
      <c r="AD37" s="12">
        <v>30.807580999999999</v>
      </c>
      <c r="AE37" s="12">
        <v>39.891320499999999</v>
      </c>
      <c r="AF37" s="12">
        <v>86.061844300000004</v>
      </c>
      <c r="AG37" s="12">
        <v>12.6150286</v>
      </c>
    </row>
    <row r="38" spans="1:33" s="11" customFormat="1" hidden="1" outlineLevel="1" x14ac:dyDescent="0.3">
      <c r="A38" s="11" t="s">
        <v>44</v>
      </c>
      <c r="B38" s="12">
        <v>2.9723983</v>
      </c>
      <c r="C38" s="12">
        <v>84.693333300000006</v>
      </c>
      <c r="D38" s="12">
        <v>2.3979365000000001</v>
      </c>
      <c r="E38" s="17">
        <v>2.5833333000000001</v>
      </c>
      <c r="F38" s="13">
        <v>69.533333299999995</v>
      </c>
      <c r="G38" s="12">
        <v>-0.74715989999999999</v>
      </c>
      <c r="H38" s="12">
        <v>22.907746100000001</v>
      </c>
      <c r="I38" s="12">
        <v>4.9596425999999996</v>
      </c>
      <c r="J38" s="12">
        <v>8.7568721000000007</v>
      </c>
      <c r="K38" s="12">
        <v>10.1863191</v>
      </c>
      <c r="L38" s="12">
        <v>-18.844450699999999</v>
      </c>
      <c r="M38" s="12">
        <v>45.059866499999998</v>
      </c>
      <c r="N38" s="12">
        <v>15.6475116</v>
      </c>
      <c r="O38" s="12">
        <v>23.906135200000001</v>
      </c>
      <c r="P38" s="7">
        <v>9449</v>
      </c>
      <c r="Q38" s="7">
        <v>713.9</v>
      </c>
      <c r="R38" s="7">
        <v>7</v>
      </c>
      <c r="S38" s="12">
        <v>16.889574400000001</v>
      </c>
      <c r="T38" s="12">
        <v>8.75</v>
      </c>
      <c r="U38" s="12">
        <v>69.033333299999995</v>
      </c>
      <c r="V38" s="12">
        <v>3.5154999999999998</v>
      </c>
      <c r="W38" s="12">
        <v>9.7872339999999998</v>
      </c>
      <c r="X38" s="7" t="s">
        <v>107</v>
      </c>
      <c r="Y38" s="7" t="s">
        <v>107</v>
      </c>
      <c r="Z38" s="12">
        <v>-12.622651100000001</v>
      </c>
      <c r="AA38" s="12">
        <v>70.233749599999996</v>
      </c>
      <c r="AB38" s="12">
        <v>14.0134007</v>
      </c>
      <c r="AC38" s="12">
        <v>27.508756999999999</v>
      </c>
      <c r="AD38" s="12">
        <v>25.812043899999999</v>
      </c>
      <c r="AE38" s="12">
        <v>37.567951200000003</v>
      </c>
      <c r="AF38" s="12">
        <v>87.799279299999995</v>
      </c>
      <c r="AG38" s="12">
        <v>12.2427884</v>
      </c>
    </row>
    <row r="39" spans="1:33" s="11" customFormat="1" hidden="1" outlineLevel="1" x14ac:dyDescent="0.3">
      <c r="A39" s="11" t="s">
        <v>45</v>
      </c>
      <c r="B39" s="12">
        <v>3.3099788999999999</v>
      </c>
      <c r="C39" s="12">
        <v>84.873333299999999</v>
      </c>
      <c r="D39" s="12">
        <v>2.2364986</v>
      </c>
      <c r="E39" s="17">
        <v>2.9166666999999999</v>
      </c>
      <c r="F39" s="13">
        <v>69.62</v>
      </c>
      <c r="G39" s="12">
        <v>11.757521799999999</v>
      </c>
      <c r="H39" s="12">
        <v>20.292477000000002</v>
      </c>
      <c r="I39" s="12">
        <v>1.4529860000000001</v>
      </c>
      <c r="J39" s="12">
        <v>8.7554821999999994</v>
      </c>
      <c r="K39" s="12">
        <v>11.709718000000001</v>
      </c>
      <c r="L39" s="12">
        <v>-30.695193799999998</v>
      </c>
      <c r="M39" s="12">
        <v>44.6139565</v>
      </c>
      <c r="N39" s="12">
        <v>8.2079778999999995</v>
      </c>
      <c r="O39" s="12">
        <v>25.462561399999998</v>
      </c>
      <c r="P39" s="7">
        <v>9633.5</v>
      </c>
      <c r="Q39" s="7">
        <v>730.4</v>
      </c>
      <c r="R39" s="7">
        <v>7</v>
      </c>
      <c r="S39" s="12">
        <v>17.573656799999998</v>
      </c>
      <c r="T39" s="12">
        <v>8.75</v>
      </c>
      <c r="U39" s="12">
        <v>69.31</v>
      </c>
      <c r="V39" s="12">
        <v>3.5419999999999998</v>
      </c>
      <c r="W39" s="12">
        <v>10.053476</v>
      </c>
      <c r="X39" s="7" t="s">
        <v>107</v>
      </c>
      <c r="Y39" s="7" t="s">
        <v>107</v>
      </c>
      <c r="Z39" s="12">
        <v>-9.6725224999999995</v>
      </c>
      <c r="AA39" s="12">
        <v>62.034841</v>
      </c>
      <c r="AB39" s="12">
        <v>11.0248788</v>
      </c>
      <c r="AC39" s="12">
        <v>38.093655099999999</v>
      </c>
      <c r="AD39" s="12">
        <v>23.800330299999999</v>
      </c>
      <c r="AE39" s="12">
        <v>34.953705200000002</v>
      </c>
      <c r="AF39" s="12">
        <v>84.820939199999998</v>
      </c>
      <c r="AG39" s="12">
        <v>12.2613436</v>
      </c>
    </row>
    <row r="40" spans="1:33" s="11" customFormat="1" hidden="1" outlineLevel="1" x14ac:dyDescent="0.3">
      <c r="A40" s="11" t="s">
        <v>46</v>
      </c>
      <c r="B40" s="12">
        <v>3.7478780999999999</v>
      </c>
      <c r="C40" s="12">
        <v>85.166666699999993</v>
      </c>
      <c r="D40" s="12">
        <v>1.9837944000000001</v>
      </c>
      <c r="E40" s="17">
        <v>3.3333333000000001</v>
      </c>
      <c r="F40" s="13">
        <v>59.68</v>
      </c>
      <c r="G40" s="12">
        <v>80.169662500000001</v>
      </c>
      <c r="H40" s="12">
        <v>31.352361699999999</v>
      </c>
      <c r="I40" s="12">
        <v>-12.855598199999999</v>
      </c>
      <c r="J40" s="12">
        <v>5.9716433999999996</v>
      </c>
      <c r="K40" s="12">
        <v>7.9895844</v>
      </c>
      <c r="L40" s="12">
        <v>42.6508483</v>
      </c>
      <c r="M40" s="12">
        <v>11.456679899999999</v>
      </c>
      <c r="N40" s="12">
        <v>12.636999899999999</v>
      </c>
      <c r="O40" s="12">
        <v>33.835441500000002</v>
      </c>
      <c r="P40" s="7">
        <v>9080.9</v>
      </c>
      <c r="Q40" s="7">
        <v>706.8</v>
      </c>
      <c r="R40" s="7">
        <v>7.2</v>
      </c>
      <c r="S40" s="12">
        <v>23.682519299999999</v>
      </c>
      <c r="T40" s="12">
        <v>8.75</v>
      </c>
      <c r="U40" s="12">
        <v>70.14</v>
      </c>
      <c r="V40" s="12">
        <v>3.4761000000000002</v>
      </c>
      <c r="W40" s="12">
        <v>10.418794699999999</v>
      </c>
      <c r="X40" s="7" t="s">
        <v>107</v>
      </c>
      <c r="Y40" s="7" t="s">
        <v>107</v>
      </c>
      <c r="Z40" s="12">
        <v>-11.6377065</v>
      </c>
      <c r="AA40" s="12">
        <v>71.035185400000003</v>
      </c>
      <c r="AB40" s="12">
        <v>20.584787800000001</v>
      </c>
      <c r="AC40" s="12">
        <v>23.557771500000001</v>
      </c>
      <c r="AD40" s="12">
        <v>21.1632888</v>
      </c>
      <c r="AE40" s="12">
        <v>36.341033400000001</v>
      </c>
      <c r="AF40" s="12">
        <v>83.760976700000001</v>
      </c>
      <c r="AG40" s="12">
        <v>12.423555</v>
      </c>
    </row>
    <row r="41" spans="1:33" s="11" customFormat="1" hidden="1" outlineLevel="1" x14ac:dyDescent="0.3">
      <c r="A41" s="11" t="s">
        <v>47</v>
      </c>
      <c r="B41" s="12">
        <v>3.5234725999999998</v>
      </c>
      <c r="C41" s="12">
        <v>85.39</v>
      </c>
      <c r="D41" s="12">
        <v>2.1737397000000001</v>
      </c>
      <c r="E41" s="17">
        <v>3.5833333000000001</v>
      </c>
      <c r="F41" s="13">
        <v>57.763333299999999</v>
      </c>
      <c r="G41" s="12">
        <v>37.311571299999997</v>
      </c>
      <c r="H41" s="12">
        <v>30.115814199999999</v>
      </c>
      <c r="I41" s="12">
        <v>-0.49516120000000002</v>
      </c>
      <c r="J41" s="12">
        <v>8.2983455999999993</v>
      </c>
      <c r="K41" s="12">
        <v>19.737736200000001</v>
      </c>
      <c r="L41" s="12">
        <v>0.3237351</v>
      </c>
      <c r="M41" s="12">
        <v>45.857753099999996</v>
      </c>
      <c r="N41" s="12">
        <v>26.111212999999999</v>
      </c>
      <c r="O41" s="12">
        <v>57.708866100000002</v>
      </c>
      <c r="P41" s="7">
        <v>9105.9</v>
      </c>
      <c r="Q41" s="7">
        <v>690.4</v>
      </c>
      <c r="R41" s="7">
        <v>7</v>
      </c>
      <c r="S41" s="12">
        <v>19.950279699999999</v>
      </c>
      <c r="T41" s="12">
        <v>7.5</v>
      </c>
      <c r="U41" s="12">
        <v>70.933333300000001</v>
      </c>
      <c r="V41" s="12">
        <v>3.3812332999999999</v>
      </c>
      <c r="W41" s="12">
        <v>14.1377525</v>
      </c>
      <c r="X41" s="7" t="s">
        <v>107</v>
      </c>
      <c r="Y41" s="7" t="s">
        <v>107</v>
      </c>
      <c r="Z41" s="12">
        <v>-11.7459285</v>
      </c>
      <c r="AA41" s="12">
        <v>74.2864711</v>
      </c>
      <c r="AB41" s="12">
        <v>16.6717361</v>
      </c>
      <c r="AC41" s="12">
        <v>23.541638200000001</v>
      </c>
      <c r="AD41" s="12">
        <v>32.307651399999997</v>
      </c>
      <c r="AE41" s="12">
        <v>46.807496700000002</v>
      </c>
      <c r="AF41" s="12">
        <v>78.085183000000001</v>
      </c>
      <c r="AG41" s="12">
        <v>10.4532136</v>
      </c>
    </row>
    <row r="42" spans="1:33" s="11" customFormat="1" hidden="1" outlineLevel="1" x14ac:dyDescent="0.3">
      <c r="A42" s="11" t="s">
        <v>48</v>
      </c>
      <c r="B42" s="12">
        <v>3.1678283999999999</v>
      </c>
      <c r="C42" s="12">
        <v>86.5</v>
      </c>
      <c r="D42" s="12">
        <v>2.1331864</v>
      </c>
      <c r="E42" s="17">
        <v>3.8333333000000001</v>
      </c>
      <c r="F42" s="13">
        <v>68.583333300000007</v>
      </c>
      <c r="G42" s="12">
        <v>47.121011299999999</v>
      </c>
      <c r="H42" s="12">
        <v>32.915591200000001</v>
      </c>
      <c r="I42" s="12">
        <v>1.8696538</v>
      </c>
      <c r="J42" s="12">
        <v>7.3556650000000001</v>
      </c>
      <c r="K42" s="12">
        <v>11.3085766</v>
      </c>
      <c r="L42" s="12">
        <v>15.5258047</v>
      </c>
      <c r="M42" s="12">
        <v>29.802053999999998</v>
      </c>
      <c r="N42" s="12">
        <v>21.774829</v>
      </c>
      <c r="O42" s="12">
        <v>42.739469700000001</v>
      </c>
      <c r="P42" s="7">
        <v>9442.7999999999993</v>
      </c>
      <c r="Q42" s="7">
        <v>659.7</v>
      </c>
      <c r="R42" s="7">
        <v>6.5</v>
      </c>
      <c r="S42" s="12">
        <v>23.466028099999999</v>
      </c>
      <c r="T42" s="12">
        <v>7</v>
      </c>
      <c r="U42" s="12">
        <v>71.693333300000006</v>
      </c>
      <c r="V42" s="12">
        <v>3.2805667000000001</v>
      </c>
      <c r="W42" s="12">
        <v>9.7868217000000008</v>
      </c>
      <c r="X42" s="7" t="s">
        <v>107</v>
      </c>
      <c r="Y42" s="7" t="s">
        <v>107</v>
      </c>
      <c r="Z42" s="12">
        <v>-14.956852599999999</v>
      </c>
      <c r="AA42" s="12">
        <v>68.473769099999998</v>
      </c>
      <c r="AB42" s="12">
        <v>15.448524600000001</v>
      </c>
      <c r="AC42" s="12">
        <v>30.7675935</v>
      </c>
      <c r="AD42" s="12">
        <v>25.410860100000001</v>
      </c>
      <c r="AE42" s="12">
        <v>40.100747200000001</v>
      </c>
      <c r="AF42" s="12">
        <v>62.444778999999997</v>
      </c>
      <c r="AG42" s="12">
        <v>10.371252800000001</v>
      </c>
    </row>
    <row r="43" spans="1:33" s="11" customFormat="1" hidden="1" outlineLevel="1" x14ac:dyDescent="0.3">
      <c r="A43" s="11" t="s">
        <v>49</v>
      </c>
      <c r="B43" s="12">
        <v>3.1476855000000001</v>
      </c>
      <c r="C43" s="12">
        <v>86.6</v>
      </c>
      <c r="D43" s="12">
        <v>2.0344042999999998</v>
      </c>
      <c r="E43" s="17">
        <v>4</v>
      </c>
      <c r="F43" s="13">
        <v>74.953333299999997</v>
      </c>
      <c r="G43" s="12">
        <v>31.1278586</v>
      </c>
      <c r="H43" s="12">
        <v>27.7708151</v>
      </c>
      <c r="I43" s="12">
        <v>0.71547850000000002</v>
      </c>
      <c r="J43" s="12">
        <v>4.9979984999999996</v>
      </c>
      <c r="K43" s="12">
        <v>13.462131100000001</v>
      </c>
      <c r="L43" s="12">
        <v>16.348232400000001</v>
      </c>
      <c r="M43" s="12">
        <v>13.180365800000001</v>
      </c>
      <c r="N43" s="12">
        <v>10.2330057</v>
      </c>
      <c r="O43" s="12">
        <v>34.553921899999999</v>
      </c>
      <c r="P43" s="7">
        <v>9690.7000000000007</v>
      </c>
      <c r="Q43" s="7">
        <v>614.1</v>
      </c>
      <c r="R43" s="7">
        <v>6</v>
      </c>
      <c r="S43" s="12">
        <v>24.056603800000001</v>
      </c>
      <c r="T43" s="12">
        <v>7</v>
      </c>
      <c r="U43" s="12">
        <v>72.816666699999999</v>
      </c>
      <c r="V43" s="12">
        <v>3.2357333000000001</v>
      </c>
      <c r="W43" s="12">
        <v>8.2604471000000004</v>
      </c>
      <c r="X43" s="7" t="s">
        <v>107</v>
      </c>
      <c r="Y43" s="7" t="s">
        <v>107</v>
      </c>
      <c r="Z43" s="12">
        <v>-11.486975899999999</v>
      </c>
      <c r="AA43" s="12">
        <v>59.173174600000003</v>
      </c>
      <c r="AB43" s="12">
        <v>12.7214323</v>
      </c>
      <c r="AC43" s="12">
        <v>40.567954</v>
      </c>
      <c r="AD43" s="12">
        <v>22.597536999999999</v>
      </c>
      <c r="AE43" s="12">
        <v>35.060097900000002</v>
      </c>
      <c r="AF43" s="12">
        <v>68.917944199999994</v>
      </c>
      <c r="AG43" s="12">
        <v>10.7717779</v>
      </c>
    </row>
    <row r="44" spans="1:33" s="11" customFormat="1" hidden="1" outlineLevel="1" x14ac:dyDescent="0.3">
      <c r="A44" s="11" t="s">
        <v>50</v>
      </c>
      <c r="B44" s="12">
        <v>2.7223932</v>
      </c>
      <c r="C44" s="12">
        <v>87.72</v>
      </c>
      <c r="D44" s="12">
        <v>2.998043</v>
      </c>
      <c r="E44" s="17">
        <v>4</v>
      </c>
      <c r="F44" s="13">
        <v>88.56</v>
      </c>
      <c r="G44" s="12">
        <v>19.2566396</v>
      </c>
      <c r="H44" s="12">
        <v>25.612352000000001</v>
      </c>
      <c r="I44" s="12">
        <v>-10.4277034</v>
      </c>
      <c r="J44" s="12">
        <v>8.5090395999999995</v>
      </c>
      <c r="K44" s="12">
        <v>12.758085100000001</v>
      </c>
      <c r="L44" s="12">
        <v>-10.629341699999999</v>
      </c>
      <c r="M44" s="12">
        <v>35.244328400000001</v>
      </c>
      <c r="N44" s="12">
        <v>26.474730699999999</v>
      </c>
      <c r="O44" s="12">
        <v>35.292677300000001</v>
      </c>
      <c r="P44" s="7">
        <v>9173.9</v>
      </c>
      <c r="Q44" s="7">
        <v>599.5</v>
      </c>
      <c r="R44" s="7">
        <v>6.1</v>
      </c>
      <c r="S44" s="12">
        <v>22.707196700000001</v>
      </c>
      <c r="T44" s="12">
        <v>7.5</v>
      </c>
      <c r="U44" s="12">
        <v>74.893333299999995</v>
      </c>
      <c r="V44" s="12">
        <v>3.4542332999999998</v>
      </c>
      <c r="W44" s="12">
        <v>9.4819610999999995</v>
      </c>
      <c r="X44" s="7" t="s">
        <v>107</v>
      </c>
      <c r="Y44" s="7" t="s">
        <v>107</v>
      </c>
      <c r="Z44" s="12">
        <v>-14.1248261</v>
      </c>
      <c r="AA44" s="12">
        <v>69.489546399999995</v>
      </c>
      <c r="AB44" s="12">
        <v>16.883550799999998</v>
      </c>
      <c r="AC44" s="12">
        <v>28.416101999999999</v>
      </c>
      <c r="AD44" s="12">
        <v>21.554541</v>
      </c>
      <c r="AE44" s="12">
        <v>36.3437403</v>
      </c>
      <c r="AF44" s="12">
        <v>82.086892899999995</v>
      </c>
      <c r="AG44" s="12">
        <v>11.9491575</v>
      </c>
    </row>
    <row r="45" spans="1:33" s="11" customFormat="1" hidden="1" outlineLevel="1" x14ac:dyDescent="0.3">
      <c r="A45" s="11" t="s">
        <v>51</v>
      </c>
      <c r="B45" s="12">
        <v>1.9060995000000001</v>
      </c>
      <c r="C45" s="12">
        <v>88.42</v>
      </c>
      <c r="D45" s="12">
        <v>3.5484249000000001</v>
      </c>
      <c r="E45" s="17">
        <v>4</v>
      </c>
      <c r="F45" s="13">
        <v>96.936666700000004</v>
      </c>
      <c r="G45" s="12">
        <v>39.396748799999997</v>
      </c>
      <c r="H45" s="12">
        <v>32.034829700000003</v>
      </c>
      <c r="I45" s="12">
        <v>-2.8365361999999998</v>
      </c>
      <c r="J45" s="12">
        <v>8.9368575999999997</v>
      </c>
      <c r="K45" s="12">
        <v>12.0865262</v>
      </c>
      <c r="L45" s="12">
        <v>3.6766504000000002</v>
      </c>
      <c r="M45" s="12">
        <v>18.507847900000002</v>
      </c>
      <c r="N45" s="12">
        <v>17.1838628</v>
      </c>
      <c r="O45" s="12">
        <v>24.208299100000001</v>
      </c>
      <c r="P45" s="7">
        <v>9118.6</v>
      </c>
      <c r="Q45" s="7">
        <v>616.70000000000005</v>
      </c>
      <c r="R45" s="7">
        <v>6.3</v>
      </c>
      <c r="S45" s="12">
        <v>24.430051800000001</v>
      </c>
      <c r="T45" s="12">
        <v>9.5</v>
      </c>
      <c r="U45" s="12">
        <v>76.623333299999999</v>
      </c>
      <c r="V45" s="12">
        <v>3.6896</v>
      </c>
      <c r="W45" s="12">
        <v>6.3974592000000001</v>
      </c>
      <c r="X45" s="7" t="s">
        <v>107</v>
      </c>
      <c r="Y45" s="7" t="s">
        <v>107</v>
      </c>
      <c r="Z45" s="12">
        <v>-12.780965200000001</v>
      </c>
      <c r="AA45" s="12">
        <v>71.471647899999994</v>
      </c>
      <c r="AB45" s="12">
        <v>18.3507456</v>
      </c>
      <c r="AC45" s="12">
        <v>25.219373099999999</v>
      </c>
      <c r="AD45" s="12">
        <v>32.963414899999997</v>
      </c>
      <c r="AE45" s="12">
        <v>48.0051816</v>
      </c>
      <c r="AF45" s="12">
        <v>84.137464399999999</v>
      </c>
      <c r="AG45" s="12">
        <v>9.4032690999999993</v>
      </c>
    </row>
    <row r="46" spans="1:33" s="11" customFormat="1" hidden="1" outlineLevel="1" x14ac:dyDescent="0.3">
      <c r="A46" s="11" t="s">
        <v>52</v>
      </c>
      <c r="B46" s="12">
        <v>1.9101475000000001</v>
      </c>
      <c r="C46" s="12">
        <v>89.906666700000002</v>
      </c>
      <c r="D46" s="12">
        <v>3.9383430000000001</v>
      </c>
      <c r="E46" s="17">
        <v>4</v>
      </c>
      <c r="F46" s="13">
        <v>121.3966667</v>
      </c>
      <c r="G46" s="12">
        <v>38.4024657</v>
      </c>
      <c r="H46" s="12">
        <v>15.547191400000001</v>
      </c>
      <c r="I46" s="12">
        <v>-4.6872151999999998</v>
      </c>
      <c r="J46" s="12">
        <v>11.0889761</v>
      </c>
      <c r="K46" s="12">
        <v>12.1117157</v>
      </c>
      <c r="L46" s="12">
        <v>4.1768105000000002</v>
      </c>
      <c r="M46" s="12">
        <v>17.495111600000001</v>
      </c>
      <c r="N46" s="12">
        <v>26.457912199999999</v>
      </c>
      <c r="O46" s="12">
        <v>25.2049412</v>
      </c>
      <c r="P46" s="7">
        <v>9493.2000000000007</v>
      </c>
      <c r="Q46" s="7">
        <v>566.4</v>
      </c>
      <c r="R46" s="7">
        <v>5.6</v>
      </c>
      <c r="S46" s="12">
        <v>25.890909099999998</v>
      </c>
      <c r="T46" s="12">
        <v>10</v>
      </c>
      <c r="U46" s="12">
        <v>77.886666700000006</v>
      </c>
      <c r="V46" s="12">
        <v>3.6522332999999998</v>
      </c>
      <c r="W46" s="12">
        <v>6.7078553000000003</v>
      </c>
      <c r="X46" s="7" t="s">
        <v>107</v>
      </c>
      <c r="Y46" s="7" t="s">
        <v>107</v>
      </c>
      <c r="Z46" s="12">
        <v>-16.881431599999999</v>
      </c>
      <c r="AA46" s="12">
        <v>64.294919100000001</v>
      </c>
      <c r="AB46" s="12">
        <v>17.240736999999999</v>
      </c>
      <c r="AC46" s="12">
        <v>33.131237499999997</v>
      </c>
      <c r="AD46" s="12">
        <v>28.995069099999998</v>
      </c>
      <c r="AE46" s="12">
        <v>43.661962799999998</v>
      </c>
      <c r="AF46" s="12">
        <v>77.392828199999997</v>
      </c>
      <c r="AG46" s="12">
        <v>9.4719382999999997</v>
      </c>
    </row>
    <row r="47" spans="1:33" s="11" customFormat="1" hidden="1" outlineLevel="1" x14ac:dyDescent="0.3">
      <c r="A47" s="11" t="s">
        <v>53</v>
      </c>
      <c r="B47" s="12">
        <v>0.87131639999999999</v>
      </c>
      <c r="C47" s="12">
        <v>90.323333300000002</v>
      </c>
      <c r="D47" s="12">
        <v>4.2994611000000003</v>
      </c>
      <c r="E47" s="17">
        <v>4.25</v>
      </c>
      <c r="F47" s="13">
        <v>114.3966667</v>
      </c>
      <c r="G47" s="12">
        <v>35.251341400000001</v>
      </c>
      <c r="H47" s="12">
        <v>25.3317312</v>
      </c>
      <c r="I47" s="12">
        <v>-1.6907941</v>
      </c>
      <c r="J47" s="12">
        <v>10.769096599999999</v>
      </c>
      <c r="K47" s="12">
        <v>9.3690586000000007</v>
      </c>
      <c r="L47" s="12">
        <v>42.625592099999999</v>
      </c>
      <c r="M47" s="12">
        <v>2.7498942</v>
      </c>
      <c r="N47" s="12">
        <v>16.628571399999998</v>
      </c>
      <c r="O47" s="12">
        <v>13.3054614</v>
      </c>
      <c r="P47" s="7">
        <v>9627.2000000000007</v>
      </c>
      <c r="Q47" s="7">
        <v>551</v>
      </c>
      <c r="R47" s="7">
        <v>5.4</v>
      </c>
      <c r="S47" s="12">
        <v>24.714828900000001</v>
      </c>
      <c r="T47" s="12">
        <v>10.25</v>
      </c>
      <c r="U47" s="12">
        <v>78.77</v>
      </c>
      <c r="V47" s="12">
        <v>3.5760999999999998</v>
      </c>
      <c r="W47" s="12">
        <v>4.6678635000000002</v>
      </c>
      <c r="X47" s="7" t="s">
        <v>107</v>
      </c>
      <c r="Y47" s="7" t="s">
        <v>107</v>
      </c>
      <c r="Z47" s="12">
        <v>-10.2052222</v>
      </c>
      <c r="AA47" s="12">
        <v>60.168256200000002</v>
      </c>
      <c r="AB47" s="12">
        <v>13.537998200000001</v>
      </c>
      <c r="AC47" s="12">
        <v>39.339423799999999</v>
      </c>
      <c r="AD47" s="12">
        <v>24.5861527</v>
      </c>
      <c r="AE47" s="12">
        <v>37.631830800000003</v>
      </c>
      <c r="AF47" s="12">
        <v>58.813688499999998</v>
      </c>
      <c r="AG47" s="12">
        <v>9.9143329999999992</v>
      </c>
    </row>
    <row r="48" spans="1:33" s="11" customFormat="1" hidden="1" outlineLevel="1" x14ac:dyDescent="0.3">
      <c r="A48" s="11" t="s">
        <v>54</v>
      </c>
      <c r="B48" s="12">
        <v>-1.9881508000000001</v>
      </c>
      <c r="C48" s="12">
        <v>90.23</v>
      </c>
      <c r="D48" s="12">
        <v>2.8613770999999999</v>
      </c>
      <c r="E48" s="17">
        <v>3.1666666999999999</v>
      </c>
      <c r="F48" s="13">
        <v>54.66</v>
      </c>
      <c r="G48" s="12">
        <v>9.4266451999999994</v>
      </c>
      <c r="H48" s="12">
        <v>3.2562242000000001</v>
      </c>
      <c r="I48" s="12">
        <v>-10.951838</v>
      </c>
      <c r="J48" s="12">
        <v>6.9556057999999998</v>
      </c>
      <c r="K48" s="12">
        <v>3.2962861000000001</v>
      </c>
      <c r="L48" s="12">
        <v>-15.1247674</v>
      </c>
      <c r="M48" s="12">
        <v>12.1512046</v>
      </c>
      <c r="N48" s="12">
        <v>-2.6530135000000001</v>
      </c>
      <c r="O48" s="12">
        <v>-11.4341136</v>
      </c>
      <c r="P48" s="7">
        <v>9237.5</v>
      </c>
      <c r="Q48" s="7">
        <v>568.20000000000005</v>
      </c>
      <c r="R48" s="7">
        <v>5.8</v>
      </c>
      <c r="S48" s="12">
        <v>19.881431299999999</v>
      </c>
      <c r="T48" s="12">
        <v>10.25</v>
      </c>
      <c r="U48" s="12">
        <v>80.0433333</v>
      </c>
      <c r="V48" s="12">
        <v>3.8181333</v>
      </c>
      <c r="W48" s="12">
        <v>-6.5906209999999996</v>
      </c>
      <c r="X48" s="7" t="s">
        <v>107</v>
      </c>
      <c r="Y48" s="7" t="s">
        <v>107</v>
      </c>
      <c r="Z48" s="12">
        <v>-7.5897325000000002</v>
      </c>
      <c r="AA48" s="12">
        <v>62.302663000000003</v>
      </c>
      <c r="AB48" s="12">
        <v>15.457834200000001</v>
      </c>
      <c r="AC48" s="12">
        <v>32.226348600000001</v>
      </c>
      <c r="AD48" s="12">
        <v>21.232631099999999</v>
      </c>
      <c r="AE48" s="12">
        <v>31.2194769</v>
      </c>
      <c r="AF48" s="12">
        <v>38.732828300000001</v>
      </c>
      <c r="AG48" s="12">
        <v>12.336204499999999</v>
      </c>
    </row>
    <row r="49" spans="1:33" s="11" customFormat="1" hidden="1" outlineLevel="1" x14ac:dyDescent="0.3">
      <c r="A49" s="11" t="s">
        <v>55</v>
      </c>
      <c r="B49" s="12">
        <v>-5.4359460999999998</v>
      </c>
      <c r="C49" s="12">
        <v>89.88</v>
      </c>
      <c r="D49" s="12">
        <v>1.6512100999999999</v>
      </c>
      <c r="E49" s="17">
        <v>1.8333333000000001</v>
      </c>
      <c r="F49" s="13">
        <v>44.433333300000001</v>
      </c>
      <c r="G49" s="12">
        <v>10.2302652</v>
      </c>
      <c r="H49" s="12">
        <v>-5.6478437000000001</v>
      </c>
      <c r="I49" s="12">
        <v>-9.6222591000000008</v>
      </c>
      <c r="J49" s="12">
        <v>-5.1865173999999996</v>
      </c>
      <c r="K49" s="12">
        <v>-9.5186834000000005</v>
      </c>
      <c r="L49" s="12">
        <v>7.1720113999999997</v>
      </c>
      <c r="M49" s="12">
        <v>-34.776263999999998</v>
      </c>
      <c r="N49" s="12">
        <v>-14.9992298</v>
      </c>
      <c r="O49" s="12">
        <v>-29.672024799999999</v>
      </c>
      <c r="P49" s="7">
        <v>9038.6</v>
      </c>
      <c r="Q49" s="7">
        <v>666.1</v>
      </c>
      <c r="R49" s="7">
        <v>6.9</v>
      </c>
      <c r="S49" s="12">
        <v>17.093483200000001</v>
      </c>
      <c r="T49" s="12">
        <v>10</v>
      </c>
      <c r="U49" s="12">
        <v>81.843333299999998</v>
      </c>
      <c r="V49" s="12">
        <v>4.2682000000000002</v>
      </c>
      <c r="W49" s="12">
        <v>-13.0063966</v>
      </c>
      <c r="X49" s="12">
        <v>-16.430509799999999</v>
      </c>
      <c r="Y49" s="12">
        <v>-29.606028599999998</v>
      </c>
      <c r="Z49" s="12">
        <v>-2.5395894999999999</v>
      </c>
      <c r="AA49" s="12">
        <v>68.689793199999997</v>
      </c>
      <c r="AB49" s="12">
        <v>20.918836599999999</v>
      </c>
      <c r="AC49" s="12">
        <v>17.700092000000001</v>
      </c>
      <c r="AD49" s="12">
        <v>31.601700900000001</v>
      </c>
      <c r="AE49" s="12">
        <v>38.910422699999998</v>
      </c>
      <c r="AF49" s="12">
        <v>27.102100799999999</v>
      </c>
      <c r="AG49" s="12">
        <v>15.0020042</v>
      </c>
    </row>
    <row r="50" spans="1:33" s="11" customFormat="1" hidden="1" outlineLevel="1" x14ac:dyDescent="0.3">
      <c r="A50" s="11" t="s">
        <v>56</v>
      </c>
      <c r="B50" s="12">
        <v>-5.8020649999999998</v>
      </c>
      <c r="C50" s="12">
        <v>90.723333299999993</v>
      </c>
      <c r="D50" s="12">
        <v>0.90834930000000003</v>
      </c>
      <c r="E50" s="17">
        <v>1.0833333000000001</v>
      </c>
      <c r="F50" s="13">
        <v>58.696666700000002</v>
      </c>
      <c r="G50" s="12">
        <v>6.7095878000000004</v>
      </c>
      <c r="H50" s="12">
        <v>-3.1226395</v>
      </c>
      <c r="I50" s="12">
        <v>-8.3727791000000007</v>
      </c>
      <c r="J50" s="12">
        <v>-7.2109544000000003</v>
      </c>
      <c r="K50" s="12">
        <v>-10.185789400000001</v>
      </c>
      <c r="L50" s="12">
        <v>6.0646468000000002</v>
      </c>
      <c r="M50" s="12">
        <v>-30.060354199999999</v>
      </c>
      <c r="N50" s="12">
        <v>-11.480961000000001</v>
      </c>
      <c r="O50" s="12">
        <v>-26.9728241</v>
      </c>
      <c r="P50" s="7">
        <v>9381.2999999999993</v>
      </c>
      <c r="Q50" s="7">
        <v>626.6</v>
      </c>
      <c r="R50" s="7">
        <v>6.3</v>
      </c>
      <c r="S50" s="12">
        <v>9.2239553000000001</v>
      </c>
      <c r="T50" s="12">
        <v>9.5</v>
      </c>
      <c r="U50" s="12">
        <v>82.62</v>
      </c>
      <c r="V50" s="12">
        <v>4.1957332999999997</v>
      </c>
      <c r="W50" s="12">
        <v>-8.1472291999999999</v>
      </c>
      <c r="X50" s="12">
        <v>-20.579850799999999</v>
      </c>
      <c r="Y50" s="12">
        <v>-34.38852</v>
      </c>
      <c r="Z50" s="12">
        <v>-7.0478994999999998</v>
      </c>
      <c r="AA50" s="12">
        <v>62.703936900000002</v>
      </c>
      <c r="AB50" s="12">
        <v>18.479885100000001</v>
      </c>
      <c r="AC50" s="12">
        <v>25.393332600000001</v>
      </c>
      <c r="AD50" s="12">
        <v>26.5012677</v>
      </c>
      <c r="AE50" s="12">
        <v>33.0784223</v>
      </c>
      <c r="AF50" s="12">
        <v>14.5756554</v>
      </c>
      <c r="AG50" s="12">
        <v>16.1343009</v>
      </c>
    </row>
    <row r="51" spans="1:33" s="11" customFormat="1" hidden="1" outlineLevel="1" x14ac:dyDescent="0.3">
      <c r="A51" s="11" t="s">
        <v>57</v>
      </c>
      <c r="B51" s="12">
        <v>-4.1677857999999999</v>
      </c>
      <c r="C51" s="12">
        <v>90.663333300000005</v>
      </c>
      <c r="D51" s="12">
        <v>0.37642540000000002</v>
      </c>
      <c r="E51" s="17">
        <v>1</v>
      </c>
      <c r="F51" s="13">
        <v>68.2</v>
      </c>
      <c r="G51" s="12">
        <v>5.8675151999999997</v>
      </c>
      <c r="H51" s="12">
        <v>-13.796754200000001</v>
      </c>
      <c r="I51" s="12">
        <v>-8.2114671000000001</v>
      </c>
      <c r="J51" s="12">
        <v>-5.5440711</v>
      </c>
      <c r="K51" s="12">
        <v>-3.8309468999999998</v>
      </c>
      <c r="L51" s="12">
        <v>-32.643327200000002</v>
      </c>
      <c r="M51" s="12">
        <v>-9.8588637000000006</v>
      </c>
      <c r="N51" s="12">
        <v>-2.6745695</v>
      </c>
      <c r="O51" s="12">
        <v>-16.989814500000001</v>
      </c>
      <c r="P51" s="7">
        <v>9527.1</v>
      </c>
      <c r="Q51" s="7">
        <v>698.9</v>
      </c>
      <c r="R51" s="7">
        <v>6.8</v>
      </c>
      <c r="S51" s="12">
        <v>6.8216463000000003</v>
      </c>
      <c r="T51" s="12">
        <v>8</v>
      </c>
      <c r="U51" s="12">
        <v>82.68</v>
      </c>
      <c r="V51" s="12">
        <v>4.2262332999999996</v>
      </c>
      <c r="W51" s="12">
        <v>-4.2452829999999997</v>
      </c>
      <c r="X51" s="12">
        <v>-16.250745299999998</v>
      </c>
      <c r="Y51" s="12">
        <v>-32.2724902</v>
      </c>
      <c r="Z51" s="12">
        <v>-3.5157216999999998</v>
      </c>
      <c r="AA51" s="12">
        <v>58.222467299999998</v>
      </c>
      <c r="AB51" s="12">
        <v>13.2969183</v>
      </c>
      <c r="AC51" s="12">
        <v>34.6229947</v>
      </c>
      <c r="AD51" s="12">
        <v>25.384376100000001</v>
      </c>
      <c r="AE51" s="12">
        <v>31.5267564</v>
      </c>
      <c r="AF51" s="12">
        <v>3.5477987999999998</v>
      </c>
      <c r="AG51" s="12">
        <v>19.853609299999999</v>
      </c>
    </row>
    <row r="52" spans="1:33" s="11" customFormat="1" hidden="1" outlineLevel="1" x14ac:dyDescent="0.3">
      <c r="A52" s="11" t="s">
        <v>58</v>
      </c>
      <c r="B52" s="12">
        <v>-1.8288317999999999</v>
      </c>
      <c r="C52" s="12">
        <v>91.146666699999997</v>
      </c>
      <c r="D52" s="12">
        <v>1.0159222999999999</v>
      </c>
      <c r="E52" s="17">
        <v>1</v>
      </c>
      <c r="F52" s="13">
        <v>74.63</v>
      </c>
      <c r="G52" s="12">
        <v>-3.7807338000000001</v>
      </c>
      <c r="H52" s="12">
        <v>-6.8632784999999998</v>
      </c>
      <c r="I52" s="12">
        <v>-11.521933499999999</v>
      </c>
      <c r="J52" s="12">
        <v>-4.4073821000000004</v>
      </c>
      <c r="K52" s="12">
        <v>-3.9056117000000001</v>
      </c>
      <c r="L52" s="12">
        <v>10.483424599999999</v>
      </c>
      <c r="M52" s="12">
        <v>-23.315935100000001</v>
      </c>
      <c r="N52" s="12">
        <v>7.3462835000000002</v>
      </c>
      <c r="O52" s="12">
        <v>-8.6374838</v>
      </c>
      <c r="P52" s="7">
        <v>9026.9</v>
      </c>
      <c r="Q52" s="7">
        <v>731.1</v>
      </c>
      <c r="R52" s="7">
        <v>7.5</v>
      </c>
      <c r="S52" s="12">
        <v>1.9074532</v>
      </c>
      <c r="T52" s="12">
        <v>8</v>
      </c>
      <c r="U52" s="12">
        <v>83.67</v>
      </c>
      <c r="V52" s="12">
        <v>4.2683666999999996</v>
      </c>
      <c r="W52" s="12">
        <v>3.9800995000000001</v>
      </c>
      <c r="X52" s="12">
        <v>-5.1878707999999998</v>
      </c>
      <c r="Y52" s="12">
        <v>-18.773672699999999</v>
      </c>
      <c r="Z52" s="12">
        <v>-5.1610307999999998</v>
      </c>
      <c r="AA52" s="12">
        <v>64.277917200000005</v>
      </c>
      <c r="AB52" s="12">
        <v>13.7374884</v>
      </c>
      <c r="AC52" s="12">
        <v>27.9901202</v>
      </c>
      <c r="AD52" s="12">
        <v>22.7263196</v>
      </c>
      <c r="AE52" s="12">
        <v>28.731845400000001</v>
      </c>
      <c r="AF52" s="12">
        <v>1.0215019999999999</v>
      </c>
      <c r="AG52" s="12">
        <v>21.780734500000001</v>
      </c>
    </row>
    <row r="53" spans="1:33" s="11" customFormat="1" hidden="1" outlineLevel="1" x14ac:dyDescent="0.3">
      <c r="A53" s="11" t="s">
        <v>59</v>
      </c>
      <c r="B53" s="12">
        <v>1.1991562</v>
      </c>
      <c r="C53" s="12">
        <v>91.416666699999993</v>
      </c>
      <c r="D53" s="12">
        <v>1.709687</v>
      </c>
      <c r="E53" s="17">
        <v>1</v>
      </c>
      <c r="F53" s="13">
        <v>76.25</v>
      </c>
      <c r="G53" s="12">
        <v>0.6492289</v>
      </c>
      <c r="H53" s="12">
        <v>9.9014400000000002E-2</v>
      </c>
      <c r="I53" s="12">
        <v>-9.7153898999999999</v>
      </c>
      <c r="J53" s="12">
        <v>-1.3296527</v>
      </c>
      <c r="K53" s="12">
        <v>0.22240370000000001</v>
      </c>
      <c r="L53" s="12">
        <v>-7.5035046000000003</v>
      </c>
      <c r="M53" s="12">
        <v>8.8964149999999993</v>
      </c>
      <c r="N53" s="12">
        <v>9.4798626000000006</v>
      </c>
      <c r="O53" s="12">
        <v>12.208191599999999</v>
      </c>
      <c r="P53" s="7">
        <v>8934.2999999999993</v>
      </c>
      <c r="Q53" s="7">
        <v>787.2</v>
      </c>
      <c r="R53" s="7">
        <v>8.1</v>
      </c>
      <c r="S53" s="12">
        <v>6.3477952000000002</v>
      </c>
      <c r="T53" s="12">
        <v>6.5</v>
      </c>
      <c r="U53" s="12">
        <v>85.62</v>
      </c>
      <c r="V53" s="12">
        <v>4.1148332999999999</v>
      </c>
      <c r="W53" s="12">
        <v>5.9803921999999998</v>
      </c>
      <c r="X53" s="12">
        <v>13.451070700000001</v>
      </c>
      <c r="Y53" s="12">
        <v>13.9630346</v>
      </c>
      <c r="Z53" s="12">
        <v>-6.870101</v>
      </c>
      <c r="AA53" s="12">
        <v>72.937536199999997</v>
      </c>
      <c r="AB53" s="12">
        <v>19.448082800000002</v>
      </c>
      <c r="AC53" s="12">
        <v>15.6319508</v>
      </c>
      <c r="AD53" s="12">
        <v>33.931752699999997</v>
      </c>
      <c r="AE53" s="12">
        <v>41.949322500000001</v>
      </c>
      <c r="AF53" s="12">
        <v>-2.7920744000000002</v>
      </c>
      <c r="AG53" s="12">
        <v>24.292075100000002</v>
      </c>
    </row>
    <row r="54" spans="1:33" s="11" customFormat="1" hidden="1" outlineLevel="1" x14ac:dyDescent="0.3">
      <c r="A54" s="11" t="s">
        <v>60</v>
      </c>
      <c r="B54" s="12">
        <v>2.6157658000000001</v>
      </c>
      <c r="C54" s="12">
        <v>92.57</v>
      </c>
      <c r="D54" s="12">
        <v>2.0354926</v>
      </c>
      <c r="E54" s="17">
        <v>1</v>
      </c>
      <c r="F54" s="13">
        <v>78.510000000000005</v>
      </c>
      <c r="G54" s="12">
        <v>2.9288492000000002</v>
      </c>
      <c r="H54" s="12">
        <v>2.4180166999999999</v>
      </c>
      <c r="I54" s="12">
        <v>-8.6007882999999996</v>
      </c>
      <c r="J54" s="12">
        <v>-0.39154539999999999</v>
      </c>
      <c r="K54" s="12">
        <v>-3.3364777999999999</v>
      </c>
      <c r="L54" s="12">
        <v>2.4815683000000002</v>
      </c>
      <c r="M54" s="12">
        <v>11.0211068</v>
      </c>
      <c r="N54" s="12">
        <v>17.1337987</v>
      </c>
      <c r="O54" s="12">
        <v>18.172255499999999</v>
      </c>
      <c r="P54" s="7">
        <v>9488.1</v>
      </c>
      <c r="Q54" s="7">
        <v>697</v>
      </c>
      <c r="R54" s="7">
        <v>6.8</v>
      </c>
      <c r="S54" s="12">
        <v>3.7729195999999998</v>
      </c>
      <c r="T54" s="12">
        <v>6.25</v>
      </c>
      <c r="U54" s="12">
        <v>86.193333300000006</v>
      </c>
      <c r="V54" s="12">
        <v>4.1835667000000001</v>
      </c>
      <c r="W54" s="12">
        <v>4.4124268999999998</v>
      </c>
      <c r="X54" s="12">
        <v>27.3242197</v>
      </c>
      <c r="Y54" s="12">
        <v>27.513249099999999</v>
      </c>
      <c r="Z54" s="12">
        <v>-8.7269497999999999</v>
      </c>
      <c r="AA54" s="12">
        <v>63.882021000000002</v>
      </c>
      <c r="AB54" s="12">
        <v>16.896531700000001</v>
      </c>
      <c r="AC54" s="12">
        <v>27.4496389</v>
      </c>
      <c r="AD54" s="12">
        <v>32.953108499999999</v>
      </c>
      <c r="AE54" s="12">
        <v>41.1813</v>
      </c>
      <c r="AF54" s="12">
        <v>4.7288033</v>
      </c>
      <c r="AG54" s="12">
        <v>26.008376599999998</v>
      </c>
    </row>
    <row r="55" spans="1:33" s="11" customFormat="1" hidden="1" outlineLevel="1" x14ac:dyDescent="0.3">
      <c r="A55" s="11" t="s">
        <v>61</v>
      </c>
      <c r="B55" s="12">
        <v>2.4618717000000001</v>
      </c>
      <c r="C55" s="12">
        <v>92.583333300000007</v>
      </c>
      <c r="D55" s="12">
        <v>2.1177248999999998</v>
      </c>
      <c r="E55" s="17">
        <v>1</v>
      </c>
      <c r="F55" s="13">
        <v>76.819999999999993</v>
      </c>
      <c r="G55" s="12">
        <v>-3.7481507000000001</v>
      </c>
      <c r="H55" s="12">
        <v>12.124926200000001</v>
      </c>
      <c r="I55" s="12">
        <v>-3.3598151999999999</v>
      </c>
      <c r="J55" s="12">
        <v>-7.0304329000000001</v>
      </c>
      <c r="K55" s="12">
        <v>-8.0229301</v>
      </c>
      <c r="L55" s="12">
        <v>9.5067336999999998</v>
      </c>
      <c r="M55" s="12">
        <v>-13.743202</v>
      </c>
      <c r="N55" s="12">
        <v>14.1813012</v>
      </c>
      <c r="O55" s="12">
        <v>6.9817248000000003</v>
      </c>
      <c r="P55" s="7">
        <v>9482.7000000000007</v>
      </c>
      <c r="Q55" s="7">
        <v>702.7</v>
      </c>
      <c r="R55" s="7">
        <v>6.9</v>
      </c>
      <c r="S55" s="12">
        <v>-0.82054939999999998</v>
      </c>
      <c r="T55" s="12">
        <v>6.25</v>
      </c>
      <c r="U55" s="12">
        <v>88.86</v>
      </c>
      <c r="V55" s="12">
        <v>4.2553000000000001</v>
      </c>
      <c r="W55" s="12">
        <v>2.9556650000000002</v>
      </c>
      <c r="X55" s="12">
        <v>24.9118794</v>
      </c>
      <c r="Y55" s="12">
        <v>16.740084</v>
      </c>
      <c r="Z55" s="12">
        <v>-3.4098963000000002</v>
      </c>
      <c r="AA55" s="12">
        <v>58.221592200000003</v>
      </c>
      <c r="AB55" s="12">
        <v>12.703557999999999</v>
      </c>
      <c r="AC55" s="12">
        <v>34.002152100000004</v>
      </c>
      <c r="AD55" s="12">
        <v>30.708906500000001</v>
      </c>
      <c r="AE55" s="12">
        <v>35.636208799999999</v>
      </c>
      <c r="AF55" s="12">
        <v>3.1986441999999999</v>
      </c>
      <c r="AG55" s="12">
        <v>26.803048400000002</v>
      </c>
    </row>
    <row r="56" spans="1:33" s="11" customFormat="1" hidden="1" outlineLevel="1" x14ac:dyDescent="0.3">
      <c r="A56" s="11" t="s">
        <v>62</v>
      </c>
      <c r="B56" s="12">
        <v>2.3931737000000002</v>
      </c>
      <c r="C56" s="12">
        <v>93.383333300000004</v>
      </c>
      <c r="D56" s="12">
        <v>2.4539203000000001</v>
      </c>
      <c r="E56" s="17">
        <v>1</v>
      </c>
      <c r="F56" s="13">
        <v>86.466666700000005</v>
      </c>
      <c r="G56" s="12">
        <v>2.4473425</v>
      </c>
      <c r="H56" s="12">
        <v>18.759564900000001</v>
      </c>
      <c r="I56" s="12">
        <v>-7.6760989000000004</v>
      </c>
      <c r="J56" s="12">
        <v>-5.2746500000000003</v>
      </c>
      <c r="K56" s="12">
        <v>-7.3913824999999997</v>
      </c>
      <c r="L56" s="12">
        <v>-8.0826857000000008</v>
      </c>
      <c r="M56" s="12">
        <v>-0.60954620000000004</v>
      </c>
      <c r="N56" s="12">
        <v>20.4156759</v>
      </c>
      <c r="O56" s="12">
        <v>13.362722399999999</v>
      </c>
      <c r="P56" s="7">
        <v>9052.5</v>
      </c>
      <c r="Q56" s="7">
        <v>713.7</v>
      </c>
      <c r="R56" s="7">
        <v>7.3</v>
      </c>
      <c r="S56" s="12">
        <v>0.74523399999999995</v>
      </c>
      <c r="T56" s="12">
        <v>6.25</v>
      </c>
      <c r="U56" s="12">
        <v>90.23</v>
      </c>
      <c r="V56" s="12">
        <v>4.2885333000000001</v>
      </c>
      <c r="W56" s="12">
        <v>8.5254458999999994</v>
      </c>
      <c r="X56" s="12">
        <v>31.108484600000001</v>
      </c>
      <c r="Y56" s="12">
        <v>22.901168999999999</v>
      </c>
      <c r="Z56" s="12">
        <v>-2.9396040999999999</v>
      </c>
      <c r="AA56" s="12">
        <v>65.264198699999994</v>
      </c>
      <c r="AB56" s="12">
        <v>12.795791899999999</v>
      </c>
      <c r="AC56" s="12">
        <v>27.5033244</v>
      </c>
      <c r="AD56" s="12">
        <v>30.104985200000002</v>
      </c>
      <c r="AE56" s="12">
        <v>35.668300199999997</v>
      </c>
      <c r="AF56" s="12">
        <v>1.8776911000000001</v>
      </c>
      <c r="AG56" s="12">
        <v>28.9705504</v>
      </c>
    </row>
    <row r="57" spans="1:33" s="11" customFormat="1" hidden="1" outlineLevel="1" x14ac:dyDescent="0.3">
      <c r="A57" s="11" t="s">
        <v>63</v>
      </c>
      <c r="B57" s="12">
        <v>3.2110127999999998</v>
      </c>
      <c r="C57" s="12">
        <v>94.073333300000002</v>
      </c>
      <c r="D57" s="12">
        <v>2.9061075000000001</v>
      </c>
      <c r="E57" s="17">
        <v>1</v>
      </c>
      <c r="F57" s="13">
        <v>104.96</v>
      </c>
      <c r="G57" s="12">
        <v>-1.5894136000000001</v>
      </c>
      <c r="H57" s="12">
        <v>10.982273899999999</v>
      </c>
      <c r="I57" s="12">
        <v>-4.2535245000000002</v>
      </c>
      <c r="J57" s="12">
        <v>3.5103146999999999</v>
      </c>
      <c r="K57" s="12">
        <v>3.7277328999999999</v>
      </c>
      <c r="L57" s="12">
        <v>11.897003</v>
      </c>
      <c r="M57" s="12">
        <v>-20.344107099999999</v>
      </c>
      <c r="N57" s="12">
        <v>17.4632744</v>
      </c>
      <c r="O57" s="12">
        <v>7.9568098000000003</v>
      </c>
      <c r="P57" s="7">
        <v>9068.7000000000007</v>
      </c>
      <c r="Q57" s="7">
        <v>740.6</v>
      </c>
      <c r="R57" s="7">
        <v>7.6</v>
      </c>
      <c r="S57" s="12">
        <v>-0.30095300000000003</v>
      </c>
      <c r="T57" s="12">
        <v>6.25</v>
      </c>
      <c r="U57" s="12">
        <v>92.076666700000004</v>
      </c>
      <c r="V57" s="12">
        <v>4.2233999999999998</v>
      </c>
      <c r="W57" s="12">
        <v>12.8122109</v>
      </c>
      <c r="X57" s="12">
        <v>37.125495600000001</v>
      </c>
      <c r="Y57" s="12">
        <v>21.341434499999998</v>
      </c>
      <c r="Z57" s="12">
        <v>-2.8234390999999999</v>
      </c>
      <c r="AA57" s="12">
        <v>72.824184099999997</v>
      </c>
      <c r="AB57" s="12">
        <v>15.200961</v>
      </c>
      <c r="AC57" s="12">
        <v>15.972148199999999</v>
      </c>
      <c r="AD57" s="12">
        <v>42.465769899999998</v>
      </c>
      <c r="AE57" s="12">
        <v>46.463063099999999</v>
      </c>
      <c r="AF57" s="12">
        <v>-0.37284800000000001</v>
      </c>
      <c r="AG57" s="12">
        <v>27.429222599999999</v>
      </c>
    </row>
    <row r="58" spans="1:33" s="11" customFormat="1" hidden="1" outlineLevel="1" x14ac:dyDescent="0.3">
      <c r="A58" s="11" t="s">
        <v>64</v>
      </c>
      <c r="B58" s="12">
        <v>2.1036085</v>
      </c>
      <c r="C58" s="12">
        <v>95.516666700000002</v>
      </c>
      <c r="D58" s="12">
        <v>3.1831767000000002</v>
      </c>
      <c r="E58" s="17">
        <v>1.25</v>
      </c>
      <c r="F58" s="13">
        <v>117.36</v>
      </c>
      <c r="G58" s="12">
        <v>-2.4805931999999999</v>
      </c>
      <c r="H58" s="12">
        <v>13.601035299999999</v>
      </c>
      <c r="I58" s="12">
        <v>-2.8552108999999999</v>
      </c>
      <c r="J58" s="12">
        <v>3.4775528000000002</v>
      </c>
      <c r="K58" s="12">
        <v>3.6188440000000002</v>
      </c>
      <c r="L58" s="12">
        <v>-3.1870522000000001</v>
      </c>
      <c r="M58" s="12">
        <v>9.1232513999999991</v>
      </c>
      <c r="N58" s="12">
        <v>8.1990580000000008</v>
      </c>
      <c r="O58" s="12">
        <v>7.9171969999999998</v>
      </c>
      <c r="P58" s="7">
        <v>9209.7999999999993</v>
      </c>
      <c r="Q58" s="7">
        <v>710.9</v>
      </c>
      <c r="R58" s="7">
        <v>7.2</v>
      </c>
      <c r="S58" s="12">
        <v>3.6357458</v>
      </c>
      <c r="T58" s="12">
        <v>6.25</v>
      </c>
      <c r="U58" s="12">
        <v>93.343333299999998</v>
      </c>
      <c r="V58" s="12">
        <v>4.1360999999999999</v>
      </c>
      <c r="W58" s="12">
        <v>6.9426477000000002</v>
      </c>
      <c r="X58" s="12">
        <v>17.7844868</v>
      </c>
      <c r="Y58" s="12">
        <v>14.7662969</v>
      </c>
      <c r="Z58" s="12">
        <v>-8.8672071999999993</v>
      </c>
      <c r="AA58" s="12">
        <v>64.507311999999999</v>
      </c>
      <c r="AB58" s="12">
        <v>14.345793499999999</v>
      </c>
      <c r="AC58" s="12">
        <v>28.908260899999998</v>
      </c>
      <c r="AD58" s="12">
        <v>35.672006799999998</v>
      </c>
      <c r="AE58" s="12">
        <v>43.433373199999998</v>
      </c>
      <c r="AF58" s="12">
        <v>-2.287039</v>
      </c>
      <c r="AG58" s="12">
        <v>30.6387413</v>
      </c>
    </row>
    <row r="59" spans="1:33" s="11" customFormat="1" hidden="1" outlineLevel="1" x14ac:dyDescent="0.3">
      <c r="A59" s="11" t="s">
        <v>65</v>
      </c>
      <c r="B59" s="12">
        <v>1.8176159000000001</v>
      </c>
      <c r="C59" s="12">
        <v>95.433333300000001</v>
      </c>
      <c r="D59" s="12">
        <v>3.0783078000000001</v>
      </c>
      <c r="E59" s="17">
        <v>1.5</v>
      </c>
      <c r="F59" s="13">
        <v>113.34</v>
      </c>
      <c r="G59" s="12">
        <v>4.5707987000000001</v>
      </c>
      <c r="H59" s="12">
        <v>5.1113359999999997</v>
      </c>
      <c r="I59" s="12">
        <v>-3.0834358000000002</v>
      </c>
      <c r="J59" s="12">
        <v>9.7466282999999994</v>
      </c>
      <c r="K59" s="12">
        <v>9.4079637999999992</v>
      </c>
      <c r="L59" s="12">
        <v>-0.86464609999999997</v>
      </c>
      <c r="M59" s="12">
        <v>17.3866874</v>
      </c>
      <c r="N59" s="12">
        <v>12.164225399999999</v>
      </c>
      <c r="O59" s="12">
        <v>13.322789200000001</v>
      </c>
      <c r="P59" s="7">
        <v>9230.9</v>
      </c>
      <c r="Q59" s="7">
        <v>718.3</v>
      </c>
      <c r="R59" s="7">
        <v>7.2</v>
      </c>
      <c r="S59" s="12">
        <v>8.7949640000000002</v>
      </c>
      <c r="T59" s="12">
        <v>6.25</v>
      </c>
      <c r="U59" s="12">
        <v>92.62</v>
      </c>
      <c r="V59" s="12">
        <v>4.2585332999999999</v>
      </c>
      <c r="W59" s="12">
        <v>7.8729883000000003</v>
      </c>
      <c r="X59" s="12">
        <v>16.913344899999998</v>
      </c>
      <c r="Y59" s="12">
        <v>17.1233869</v>
      </c>
      <c r="Z59" s="12">
        <v>-4.2913519999999998</v>
      </c>
      <c r="AA59" s="12">
        <v>59.2433026</v>
      </c>
      <c r="AB59" s="12">
        <v>11.8157563</v>
      </c>
      <c r="AC59" s="12">
        <v>34.3119254</v>
      </c>
      <c r="AD59" s="12">
        <v>33.060040899999997</v>
      </c>
      <c r="AE59" s="12">
        <v>38.431025200000001</v>
      </c>
      <c r="AF59" s="12">
        <v>1.7698198999999999</v>
      </c>
      <c r="AG59" s="12">
        <v>30.589473900000002</v>
      </c>
    </row>
    <row r="60" spans="1:33" s="11" customFormat="1" hidden="1" outlineLevel="1" x14ac:dyDescent="0.3">
      <c r="A60" s="11" t="s">
        <v>66</v>
      </c>
      <c r="B60" s="12">
        <v>0.47384009999999999</v>
      </c>
      <c r="C60" s="12">
        <v>96.41</v>
      </c>
      <c r="D60" s="12">
        <v>3.2411208999999999</v>
      </c>
      <c r="E60" s="17">
        <v>1.25</v>
      </c>
      <c r="F60" s="13">
        <v>109.3966667</v>
      </c>
      <c r="G60" s="12">
        <v>16.562359900000001</v>
      </c>
      <c r="H60" s="12">
        <v>7.6040162999999996</v>
      </c>
      <c r="I60" s="12">
        <v>-10.903652900000001</v>
      </c>
      <c r="J60" s="12">
        <v>1.3997529</v>
      </c>
      <c r="K60" s="12">
        <v>2.8111210999999998</v>
      </c>
      <c r="L60" s="12">
        <v>-9.6356987000000007</v>
      </c>
      <c r="M60" s="12">
        <v>5.0909575</v>
      </c>
      <c r="N60" s="12">
        <v>11.480575399999999</v>
      </c>
      <c r="O60" s="12">
        <v>9.5282101000000008</v>
      </c>
      <c r="P60" s="7">
        <v>9041.6</v>
      </c>
      <c r="Q60" s="7">
        <v>751.1</v>
      </c>
      <c r="R60" s="7">
        <v>7.7</v>
      </c>
      <c r="S60" s="12">
        <v>7.8788920999999998</v>
      </c>
      <c r="T60" s="12">
        <v>6</v>
      </c>
      <c r="U60" s="12">
        <v>93.313333299999996</v>
      </c>
      <c r="V60" s="12">
        <v>4.3361999999999998</v>
      </c>
      <c r="W60" s="12">
        <v>2.8857715000000002</v>
      </c>
      <c r="X60" s="12">
        <v>13.184967800000001</v>
      </c>
      <c r="Y60" s="12">
        <v>10.985881900000001</v>
      </c>
      <c r="Z60" s="12">
        <v>-3.4154610000000001</v>
      </c>
      <c r="AA60" s="12">
        <v>63.682173400000003</v>
      </c>
      <c r="AB60" s="12">
        <v>13.139548700000001</v>
      </c>
      <c r="AC60" s="12">
        <v>28.379453000000002</v>
      </c>
      <c r="AD60" s="12">
        <v>32.166192700000003</v>
      </c>
      <c r="AE60" s="12">
        <v>37.367367700000003</v>
      </c>
      <c r="AF60" s="12">
        <v>2.1119081999999998</v>
      </c>
      <c r="AG60" s="12">
        <v>32.3493754</v>
      </c>
    </row>
    <row r="61" spans="1:33" s="11" customFormat="1" hidden="1" outlineLevel="1" x14ac:dyDescent="0.3">
      <c r="A61" s="11" t="s">
        <v>67</v>
      </c>
      <c r="B61" s="12">
        <v>3.7986600000000002E-2</v>
      </c>
      <c r="C61" s="12">
        <v>96.803333300000006</v>
      </c>
      <c r="D61" s="12">
        <v>2.9019914</v>
      </c>
      <c r="E61" s="17">
        <v>1</v>
      </c>
      <c r="F61" s="13">
        <v>118.49</v>
      </c>
      <c r="G61" s="12">
        <v>4.7740467000000004</v>
      </c>
      <c r="H61" s="12">
        <v>8.3306220999999994</v>
      </c>
      <c r="I61" s="12">
        <v>-3.0360879999999999</v>
      </c>
      <c r="J61" s="12">
        <v>5.7819333999999998</v>
      </c>
      <c r="K61" s="12">
        <v>7.3968683000000004</v>
      </c>
      <c r="L61" s="12">
        <v>4.4049259000000003</v>
      </c>
      <c r="M61" s="12">
        <v>-10.568591400000001</v>
      </c>
      <c r="N61" s="12">
        <v>8.1810188999999998</v>
      </c>
      <c r="O61" s="12">
        <v>3.9971885</v>
      </c>
      <c r="P61" s="7">
        <v>8370.1</v>
      </c>
      <c r="Q61" s="7">
        <v>662.1</v>
      </c>
      <c r="R61" s="7">
        <v>7.3</v>
      </c>
      <c r="S61" s="12">
        <v>3.5720274999999999</v>
      </c>
      <c r="T61" s="12">
        <v>5.25</v>
      </c>
      <c r="U61" s="12">
        <v>94.533333299999995</v>
      </c>
      <c r="V61" s="12">
        <v>4.3532666999999998</v>
      </c>
      <c r="W61" s="12">
        <v>1.8450184999999999</v>
      </c>
      <c r="X61" s="12">
        <v>2.4021762999999998</v>
      </c>
      <c r="Y61" s="12">
        <v>3.8066149</v>
      </c>
      <c r="Z61" s="12">
        <v>-4.3992025999999997</v>
      </c>
      <c r="AA61" s="12">
        <v>74.679169599999994</v>
      </c>
      <c r="AB61" s="12">
        <v>16.3235305</v>
      </c>
      <c r="AC61" s="12">
        <v>13.8293024</v>
      </c>
      <c r="AD61" s="12">
        <v>43.636950499999998</v>
      </c>
      <c r="AE61" s="12">
        <v>48.468952999999999</v>
      </c>
      <c r="AF61" s="12">
        <v>6.5184902999999998</v>
      </c>
      <c r="AG61" s="12">
        <v>33.525670900000001</v>
      </c>
    </row>
    <row r="62" spans="1:33" s="11" customFormat="1" hidden="1" outlineLevel="1" x14ac:dyDescent="0.3">
      <c r="A62" s="11" t="s">
        <v>68</v>
      </c>
      <c r="B62" s="12">
        <v>-0.91019320000000004</v>
      </c>
      <c r="C62" s="12">
        <v>97.993333300000003</v>
      </c>
      <c r="D62" s="12">
        <v>2.5929156999999998</v>
      </c>
      <c r="E62" s="17">
        <v>1</v>
      </c>
      <c r="F62" s="13">
        <v>108.41666669999999</v>
      </c>
      <c r="G62" s="12">
        <v>4.7915875999999997</v>
      </c>
      <c r="H62" s="12">
        <v>5.7250677000000003</v>
      </c>
      <c r="I62" s="12">
        <v>-2.4889141000000001</v>
      </c>
      <c r="J62" s="12">
        <v>2.9446493</v>
      </c>
      <c r="K62" s="12">
        <v>3.2669128999999999</v>
      </c>
      <c r="L62" s="12">
        <v>6.1024273000000004</v>
      </c>
      <c r="M62" s="12">
        <v>-5.6196752999999999</v>
      </c>
      <c r="N62" s="12">
        <v>3.3041220999999998</v>
      </c>
      <c r="O62" s="12">
        <v>-1.0490318000000001</v>
      </c>
      <c r="P62" s="7">
        <v>8708.2999999999993</v>
      </c>
      <c r="Q62" s="7">
        <v>620.70000000000005</v>
      </c>
      <c r="R62" s="7">
        <v>6.7</v>
      </c>
      <c r="S62" s="12">
        <v>4.7377048999999998</v>
      </c>
      <c r="T62" s="12">
        <v>5.25</v>
      </c>
      <c r="U62" s="12">
        <v>95.26</v>
      </c>
      <c r="V62" s="12">
        <v>4.4275666999999999</v>
      </c>
      <c r="W62" s="12">
        <v>2.7822581</v>
      </c>
      <c r="X62" s="12">
        <v>4.8565196000000004</v>
      </c>
      <c r="Y62" s="12">
        <v>1.7584668000000001</v>
      </c>
      <c r="Z62" s="12">
        <v>-6.9496377000000003</v>
      </c>
      <c r="AA62" s="12">
        <v>65.443592100000004</v>
      </c>
      <c r="AB62" s="12">
        <v>13.764639600000001</v>
      </c>
      <c r="AC62" s="12">
        <v>27.640718</v>
      </c>
      <c r="AD62" s="12">
        <v>37.394037599999997</v>
      </c>
      <c r="AE62" s="12">
        <v>44.242987100000001</v>
      </c>
      <c r="AF62" s="12">
        <v>3.4017970000000002</v>
      </c>
      <c r="AG62" s="12">
        <v>33.249574600000003</v>
      </c>
    </row>
    <row r="63" spans="1:33" s="11" customFormat="1" hidden="1" outlineLevel="1" x14ac:dyDescent="0.3">
      <c r="A63" s="11" t="s">
        <v>69</v>
      </c>
      <c r="B63" s="12">
        <v>-1.0352741000000001</v>
      </c>
      <c r="C63" s="12">
        <v>97.9566667</v>
      </c>
      <c r="D63" s="12">
        <v>2.6440796999999998</v>
      </c>
      <c r="E63" s="17">
        <v>0.75</v>
      </c>
      <c r="F63" s="13">
        <v>109.61333329999999</v>
      </c>
      <c r="G63" s="12">
        <v>0.77707680000000001</v>
      </c>
      <c r="H63" s="12">
        <v>8.2935858000000007</v>
      </c>
      <c r="I63" s="12">
        <v>-0.88055479999999997</v>
      </c>
      <c r="J63" s="12">
        <v>-1.0532265999999999</v>
      </c>
      <c r="K63" s="12">
        <v>-1.6680864</v>
      </c>
      <c r="L63" s="12">
        <v>11.3152401</v>
      </c>
      <c r="M63" s="12">
        <v>-7.0301437</v>
      </c>
      <c r="N63" s="12">
        <v>-1.8844198000000001</v>
      </c>
      <c r="O63" s="12">
        <v>-3.7938505999999999</v>
      </c>
      <c r="P63" s="7">
        <v>8785.5</v>
      </c>
      <c r="Q63" s="7">
        <v>616.5</v>
      </c>
      <c r="R63" s="7">
        <v>6.6</v>
      </c>
      <c r="S63" s="12">
        <v>5.5711687999999997</v>
      </c>
      <c r="T63" s="12">
        <v>5.25</v>
      </c>
      <c r="U63" s="12">
        <v>96.466666700000005</v>
      </c>
      <c r="V63" s="12">
        <v>4.5248999999999997</v>
      </c>
      <c r="W63" s="12">
        <v>1.7338709000000001</v>
      </c>
      <c r="X63" s="12">
        <v>-1.3250961000000001</v>
      </c>
      <c r="Y63" s="12">
        <v>-2.2861068000000002</v>
      </c>
      <c r="Z63" s="12">
        <v>-4.9153871999999996</v>
      </c>
      <c r="AA63" s="12">
        <v>59.109055400000003</v>
      </c>
      <c r="AB63" s="12">
        <v>12.649794399999999</v>
      </c>
      <c r="AC63" s="12">
        <v>33.254108199999997</v>
      </c>
      <c r="AD63" s="12">
        <v>32.841507800000002</v>
      </c>
      <c r="AE63" s="12">
        <v>37.854465699999999</v>
      </c>
      <c r="AF63" s="12">
        <v>1.7061919000000001</v>
      </c>
      <c r="AG63" s="12">
        <v>33.460578300000002</v>
      </c>
    </row>
    <row r="64" spans="1:33" s="11" customFormat="1" hidden="1" outlineLevel="1" x14ac:dyDescent="0.3">
      <c r="A64" s="11" t="s">
        <v>70</v>
      </c>
      <c r="B64" s="12">
        <v>-0.98067590000000004</v>
      </c>
      <c r="C64" s="12">
        <v>98.773333300000004</v>
      </c>
      <c r="D64" s="12">
        <v>2.4513362999999999</v>
      </c>
      <c r="E64" s="17">
        <v>0.75</v>
      </c>
      <c r="F64" s="13">
        <v>110.08666669999999</v>
      </c>
      <c r="G64" s="12">
        <v>-5.9674981000000002</v>
      </c>
      <c r="H64" s="12">
        <v>-1.0077427000000001</v>
      </c>
      <c r="I64" s="12">
        <v>-8.1664946999999994</v>
      </c>
      <c r="J64" s="12">
        <v>1.437236</v>
      </c>
      <c r="K64" s="12">
        <v>-1.5043116000000001</v>
      </c>
      <c r="L64" s="12">
        <v>8.5073626000000004</v>
      </c>
      <c r="M64" s="12">
        <v>-0.85507759999999999</v>
      </c>
      <c r="N64" s="12">
        <v>-3.6896208000000001</v>
      </c>
      <c r="O64" s="12">
        <v>-5.2472751999999998</v>
      </c>
      <c r="P64" s="7">
        <v>8556.2999999999993</v>
      </c>
      <c r="Q64" s="7">
        <v>609.5</v>
      </c>
      <c r="R64" s="7">
        <v>6.6</v>
      </c>
      <c r="S64" s="12">
        <v>6.1234253000000001</v>
      </c>
      <c r="T64" s="12">
        <v>5.25</v>
      </c>
      <c r="U64" s="12">
        <v>97.656666700000002</v>
      </c>
      <c r="V64" s="12">
        <v>4.5265332999999996</v>
      </c>
      <c r="W64" s="12">
        <v>3.3502141999999999</v>
      </c>
      <c r="X64" s="12">
        <v>1.9178211000000001</v>
      </c>
      <c r="Y64" s="12">
        <v>-2.1169707</v>
      </c>
      <c r="Z64" s="12">
        <v>-3.0069219</v>
      </c>
      <c r="AA64" s="12">
        <v>62.7379599</v>
      </c>
      <c r="AB64" s="12">
        <v>13.1769853</v>
      </c>
      <c r="AC64" s="12">
        <v>27.837267600000001</v>
      </c>
      <c r="AD64" s="12">
        <v>32.0285327</v>
      </c>
      <c r="AE64" s="12">
        <v>35.780745400000001</v>
      </c>
      <c r="AF64" s="12">
        <v>0.19625500000000001</v>
      </c>
      <c r="AG64" s="12">
        <v>35.373035899999998</v>
      </c>
    </row>
    <row r="65" spans="1:33" s="11" customFormat="1" hidden="1" outlineLevel="1" x14ac:dyDescent="0.3">
      <c r="A65" s="11" t="s">
        <v>71</v>
      </c>
      <c r="B65" s="12">
        <v>-1.6415721999999999</v>
      </c>
      <c r="C65" s="12">
        <v>98.726666699999996</v>
      </c>
      <c r="D65" s="12">
        <v>1.9868463000000001</v>
      </c>
      <c r="E65" s="17">
        <v>0.75</v>
      </c>
      <c r="F65" s="13">
        <v>112.4933333</v>
      </c>
      <c r="G65" s="12">
        <v>1.5464028999999999</v>
      </c>
      <c r="H65" s="12">
        <v>-4.3677257000000003</v>
      </c>
      <c r="I65" s="12">
        <v>-5.3687228999999999</v>
      </c>
      <c r="J65" s="12">
        <v>-4.2255766000000001</v>
      </c>
      <c r="K65" s="12">
        <v>-7.9925503000000004</v>
      </c>
      <c r="L65" s="12">
        <v>0.9776184</v>
      </c>
      <c r="M65" s="12">
        <v>-4.3639711999999999</v>
      </c>
      <c r="N65" s="12">
        <v>11.772997500000001</v>
      </c>
      <c r="O65" s="12">
        <v>3.9691766999999998</v>
      </c>
      <c r="P65" s="7">
        <v>8339.2000000000007</v>
      </c>
      <c r="Q65" s="7">
        <v>655.20000000000005</v>
      </c>
      <c r="R65" s="7">
        <v>7.3</v>
      </c>
      <c r="S65" s="12">
        <v>5.4566062000000004</v>
      </c>
      <c r="T65" s="12">
        <v>5.25</v>
      </c>
      <c r="U65" s="12">
        <v>99.076666700000004</v>
      </c>
      <c r="V65" s="12">
        <v>4.3865667000000004</v>
      </c>
      <c r="W65" s="12">
        <v>4.7101449000000004</v>
      </c>
      <c r="X65" s="12">
        <v>10.403334900000001</v>
      </c>
      <c r="Y65" s="12">
        <v>0.1181455</v>
      </c>
      <c r="Z65" s="12">
        <v>-0.13985149999999999</v>
      </c>
      <c r="AA65" s="12">
        <v>69.709511599999999</v>
      </c>
      <c r="AB65" s="12">
        <v>17.269811600000001</v>
      </c>
      <c r="AC65" s="12">
        <v>13.3435521</v>
      </c>
      <c r="AD65" s="12">
        <v>48.005319700000001</v>
      </c>
      <c r="AE65" s="12">
        <v>48.328195000000001</v>
      </c>
      <c r="AF65" s="12">
        <v>-0.74140249999999996</v>
      </c>
      <c r="AG65" s="12">
        <v>35.954553099999998</v>
      </c>
    </row>
    <row r="66" spans="1:33" s="11" customFormat="1" hidden="1" outlineLevel="1" x14ac:dyDescent="0.3">
      <c r="A66" s="11" t="s">
        <v>72</v>
      </c>
      <c r="B66" s="12">
        <v>-0.1331087</v>
      </c>
      <c r="C66" s="12">
        <v>99.533333299999995</v>
      </c>
      <c r="D66" s="12">
        <v>1.5715355</v>
      </c>
      <c r="E66" s="17">
        <v>0.58333330000000005</v>
      </c>
      <c r="F66" s="13">
        <v>102.5766667</v>
      </c>
      <c r="G66" s="12">
        <v>-0.91830400000000001</v>
      </c>
      <c r="H66" s="12">
        <v>3.5222204000000001</v>
      </c>
      <c r="I66" s="12">
        <v>-0.93354470000000001</v>
      </c>
      <c r="J66" s="12">
        <v>-2.0190712</v>
      </c>
      <c r="K66" s="12">
        <v>-2.6159306999999998</v>
      </c>
      <c r="L66" s="12">
        <v>-0.90115619999999996</v>
      </c>
      <c r="M66" s="12">
        <v>-12.2045189</v>
      </c>
      <c r="N66" s="12">
        <v>16.969931200000001</v>
      </c>
      <c r="O66" s="12">
        <v>5.4835447999999998</v>
      </c>
      <c r="P66" s="7">
        <v>8645.9</v>
      </c>
      <c r="Q66" s="7">
        <v>678</v>
      </c>
      <c r="R66" s="7">
        <v>7.3</v>
      </c>
      <c r="S66" s="12">
        <v>5.4312098999999998</v>
      </c>
      <c r="T66" s="12">
        <v>5.25</v>
      </c>
      <c r="U66" s="12">
        <v>99.463333300000002</v>
      </c>
      <c r="V66" s="12">
        <v>4.3981000000000003</v>
      </c>
      <c r="W66" s="12">
        <v>7.4146723999999997</v>
      </c>
      <c r="X66" s="12">
        <v>15.2173737</v>
      </c>
      <c r="Y66" s="12">
        <v>-1.0922828</v>
      </c>
      <c r="Z66" s="12">
        <v>0.46777469999999999</v>
      </c>
      <c r="AA66" s="12">
        <v>62.516467499999997</v>
      </c>
      <c r="AB66" s="12">
        <v>14.601989700000001</v>
      </c>
      <c r="AC66" s="12">
        <v>23.533302500000001</v>
      </c>
      <c r="AD66" s="12">
        <v>42.578050599999997</v>
      </c>
      <c r="AE66" s="12">
        <v>43.229810299999997</v>
      </c>
      <c r="AF66" s="12">
        <v>-1.2442713999999999</v>
      </c>
      <c r="AG66" s="12">
        <v>36.430168399999999</v>
      </c>
    </row>
    <row r="67" spans="1:33" s="11" customFormat="1" hidden="1" outlineLevel="1" x14ac:dyDescent="0.3">
      <c r="A67" s="11" t="s">
        <v>73</v>
      </c>
      <c r="B67" s="12">
        <v>0.53477319999999995</v>
      </c>
      <c r="C67" s="12">
        <v>99.423333299999996</v>
      </c>
      <c r="D67" s="12">
        <v>1.4972605999999999</v>
      </c>
      <c r="E67" s="17">
        <v>0.5</v>
      </c>
      <c r="F67" s="13">
        <v>110.27</v>
      </c>
      <c r="G67" s="12">
        <v>5.5718464000000001</v>
      </c>
      <c r="H67" s="12">
        <v>14.521926199999999</v>
      </c>
      <c r="I67" s="12">
        <v>1.6914594000000001</v>
      </c>
      <c r="J67" s="12">
        <v>2.3490592000000001</v>
      </c>
      <c r="K67" s="12">
        <v>-0.50711969999999995</v>
      </c>
      <c r="L67" s="12">
        <v>-6.5420521999999997</v>
      </c>
      <c r="M67" s="12">
        <v>2.1038994</v>
      </c>
      <c r="N67" s="12">
        <v>26.742044400000001</v>
      </c>
      <c r="O67" s="12">
        <v>14.7307819</v>
      </c>
      <c r="P67" s="7">
        <v>8713.6</v>
      </c>
      <c r="Q67" s="7">
        <v>630.4</v>
      </c>
      <c r="R67" s="7">
        <v>6.7</v>
      </c>
      <c r="S67" s="12">
        <v>4.9326651999999997</v>
      </c>
      <c r="T67" s="12">
        <v>4.5</v>
      </c>
      <c r="U67" s="12">
        <v>98.756666699999997</v>
      </c>
      <c r="V67" s="12">
        <v>4.4416000000000002</v>
      </c>
      <c r="W67" s="12">
        <v>8.8386841</v>
      </c>
      <c r="X67" s="12">
        <v>19.410359199999998</v>
      </c>
      <c r="Y67" s="12">
        <v>7.2170239</v>
      </c>
      <c r="Z67" s="12">
        <v>-1.6245654</v>
      </c>
      <c r="AA67" s="12">
        <v>56.510752099999998</v>
      </c>
      <c r="AB67" s="12">
        <v>12.561575100000001</v>
      </c>
      <c r="AC67" s="12">
        <v>32.223512900000003</v>
      </c>
      <c r="AD67" s="12">
        <v>37.5949788</v>
      </c>
      <c r="AE67" s="12">
        <v>38.890818799999998</v>
      </c>
      <c r="AF67" s="12">
        <v>-2.3241084000000001</v>
      </c>
      <c r="AG67" s="12">
        <v>37.305370199999999</v>
      </c>
    </row>
    <row r="68" spans="1:33" s="11" customFormat="1" hidden="1" outlineLevel="1" x14ac:dyDescent="0.3">
      <c r="A68" s="11" t="s">
        <v>74</v>
      </c>
      <c r="B68" s="12">
        <v>0.83200640000000003</v>
      </c>
      <c r="C68" s="12">
        <v>99.72</v>
      </c>
      <c r="D68" s="12">
        <v>0.95842340000000004</v>
      </c>
      <c r="E68" s="17">
        <v>0.3333333</v>
      </c>
      <c r="F68" s="13">
        <v>109.21</v>
      </c>
      <c r="G68" s="12">
        <v>-0.98226590000000003</v>
      </c>
      <c r="H68" s="12">
        <v>9.4253395999999992</v>
      </c>
      <c r="I68" s="12">
        <v>-5.0007142</v>
      </c>
      <c r="J68" s="12">
        <v>3.2248766999999998</v>
      </c>
      <c r="K68" s="12">
        <v>-2.6336331999999998</v>
      </c>
      <c r="L68" s="12">
        <v>-2.4501100000000001E-2</v>
      </c>
      <c r="M68" s="12">
        <v>9.3093299999999992</v>
      </c>
      <c r="N68" s="12">
        <v>26.020874200000002</v>
      </c>
      <c r="O68" s="12">
        <v>11.5724597</v>
      </c>
      <c r="P68" s="7">
        <v>8497.7999999999993</v>
      </c>
      <c r="Q68" s="7">
        <v>648.4</v>
      </c>
      <c r="R68" s="7">
        <v>7.1</v>
      </c>
      <c r="S68" s="12">
        <v>4.2824944</v>
      </c>
      <c r="T68" s="12">
        <v>4</v>
      </c>
      <c r="U68" s="12">
        <v>98.88</v>
      </c>
      <c r="V68" s="12">
        <v>4.4510332999999997</v>
      </c>
      <c r="W68" s="12">
        <v>10.2525443</v>
      </c>
      <c r="X68" s="12">
        <v>17.385341499999999</v>
      </c>
      <c r="Y68" s="12">
        <v>8.4005764000000003</v>
      </c>
      <c r="Z68" s="12">
        <v>-1.9614670000000001</v>
      </c>
      <c r="AA68" s="12">
        <v>59.6529612</v>
      </c>
      <c r="AB68" s="12">
        <v>13.6346794</v>
      </c>
      <c r="AC68" s="12">
        <v>27.8316816</v>
      </c>
      <c r="AD68" s="12">
        <v>35.939006200000001</v>
      </c>
      <c r="AE68" s="12">
        <v>37.058328400000001</v>
      </c>
      <c r="AF68" s="12">
        <v>-1.1645239000000001</v>
      </c>
      <c r="AG68" s="12">
        <v>37.821612299999998</v>
      </c>
    </row>
    <row r="69" spans="1:33" s="11" customFormat="1" hidden="1" outlineLevel="1" x14ac:dyDescent="0.3">
      <c r="A69" s="11" t="s">
        <v>75</v>
      </c>
      <c r="B69" s="12">
        <v>1.8456245</v>
      </c>
      <c r="C69" s="12">
        <v>99.49</v>
      </c>
      <c r="D69" s="12">
        <v>0.77317840000000004</v>
      </c>
      <c r="E69" s="17">
        <v>0.25</v>
      </c>
      <c r="F69" s="13">
        <v>108.16666669999999</v>
      </c>
      <c r="G69" s="12">
        <v>4.6182711000000003</v>
      </c>
      <c r="H69" s="12">
        <v>14.834416300000001</v>
      </c>
      <c r="I69" s="12">
        <v>-1.6729887999999999</v>
      </c>
      <c r="J69" s="12">
        <v>6.0132563000000001</v>
      </c>
      <c r="K69" s="12">
        <v>3.0522532999999998</v>
      </c>
      <c r="L69" s="12">
        <v>-1.1251277</v>
      </c>
      <c r="M69" s="12">
        <v>15.1907935</v>
      </c>
      <c r="N69" s="12">
        <v>18.015067200000001</v>
      </c>
      <c r="O69" s="12">
        <v>15.5848108</v>
      </c>
      <c r="P69" s="7">
        <v>8401.5</v>
      </c>
      <c r="Q69" s="7">
        <v>656.5</v>
      </c>
      <c r="R69" s="7">
        <v>7.2</v>
      </c>
      <c r="S69" s="12">
        <v>5.2203286000000002</v>
      </c>
      <c r="T69" s="12">
        <v>3.5</v>
      </c>
      <c r="U69" s="12">
        <v>100.32</v>
      </c>
      <c r="V69" s="12">
        <v>4.5018666999999999</v>
      </c>
      <c r="W69" s="12">
        <v>10.149942299999999</v>
      </c>
      <c r="X69" s="12">
        <v>12.4187507</v>
      </c>
      <c r="Y69" s="12">
        <v>9.2480682999999999</v>
      </c>
      <c r="Z69" s="12">
        <v>0.81815720000000003</v>
      </c>
      <c r="AA69" s="12">
        <v>69.4845234</v>
      </c>
      <c r="AB69" s="12">
        <v>16.167816999999999</v>
      </c>
      <c r="AC69" s="12">
        <v>13.226301599999999</v>
      </c>
      <c r="AD69" s="12">
        <v>51.729172699999999</v>
      </c>
      <c r="AE69" s="12">
        <v>50.607814699999999</v>
      </c>
      <c r="AF69" s="12">
        <v>-1.1628528</v>
      </c>
      <c r="AG69" s="12">
        <v>36.770246299999997</v>
      </c>
    </row>
    <row r="70" spans="1:33" s="11" customFormat="1" hidden="1" outlineLevel="1" x14ac:dyDescent="0.3">
      <c r="A70" s="11" t="s">
        <v>76</v>
      </c>
      <c r="B70" s="12">
        <v>1.1953549000000001</v>
      </c>
      <c r="C70" s="12">
        <v>100.22333329999999</v>
      </c>
      <c r="D70" s="12">
        <v>0.69323509999999999</v>
      </c>
      <c r="E70" s="17">
        <v>0.21666669999999999</v>
      </c>
      <c r="F70" s="13">
        <v>109.7</v>
      </c>
      <c r="G70" s="12">
        <v>1.8664946</v>
      </c>
      <c r="H70" s="12">
        <v>2.7426458999999999</v>
      </c>
      <c r="I70" s="12">
        <v>-0.60067970000000004</v>
      </c>
      <c r="J70" s="12">
        <v>3.3721720999999998</v>
      </c>
      <c r="K70" s="12">
        <v>2.7836880000000002</v>
      </c>
      <c r="L70" s="12">
        <v>2.8845133000000001</v>
      </c>
      <c r="M70" s="12">
        <v>-7.1374015000000002</v>
      </c>
      <c r="N70" s="12">
        <v>11.0000211</v>
      </c>
      <c r="O70" s="12">
        <v>4.9404108000000004</v>
      </c>
      <c r="P70" s="7">
        <v>8677.5</v>
      </c>
      <c r="Q70" s="7">
        <v>624.29999999999995</v>
      </c>
      <c r="R70" s="7">
        <v>6.7</v>
      </c>
      <c r="S70" s="12">
        <v>4.7654394</v>
      </c>
      <c r="T70" s="12">
        <v>3.5</v>
      </c>
      <c r="U70" s="12">
        <v>100.7366667</v>
      </c>
      <c r="V70" s="12">
        <v>4.4262332999999998</v>
      </c>
      <c r="W70" s="12">
        <v>7.9985391000000003</v>
      </c>
      <c r="X70" s="12">
        <v>6.3550719000000004</v>
      </c>
      <c r="Y70" s="12">
        <v>5.5023526</v>
      </c>
      <c r="Z70" s="12">
        <v>-2.1508245000000001</v>
      </c>
      <c r="AA70" s="12">
        <v>61.717089799999997</v>
      </c>
      <c r="AB70" s="12">
        <v>15.371160700000001</v>
      </c>
      <c r="AC70" s="12">
        <v>23.217715099999999</v>
      </c>
      <c r="AD70" s="12">
        <v>42.832438699999997</v>
      </c>
      <c r="AE70" s="12">
        <v>43.138404399999999</v>
      </c>
      <c r="AF70" s="12">
        <v>-2.6036864999999998</v>
      </c>
      <c r="AG70" s="12">
        <v>37.074786899999999</v>
      </c>
    </row>
    <row r="71" spans="1:33" s="11" customFormat="1" hidden="1" outlineLevel="1" x14ac:dyDescent="0.3">
      <c r="A71" s="11" t="s">
        <v>77</v>
      </c>
      <c r="B71" s="12">
        <v>1.5779679</v>
      </c>
      <c r="C71" s="12">
        <v>99.91</v>
      </c>
      <c r="D71" s="12">
        <v>0.48948940000000002</v>
      </c>
      <c r="E71" s="17">
        <v>0.1166667</v>
      </c>
      <c r="F71" s="13">
        <v>101.8233333</v>
      </c>
      <c r="G71" s="12">
        <v>1.6143809</v>
      </c>
      <c r="H71" s="12">
        <v>2.8472539000000001</v>
      </c>
      <c r="I71" s="12">
        <v>2.0078909999999999</v>
      </c>
      <c r="J71" s="12">
        <v>4.5035179999999997</v>
      </c>
      <c r="K71" s="12">
        <v>1.6943804</v>
      </c>
      <c r="L71" s="12">
        <v>13.1130069</v>
      </c>
      <c r="M71" s="12">
        <v>6.01755</v>
      </c>
      <c r="N71" s="12">
        <v>5.6053362</v>
      </c>
      <c r="O71" s="12">
        <v>4.6837558000000001</v>
      </c>
      <c r="P71" s="7">
        <v>8822.2999999999993</v>
      </c>
      <c r="Q71" s="7">
        <v>615.6</v>
      </c>
      <c r="R71" s="7">
        <v>6.5</v>
      </c>
      <c r="S71" s="12">
        <v>5.3275630999999999</v>
      </c>
      <c r="T71" s="12">
        <v>3.25</v>
      </c>
      <c r="U71" s="12">
        <v>100.2866667</v>
      </c>
      <c r="V71" s="12">
        <v>4.4148332999999997</v>
      </c>
      <c r="W71" s="12">
        <v>4.2607429000000003</v>
      </c>
      <c r="X71" s="12">
        <v>9.4329511999999998</v>
      </c>
      <c r="Y71" s="12">
        <v>6.4499420000000001</v>
      </c>
      <c r="Z71" s="12">
        <v>-0.48316199999999998</v>
      </c>
      <c r="AA71" s="12">
        <v>55.398654000000001</v>
      </c>
      <c r="AB71" s="12">
        <v>12.5881048</v>
      </c>
      <c r="AC71" s="12">
        <v>32.255191000000003</v>
      </c>
      <c r="AD71" s="12">
        <v>38.5691712</v>
      </c>
      <c r="AE71" s="12">
        <v>38.811121</v>
      </c>
      <c r="AF71" s="12">
        <v>-2.5307947</v>
      </c>
      <c r="AG71" s="12">
        <v>37.292674699999999</v>
      </c>
    </row>
    <row r="72" spans="1:33" s="11" customFormat="1" hidden="1" outlineLevel="1" x14ac:dyDescent="0.3">
      <c r="A72" s="11" t="s">
        <v>78</v>
      </c>
      <c r="B72" s="12">
        <v>1.7505474000000001</v>
      </c>
      <c r="C72" s="12">
        <v>99.97</v>
      </c>
      <c r="D72" s="12">
        <v>0.25070199999999998</v>
      </c>
      <c r="E72" s="17">
        <v>0.05</v>
      </c>
      <c r="F72" s="13">
        <v>76.4033333</v>
      </c>
      <c r="G72" s="12">
        <v>8.3877965999999997</v>
      </c>
      <c r="H72" s="12">
        <v>11.352646500000001</v>
      </c>
      <c r="I72" s="12">
        <v>-4.3246235999999998</v>
      </c>
      <c r="J72" s="12">
        <v>3.1597143000000001</v>
      </c>
      <c r="K72" s="12">
        <v>6.2646842999999999</v>
      </c>
      <c r="L72" s="12">
        <v>9.3898826</v>
      </c>
      <c r="M72" s="12">
        <v>5.2237153999999997</v>
      </c>
      <c r="N72" s="12">
        <v>1.6369699</v>
      </c>
      <c r="O72" s="12">
        <v>11.034068899999999</v>
      </c>
      <c r="P72" s="7">
        <v>8553.7000000000007</v>
      </c>
      <c r="Q72" s="7">
        <v>618.4</v>
      </c>
      <c r="R72" s="7">
        <v>6.7</v>
      </c>
      <c r="S72" s="12">
        <v>5.9365994000000004</v>
      </c>
      <c r="T72" s="12">
        <v>2.75</v>
      </c>
      <c r="U72" s="12">
        <v>100.3133333</v>
      </c>
      <c r="V72" s="12">
        <v>4.4340999999999999</v>
      </c>
      <c r="W72" s="12">
        <v>2.3589744000000001</v>
      </c>
      <c r="X72" s="12">
        <v>6.4761208999999997</v>
      </c>
      <c r="Y72" s="12">
        <v>8.0344087999999996</v>
      </c>
      <c r="Z72" s="12">
        <v>0.75175179999999997</v>
      </c>
      <c r="AA72" s="12">
        <v>60.1876666</v>
      </c>
      <c r="AB72" s="12">
        <v>14.253447599999999</v>
      </c>
      <c r="AC72" s="12">
        <v>27.2444487</v>
      </c>
      <c r="AD72" s="12">
        <v>36.440049000000002</v>
      </c>
      <c r="AE72" s="12">
        <v>38.125611800000001</v>
      </c>
      <c r="AF72" s="12">
        <v>-1.0917330000000001</v>
      </c>
      <c r="AG72" s="12">
        <v>39.199364799999998</v>
      </c>
    </row>
    <row r="73" spans="1:33" s="11" customFormat="1" hidden="1" outlineLevel="1" x14ac:dyDescent="0.3">
      <c r="A73" s="11" t="s">
        <v>79</v>
      </c>
      <c r="B73" s="12">
        <v>2.0633189000000001</v>
      </c>
      <c r="C73" s="12">
        <v>99.203333299999997</v>
      </c>
      <c r="D73" s="12">
        <v>-0.28813620000000001</v>
      </c>
      <c r="E73" s="17">
        <v>0.05</v>
      </c>
      <c r="F73" s="13">
        <v>53.9166667</v>
      </c>
      <c r="G73" s="12">
        <v>-0.28417389999999998</v>
      </c>
      <c r="H73" s="12">
        <v>7.1674951</v>
      </c>
      <c r="I73" s="12">
        <v>1.2257359000000001</v>
      </c>
      <c r="J73" s="12">
        <v>3.9560762999999999</v>
      </c>
      <c r="K73" s="12">
        <v>6.3288622999999999</v>
      </c>
      <c r="L73" s="12">
        <v>-3.4661214999999999</v>
      </c>
      <c r="M73" s="12">
        <v>15.1302644</v>
      </c>
      <c r="N73" s="12">
        <v>7.5219100000000001</v>
      </c>
      <c r="O73" s="12">
        <v>11.73813</v>
      </c>
      <c r="P73" s="7">
        <v>8236.6</v>
      </c>
      <c r="Q73" s="7">
        <v>654.70000000000005</v>
      </c>
      <c r="R73" s="7">
        <v>7.4</v>
      </c>
      <c r="S73" s="12">
        <v>6.9896396000000003</v>
      </c>
      <c r="T73" s="12">
        <v>2.25</v>
      </c>
      <c r="U73" s="12">
        <v>100.8666667</v>
      </c>
      <c r="V73" s="12">
        <v>4.4515666999999999</v>
      </c>
      <c r="W73" s="12">
        <v>2.8272251000000002</v>
      </c>
      <c r="X73" s="12">
        <v>7.7884051999999997</v>
      </c>
      <c r="Y73" s="12">
        <v>9.2914934999999996</v>
      </c>
      <c r="Z73" s="12">
        <v>4.8712795</v>
      </c>
      <c r="AA73" s="12">
        <v>67.876913799999997</v>
      </c>
      <c r="AB73" s="12">
        <v>16.205846300000001</v>
      </c>
      <c r="AC73" s="12">
        <v>15.5076351</v>
      </c>
      <c r="AD73" s="12">
        <v>51.038939999999997</v>
      </c>
      <c r="AE73" s="12">
        <v>50.6293352</v>
      </c>
      <c r="AF73" s="12">
        <v>-4.9493000000000002E-2</v>
      </c>
      <c r="AG73" s="12">
        <v>35.940790100000001</v>
      </c>
    </row>
    <row r="74" spans="1:33" s="11" customFormat="1" hidden="1" outlineLevel="1" x14ac:dyDescent="0.3">
      <c r="A74" s="11" t="s">
        <v>80</v>
      </c>
      <c r="B74" s="12">
        <v>2.2703967</v>
      </c>
      <c r="C74" s="12">
        <v>100.5233333</v>
      </c>
      <c r="D74" s="12">
        <v>0.29933149999999997</v>
      </c>
      <c r="E74" s="17">
        <v>0.05</v>
      </c>
      <c r="F74" s="13">
        <v>61.693333299999999</v>
      </c>
      <c r="G74" s="12">
        <v>4.4413613999999999</v>
      </c>
      <c r="H74" s="12">
        <v>7.8459051999999998</v>
      </c>
      <c r="I74" s="12">
        <v>0.52120999999999995</v>
      </c>
      <c r="J74" s="12">
        <v>4.5233742000000001</v>
      </c>
      <c r="K74" s="12">
        <v>5.4351498999999999</v>
      </c>
      <c r="L74" s="12">
        <v>-2.1071982999999999</v>
      </c>
      <c r="M74" s="12">
        <v>15.816293999999999</v>
      </c>
      <c r="N74" s="12">
        <v>6.7451132999999999</v>
      </c>
      <c r="O74" s="12">
        <v>11.2608374</v>
      </c>
      <c r="P74" s="7">
        <v>8664.1</v>
      </c>
      <c r="Q74" s="7">
        <v>625.20000000000005</v>
      </c>
      <c r="R74" s="7">
        <v>6.7</v>
      </c>
      <c r="S74" s="12">
        <v>7.4110811999999999</v>
      </c>
      <c r="T74" s="12">
        <v>1.75</v>
      </c>
      <c r="U74" s="12">
        <v>101.09</v>
      </c>
      <c r="V74" s="12">
        <v>4.4434332999999997</v>
      </c>
      <c r="W74" s="12">
        <v>0.54108889999999998</v>
      </c>
      <c r="X74" s="12">
        <v>9.4452040999999998</v>
      </c>
      <c r="Y74" s="12">
        <v>8.6822499000000004</v>
      </c>
      <c r="Z74" s="12">
        <v>-3.9391590999999999</v>
      </c>
      <c r="AA74" s="12">
        <v>63.008615200000001</v>
      </c>
      <c r="AB74" s="12">
        <v>13.986068599999999</v>
      </c>
      <c r="AC74" s="12">
        <v>23.011717399999998</v>
      </c>
      <c r="AD74" s="12">
        <v>45.322620299999997</v>
      </c>
      <c r="AE74" s="12">
        <v>45.329021500000003</v>
      </c>
      <c r="AF74" s="12">
        <v>3.6113673999999998</v>
      </c>
      <c r="AG74" s="12">
        <v>35.7966446</v>
      </c>
    </row>
    <row r="75" spans="1:33" s="11" customFormat="1" hidden="1" outlineLevel="1" x14ac:dyDescent="0.3">
      <c r="A75" s="11" t="s">
        <v>81</v>
      </c>
      <c r="B75" s="12">
        <v>2.2457793000000001</v>
      </c>
      <c r="C75" s="12">
        <v>100.1533333</v>
      </c>
      <c r="D75" s="12">
        <v>0.24355250000000001</v>
      </c>
      <c r="E75" s="17">
        <v>0.05</v>
      </c>
      <c r="F75" s="13">
        <v>50.233333299999998</v>
      </c>
      <c r="G75" s="12">
        <v>15.7456453</v>
      </c>
      <c r="H75" s="12">
        <v>10.2377541</v>
      </c>
      <c r="I75" s="12">
        <v>0.51025929999999997</v>
      </c>
      <c r="J75" s="12">
        <v>2.5750459999999999</v>
      </c>
      <c r="K75" s="12">
        <v>5.3124212000000002</v>
      </c>
      <c r="L75" s="12">
        <v>-3.1681701000000002</v>
      </c>
      <c r="M75" s="12">
        <v>6.4237330000000004</v>
      </c>
      <c r="N75" s="12">
        <v>3.0435096000000001</v>
      </c>
      <c r="O75" s="12">
        <v>8.0768363999999995</v>
      </c>
      <c r="P75" s="7">
        <v>8757.4</v>
      </c>
      <c r="Q75" s="7">
        <v>613.4</v>
      </c>
      <c r="R75" s="7">
        <v>6.5</v>
      </c>
      <c r="S75" s="12">
        <v>7.9484272999999996</v>
      </c>
      <c r="T75" s="12">
        <v>1.75</v>
      </c>
      <c r="U75" s="12">
        <v>98.75</v>
      </c>
      <c r="V75" s="12">
        <v>4.4287333000000002</v>
      </c>
      <c r="W75" s="12">
        <v>5.2741879999999997</v>
      </c>
      <c r="X75" s="12">
        <v>4.9610443000000002</v>
      </c>
      <c r="Y75" s="12">
        <v>6.6559901000000004</v>
      </c>
      <c r="Z75" s="12">
        <v>-1.5500012999999999</v>
      </c>
      <c r="AA75" s="12">
        <v>56.742242599999997</v>
      </c>
      <c r="AB75" s="12">
        <v>12.940127800000001</v>
      </c>
      <c r="AC75" s="12">
        <v>31.172463199999999</v>
      </c>
      <c r="AD75" s="12">
        <v>37.943643799999997</v>
      </c>
      <c r="AE75" s="12">
        <v>38.798477400000003</v>
      </c>
      <c r="AF75" s="12">
        <v>3.5953515999999999</v>
      </c>
      <c r="AG75" s="12">
        <v>35.7288031</v>
      </c>
    </row>
    <row r="76" spans="1:33" s="11" customFormat="1" hidden="1" outlineLevel="1" x14ac:dyDescent="0.3">
      <c r="A76" s="11" t="s">
        <v>82</v>
      </c>
      <c r="B76" s="12">
        <v>2.5478125</v>
      </c>
      <c r="C76" s="12">
        <v>100.1233333</v>
      </c>
      <c r="D76" s="12">
        <v>0.1533793</v>
      </c>
      <c r="E76" s="17">
        <v>0.05</v>
      </c>
      <c r="F76" s="13">
        <v>43.57</v>
      </c>
      <c r="G76" s="12">
        <v>11.644825600000001</v>
      </c>
      <c r="H76" s="12">
        <v>15.032792300000001</v>
      </c>
      <c r="I76" s="12">
        <v>-3.4876358999999999</v>
      </c>
      <c r="J76" s="12">
        <v>2.1482611999999999</v>
      </c>
      <c r="K76" s="12">
        <v>6.2959385000000001</v>
      </c>
      <c r="L76" s="12">
        <v>-5.8091827</v>
      </c>
      <c r="M76" s="12">
        <v>0.23500679999999999</v>
      </c>
      <c r="N76" s="12">
        <v>1.3529188999999999</v>
      </c>
      <c r="O76" s="12">
        <v>3.8256770000000002</v>
      </c>
      <c r="P76" s="7">
        <v>8483.4</v>
      </c>
      <c r="Q76" s="7">
        <v>602.29999999999995</v>
      </c>
      <c r="R76" s="7">
        <v>6.6</v>
      </c>
      <c r="S76" s="12">
        <v>11.303046800000001</v>
      </c>
      <c r="T76" s="12">
        <v>1.75</v>
      </c>
      <c r="U76" s="12">
        <v>99.29</v>
      </c>
      <c r="V76" s="12">
        <v>4.4570999999999996</v>
      </c>
      <c r="W76" s="12">
        <v>2.4716098999999998</v>
      </c>
      <c r="X76" s="12">
        <v>2.7474851</v>
      </c>
      <c r="Y76" s="12">
        <v>4.4241720999999998</v>
      </c>
      <c r="Z76" s="12">
        <v>-1.4416325000000001</v>
      </c>
      <c r="AA76" s="12">
        <v>60.1973488</v>
      </c>
      <c r="AB76" s="12">
        <v>13.2634609</v>
      </c>
      <c r="AC76" s="12">
        <v>28.762795499999999</v>
      </c>
      <c r="AD76" s="12">
        <v>35.118249900000002</v>
      </c>
      <c r="AE76" s="12">
        <v>37.341855199999998</v>
      </c>
      <c r="AF76" s="12">
        <v>5.7147500999999998</v>
      </c>
      <c r="AG76" s="12">
        <v>37.773309599999997</v>
      </c>
    </row>
    <row r="77" spans="1:33" s="11" customFormat="1" hidden="1" outlineLevel="1" x14ac:dyDescent="0.3">
      <c r="A77" s="11" t="s">
        <v>83</v>
      </c>
      <c r="B77" s="12">
        <v>1.9366078</v>
      </c>
      <c r="C77" s="12">
        <v>99.246666700000006</v>
      </c>
      <c r="D77" s="12">
        <v>4.3681400000000002E-2</v>
      </c>
      <c r="E77" s="17">
        <v>3.3333300000000003E-2</v>
      </c>
      <c r="F77" s="13">
        <v>33.696666700000002</v>
      </c>
      <c r="G77" s="12">
        <v>4.1681423000000004</v>
      </c>
      <c r="H77" s="12">
        <v>-5.0056699</v>
      </c>
      <c r="I77" s="12">
        <v>-2.2939588</v>
      </c>
      <c r="J77" s="12">
        <v>3.4412615999999998</v>
      </c>
      <c r="K77" s="12">
        <v>7.8651435000000003</v>
      </c>
      <c r="L77" s="12">
        <v>1.2481567</v>
      </c>
      <c r="M77" s="12">
        <v>-7.3569639000000002</v>
      </c>
      <c r="N77" s="12">
        <v>11.144208799999999</v>
      </c>
      <c r="O77" s="12">
        <v>13.501116100000001</v>
      </c>
      <c r="P77" s="7">
        <v>8249.4</v>
      </c>
      <c r="Q77" s="7">
        <v>584.6</v>
      </c>
      <c r="R77" s="7">
        <v>6.6</v>
      </c>
      <c r="S77" s="12">
        <v>11.974904499999999</v>
      </c>
      <c r="T77" s="12">
        <v>1.75</v>
      </c>
      <c r="U77" s="12">
        <v>98.83</v>
      </c>
      <c r="V77" s="12">
        <v>4.4930332999999996</v>
      </c>
      <c r="W77" s="12">
        <v>2.9531567999999999</v>
      </c>
      <c r="X77" s="12">
        <v>5.0106783000000004</v>
      </c>
      <c r="Y77" s="12">
        <v>6.2397311000000002</v>
      </c>
      <c r="Z77" s="12">
        <v>-0.1297121</v>
      </c>
      <c r="AA77" s="12">
        <v>69.082181599999998</v>
      </c>
      <c r="AB77" s="12">
        <v>17.1602815</v>
      </c>
      <c r="AC77" s="12">
        <v>13.944982</v>
      </c>
      <c r="AD77" s="12">
        <v>52.176132199999998</v>
      </c>
      <c r="AE77" s="12">
        <v>52.363577300000003</v>
      </c>
      <c r="AF77" s="12">
        <v>5.4253593999999996</v>
      </c>
      <c r="AG77" s="12">
        <v>35.399520600000002</v>
      </c>
    </row>
    <row r="78" spans="1:33" s="11" customFormat="1" hidden="1" outlineLevel="1" x14ac:dyDescent="0.3">
      <c r="A78" s="11" t="s">
        <v>84</v>
      </c>
      <c r="B78" s="12">
        <v>2.4666936000000002</v>
      </c>
      <c r="C78" s="12">
        <v>100.42</v>
      </c>
      <c r="D78" s="12">
        <v>-0.10279530000000001</v>
      </c>
      <c r="E78" s="17">
        <v>0</v>
      </c>
      <c r="F78" s="13">
        <v>45.523333299999997</v>
      </c>
      <c r="G78" s="12">
        <v>9.4080227000000001</v>
      </c>
      <c r="H78" s="12">
        <v>1.2495293999999999</v>
      </c>
      <c r="I78" s="12">
        <v>-2.1564749000000001</v>
      </c>
      <c r="J78" s="12">
        <v>2.0099802000000002</v>
      </c>
      <c r="K78" s="12">
        <v>9.0022465</v>
      </c>
      <c r="L78" s="12">
        <v>-10.0314751</v>
      </c>
      <c r="M78" s="12">
        <v>-0.48716569999999998</v>
      </c>
      <c r="N78" s="12">
        <v>16.942583200000001</v>
      </c>
      <c r="O78" s="12">
        <v>21.233858399999999</v>
      </c>
      <c r="P78" s="7">
        <v>8526.5</v>
      </c>
      <c r="Q78" s="7">
        <v>530.5</v>
      </c>
      <c r="R78" s="7">
        <v>5.9</v>
      </c>
      <c r="S78" s="12">
        <v>13.535620099999999</v>
      </c>
      <c r="T78" s="12">
        <v>1.75</v>
      </c>
      <c r="U78" s="12">
        <v>98.97</v>
      </c>
      <c r="V78" s="12">
        <v>4.4981666999999996</v>
      </c>
      <c r="W78" s="12">
        <v>4.9781364999999997</v>
      </c>
      <c r="X78" s="12">
        <v>6.4796484999999997</v>
      </c>
      <c r="Y78" s="12">
        <v>8.5848771999999993</v>
      </c>
      <c r="Z78" s="12">
        <v>-4.4844927999999999</v>
      </c>
      <c r="AA78" s="12">
        <v>63.093341500000001</v>
      </c>
      <c r="AB78" s="12">
        <v>15.7821075</v>
      </c>
      <c r="AC78" s="12">
        <v>22.021184900000002</v>
      </c>
      <c r="AD78" s="12">
        <v>45.062211400000002</v>
      </c>
      <c r="AE78" s="12">
        <v>45.958845199999999</v>
      </c>
      <c r="AF78" s="12">
        <v>5.2450463000000003</v>
      </c>
      <c r="AG78" s="12">
        <v>35.742379800000002</v>
      </c>
    </row>
    <row r="79" spans="1:33" s="11" customFormat="1" hidden="1" outlineLevel="1" x14ac:dyDescent="0.3">
      <c r="A79" s="11" t="s">
        <v>85</v>
      </c>
      <c r="B79" s="12">
        <v>1.6225508</v>
      </c>
      <c r="C79" s="12">
        <v>100.42</v>
      </c>
      <c r="D79" s="12">
        <v>0.26625840000000001</v>
      </c>
      <c r="E79" s="17">
        <v>0</v>
      </c>
      <c r="F79" s="13">
        <v>45.786666699999998</v>
      </c>
      <c r="G79" s="12">
        <v>-2.4517129999999998</v>
      </c>
      <c r="H79" s="12">
        <v>-4.1574913000000002</v>
      </c>
      <c r="I79" s="12">
        <v>-6.6558699999999998E-2</v>
      </c>
      <c r="J79" s="12">
        <v>2.7672794000000001</v>
      </c>
      <c r="K79" s="12">
        <v>7.8764408000000001</v>
      </c>
      <c r="L79" s="12">
        <v>3.3581420999999998</v>
      </c>
      <c r="M79" s="12">
        <v>-9.0439621999999993</v>
      </c>
      <c r="N79" s="12">
        <v>16.6649408</v>
      </c>
      <c r="O79" s="12">
        <v>13.653279299999999</v>
      </c>
      <c r="P79" s="7">
        <v>8625.5</v>
      </c>
      <c r="Q79" s="7">
        <v>519.20000000000005</v>
      </c>
      <c r="R79" s="7">
        <v>5.7</v>
      </c>
      <c r="S79" s="12">
        <v>13.492584300000001</v>
      </c>
      <c r="T79" s="12">
        <v>1.75</v>
      </c>
      <c r="U79" s="12">
        <v>98.69</v>
      </c>
      <c r="V79" s="12">
        <v>4.4649666999999997</v>
      </c>
      <c r="W79" s="12">
        <v>1.6257465</v>
      </c>
      <c r="X79" s="12">
        <v>6.6091496000000003</v>
      </c>
      <c r="Y79" s="12">
        <v>6.3925016000000001</v>
      </c>
      <c r="Z79" s="12">
        <v>-0.776362</v>
      </c>
      <c r="AA79" s="12">
        <v>58.600819199999997</v>
      </c>
      <c r="AB79" s="12">
        <v>13.462884799999999</v>
      </c>
      <c r="AC79" s="12">
        <v>28.7367496</v>
      </c>
      <c r="AD79" s="12">
        <v>39.158484100000003</v>
      </c>
      <c r="AE79" s="12">
        <v>39.958937599999999</v>
      </c>
      <c r="AF79" s="12">
        <v>6.2927935000000002</v>
      </c>
      <c r="AG79" s="12">
        <v>35.819056699999997</v>
      </c>
    </row>
    <row r="80" spans="1:33" s="11" customFormat="1" hidden="1" outlineLevel="1" x14ac:dyDescent="0.3">
      <c r="A80" s="11" t="s">
        <v>86</v>
      </c>
      <c r="B80" s="12">
        <v>1.866331</v>
      </c>
      <c r="C80" s="12">
        <v>100.89333329999999</v>
      </c>
      <c r="D80" s="12">
        <v>0.7690515</v>
      </c>
      <c r="E80" s="17">
        <v>0</v>
      </c>
      <c r="F80" s="13">
        <v>49.186666700000004</v>
      </c>
      <c r="G80" s="12">
        <v>0.76500389999999996</v>
      </c>
      <c r="H80" s="12">
        <v>-5.2438336999999997</v>
      </c>
      <c r="I80" s="12">
        <v>-5.2758878999999999</v>
      </c>
      <c r="J80" s="12">
        <v>3.2234875000000001</v>
      </c>
      <c r="K80" s="12">
        <v>1.9060699000000001</v>
      </c>
      <c r="L80" s="12">
        <v>4.5578795999999997</v>
      </c>
      <c r="M80" s="12">
        <v>5.5510051999999996</v>
      </c>
      <c r="N80" s="12">
        <v>20.528147000000001</v>
      </c>
      <c r="O80" s="12">
        <v>17.957395999999999</v>
      </c>
      <c r="P80" s="7">
        <v>8393.7999999999993</v>
      </c>
      <c r="Q80" s="7">
        <v>485.2</v>
      </c>
      <c r="R80" s="7">
        <v>5.5</v>
      </c>
      <c r="S80" s="12">
        <v>12.183795699999999</v>
      </c>
      <c r="T80" s="12">
        <v>1.75</v>
      </c>
      <c r="U80" s="12">
        <v>99.21</v>
      </c>
      <c r="V80" s="12">
        <v>4.5068666999999998</v>
      </c>
      <c r="W80" s="12">
        <v>2.9335072000000002</v>
      </c>
      <c r="X80" s="12">
        <v>10.5522841</v>
      </c>
      <c r="Y80" s="12">
        <v>9.5372754999999998</v>
      </c>
      <c r="Z80" s="12">
        <v>-1.0666799</v>
      </c>
      <c r="AA80" s="12">
        <v>59.997816999999998</v>
      </c>
      <c r="AB80" s="12">
        <v>15.1718051</v>
      </c>
      <c r="AC80" s="12">
        <v>26.815258700000001</v>
      </c>
      <c r="AD80" s="12">
        <v>37.0562106</v>
      </c>
      <c r="AE80" s="12">
        <v>39.041091299999998</v>
      </c>
      <c r="AF80" s="12">
        <v>4.7091827000000004</v>
      </c>
      <c r="AG80" s="12">
        <v>37.892884700000003</v>
      </c>
    </row>
    <row r="81" spans="1:33" s="11" customFormat="1" hidden="1" outlineLevel="1" x14ac:dyDescent="0.3">
      <c r="A81" s="11" t="s">
        <v>87</v>
      </c>
      <c r="B81" s="12">
        <v>3.0351661999999999</v>
      </c>
      <c r="C81" s="12">
        <v>101</v>
      </c>
      <c r="D81" s="12">
        <v>1.766642</v>
      </c>
      <c r="E81" s="17">
        <v>0</v>
      </c>
      <c r="F81" s="13">
        <v>53.68</v>
      </c>
      <c r="G81" s="12">
        <v>7.6493969000000002</v>
      </c>
      <c r="H81" s="12">
        <v>6.1037277999999997</v>
      </c>
      <c r="I81" s="12">
        <v>-2.6896567999999998</v>
      </c>
      <c r="J81" s="12">
        <v>5.2598488999999997</v>
      </c>
      <c r="K81" s="12">
        <v>5.4935270999999997</v>
      </c>
      <c r="L81" s="12">
        <v>2.3434876999999998</v>
      </c>
      <c r="M81" s="12">
        <v>11.468366</v>
      </c>
      <c r="N81" s="12">
        <v>9.7358492000000005</v>
      </c>
      <c r="O81" s="12">
        <v>10.969545699999999</v>
      </c>
      <c r="P81" s="7">
        <v>8323.4</v>
      </c>
      <c r="Q81" s="7">
        <v>480.9</v>
      </c>
      <c r="R81" s="7">
        <v>5.5</v>
      </c>
      <c r="S81" s="12">
        <v>16.102314199999999</v>
      </c>
      <c r="T81" s="12">
        <v>1.75</v>
      </c>
      <c r="U81" s="12">
        <v>99.236666700000001</v>
      </c>
      <c r="V81" s="12">
        <v>4.5209999999999999</v>
      </c>
      <c r="W81" s="12">
        <v>6.7589845000000004</v>
      </c>
      <c r="X81" s="12">
        <v>13.048726800000001</v>
      </c>
      <c r="Y81" s="12">
        <v>14.819423499999999</v>
      </c>
      <c r="Z81" s="12">
        <v>-1.9774259999999999</v>
      </c>
      <c r="AA81" s="12">
        <v>67.738998300000006</v>
      </c>
      <c r="AB81" s="12">
        <v>17.456836899999999</v>
      </c>
      <c r="AC81" s="12">
        <v>15.8196519</v>
      </c>
      <c r="AD81" s="12">
        <v>52.636016699999999</v>
      </c>
      <c r="AE81" s="12">
        <v>53.6515038</v>
      </c>
      <c r="AF81" s="12">
        <v>5.7215606000000001</v>
      </c>
      <c r="AG81" s="12">
        <v>33.821669499999999</v>
      </c>
    </row>
    <row r="82" spans="1:33" s="11" customFormat="1" hidden="1" outlineLevel="1" x14ac:dyDescent="0.3">
      <c r="A82" s="11" t="s">
        <v>88</v>
      </c>
      <c r="B82" s="12">
        <v>2.3084487</v>
      </c>
      <c r="C82" s="12">
        <v>102.11333329999999</v>
      </c>
      <c r="D82" s="12">
        <v>1.6862509999999999</v>
      </c>
      <c r="E82" s="17">
        <v>0</v>
      </c>
      <c r="F82" s="13">
        <v>49.67</v>
      </c>
      <c r="G82" s="12">
        <v>10.9069941</v>
      </c>
      <c r="H82" s="12">
        <v>7.6787292000000003</v>
      </c>
      <c r="I82" s="12">
        <v>-3.1314498999999998</v>
      </c>
      <c r="J82" s="12">
        <v>8.9129667000000001</v>
      </c>
      <c r="K82" s="12">
        <v>7.4655000999999999</v>
      </c>
      <c r="L82" s="12">
        <v>8.5842966000000001</v>
      </c>
      <c r="M82" s="12">
        <v>17.134272200000002</v>
      </c>
      <c r="N82" s="12">
        <v>7.125254</v>
      </c>
      <c r="O82" s="12">
        <v>8.7600572999999997</v>
      </c>
      <c r="P82" s="7">
        <v>8967.1</v>
      </c>
      <c r="Q82" s="7">
        <v>451.2</v>
      </c>
      <c r="R82" s="7">
        <v>4.8</v>
      </c>
      <c r="S82" s="12">
        <v>14.943063</v>
      </c>
      <c r="T82" s="12">
        <v>1.75</v>
      </c>
      <c r="U82" s="12">
        <v>99.583333300000007</v>
      </c>
      <c r="V82" s="12">
        <v>4.5517000000000003</v>
      </c>
      <c r="W82" s="12">
        <v>7.3053508999999996</v>
      </c>
      <c r="X82" s="12">
        <v>10.504239800000001</v>
      </c>
      <c r="Y82" s="12">
        <v>14.783034000000001</v>
      </c>
      <c r="Z82" s="12">
        <v>-6.2535563999999999</v>
      </c>
      <c r="AA82" s="12">
        <v>63.529010499999998</v>
      </c>
      <c r="AB82" s="12">
        <v>16.195143699999999</v>
      </c>
      <c r="AC82" s="12">
        <v>22.980806699999999</v>
      </c>
      <c r="AD82" s="12">
        <v>45.5297901</v>
      </c>
      <c r="AE82" s="12">
        <v>48.234751000000003</v>
      </c>
      <c r="AF82" s="12">
        <v>5.5223104999999997</v>
      </c>
      <c r="AG82" s="12">
        <v>34.7231047</v>
      </c>
    </row>
    <row r="83" spans="1:33" s="11" customFormat="1" hidden="1" outlineLevel="1" x14ac:dyDescent="0.3">
      <c r="A83" s="11" t="s">
        <v>89</v>
      </c>
      <c r="B83" s="12">
        <v>3.0333996999999999</v>
      </c>
      <c r="C83" s="12">
        <v>102.1166667</v>
      </c>
      <c r="D83" s="12">
        <v>1.6895705000000001</v>
      </c>
      <c r="E83" s="17">
        <v>0</v>
      </c>
      <c r="F83" s="13">
        <v>52.11</v>
      </c>
      <c r="G83" s="12">
        <v>9.2877490999999992</v>
      </c>
      <c r="H83" s="12">
        <v>7.1905606000000004</v>
      </c>
      <c r="I83" s="12">
        <v>-0.61982519999999997</v>
      </c>
      <c r="J83" s="12">
        <v>9.0914892999999992</v>
      </c>
      <c r="K83" s="12">
        <v>16.0616986</v>
      </c>
      <c r="L83" s="12">
        <v>4.5879618999999998</v>
      </c>
      <c r="M83" s="12">
        <v>5.9158615000000001</v>
      </c>
      <c r="N83" s="12">
        <v>7.8994416999999997</v>
      </c>
      <c r="O83" s="12">
        <v>13.249500599999999</v>
      </c>
      <c r="P83" s="7">
        <v>8850.2999999999993</v>
      </c>
      <c r="Q83" s="7">
        <v>440.4</v>
      </c>
      <c r="R83" s="7">
        <v>4.7</v>
      </c>
      <c r="S83" s="12">
        <v>14.768127700000001</v>
      </c>
      <c r="T83" s="12">
        <v>1.75</v>
      </c>
      <c r="U83" s="12">
        <v>99.63</v>
      </c>
      <c r="V83" s="12">
        <v>4.5823333000000002</v>
      </c>
      <c r="W83" s="12">
        <v>7.411035</v>
      </c>
      <c r="X83" s="12">
        <v>11.299319199999999</v>
      </c>
      <c r="Y83" s="12">
        <v>14.3259601</v>
      </c>
      <c r="Z83" s="12">
        <v>-2.3229945999999999</v>
      </c>
      <c r="AA83" s="12">
        <v>59.979101700000001</v>
      </c>
      <c r="AB83" s="12">
        <v>14.2507112</v>
      </c>
      <c r="AC83" s="12">
        <v>27.640790500000001</v>
      </c>
      <c r="AD83" s="12">
        <v>38.808561500000003</v>
      </c>
      <c r="AE83" s="12">
        <v>40.679164900000004</v>
      </c>
      <c r="AF83" s="12">
        <v>7.7735000999999997</v>
      </c>
      <c r="AG83" s="12">
        <v>34.544832599999999</v>
      </c>
    </row>
    <row r="84" spans="1:33" s="11" customFormat="1" hidden="1" outlineLevel="1" x14ac:dyDescent="0.3">
      <c r="A84" s="11" t="s">
        <v>90</v>
      </c>
      <c r="B84" s="12">
        <v>2.9900169999999999</v>
      </c>
      <c r="C84" s="12">
        <v>102.6233333</v>
      </c>
      <c r="D84" s="12">
        <v>1.7146821999999999</v>
      </c>
      <c r="E84" s="17">
        <v>0</v>
      </c>
      <c r="F84" s="13">
        <v>61.53</v>
      </c>
      <c r="G84" s="12">
        <v>7.3297331000000003</v>
      </c>
      <c r="H84" s="12">
        <v>11.831520899999999</v>
      </c>
      <c r="I84" s="12">
        <v>-3.7595773000000001</v>
      </c>
      <c r="J84" s="12">
        <v>8.7380674999999997</v>
      </c>
      <c r="K84" s="12">
        <v>16.339808000000001</v>
      </c>
      <c r="L84" s="12">
        <v>2.9905577000000001</v>
      </c>
      <c r="M84" s="12">
        <v>4.7402956999999999</v>
      </c>
      <c r="N84" s="12">
        <v>6.4601673999999996</v>
      </c>
      <c r="O84" s="12">
        <v>12.794831</v>
      </c>
      <c r="P84" s="7">
        <v>8541.5</v>
      </c>
      <c r="Q84" s="7">
        <v>424.9</v>
      </c>
      <c r="R84" s="7">
        <v>4.7</v>
      </c>
      <c r="S84" s="12">
        <v>13.496732</v>
      </c>
      <c r="T84" s="12">
        <v>1.75</v>
      </c>
      <c r="U84" s="12">
        <v>101.5633333</v>
      </c>
      <c r="V84" s="12">
        <v>4.6196666999999998</v>
      </c>
      <c r="W84" s="12">
        <v>9.7213425999999998</v>
      </c>
      <c r="X84" s="12">
        <v>9.5116028000000004</v>
      </c>
      <c r="Y84" s="12">
        <v>14.828018999999999</v>
      </c>
      <c r="Z84" s="12">
        <v>-2.2439874999999998</v>
      </c>
      <c r="AA84" s="12">
        <v>61.719652400000001</v>
      </c>
      <c r="AB84" s="12">
        <v>15.708787900000001</v>
      </c>
      <c r="AC84" s="12">
        <v>26.403725699999999</v>
      </c>
      <c r="AD84" s="12">
        <v>36.598625699999999</v>
      </c>
      <c r="AE84" s="12">
        <v>40.430791599999999</v>
      </c>
      <c r="AF84" s="12">
        <v>7.7880595000000001</v>
      </c>
      <c r="AG84" s="12">
        <v>35.313133299999997</v>
      </c>
    </row>
    <row r="85" spans="1:33" s="11" customFormat="1" hidden="1" outlineLevel="1" x14ac:dyDescent="0.3">
      <c r="A85" s="11" t="s">
        <v>91</v>
      </c>
      <c r="B85" s="12">
        <v>2.2828298</v>
      </c>
      <c r="C85" s="12">
        <v>102.5466667</v>
      </c>
      <c r="D85" s="12">
        <v>1.5313532000000001</v>
      </c>
      <c r="E85" s="17">
        <v>0</v>
      </c>
      <c r="F85" s="13">
        <v>66.806666699999994</v>
      </c>
      <c r="G85" s="12">
        <v>19.396842500000002</v>
      </c>
      <c r="H85" s="12">
        <v>14.623639799999999</v>
      </c>
      <c r="I85" s="12">
        <v>-4.3669504000000003</v>
      </c>
      <c r="J85" s="12">
        <v>6.5201088</v>
      </c>
      <c r="K85" s="12">
        <v>9.7406962000000004</v>
      </c>
      <c r="L85" s="12">
        <v>1.576943</v>
      </c>
      <c r="M85" s="12">
        <v>10.611068700000001</v>
      </c>
      <c r="N85" s="12">
        <v>6.8182942000000004</v>
      </c>
      <c r="O85" s="12">
        <v>10.2718481</v>
      </c>
      <c r="P85" s="7">
        <v>8477</v>
      </c>
      <c r="Q85" s="7">
        <v>413.8</v>
      </c>
      <c r="R85" s="7">
        <v>4.7</v>
      </c>
      <c r="S85" s="12">
        <v>11.6</v>
      </c>
      <c r="T85" s="12">
        <v>2.25</v>
      </c>
      <c r="U85" s="12">
        <v>102.9333333</v>
      </c>
      <c r="V85" s="12">
        <v>4.6554333000000003</v>
      </c>
      <c r="W85" s="12">
        <v>4.9104384999999997</v>
      </c>
      <c r="X85" s="12">
        <v>9.3711369999999992</v>
      </c>
      <c r="Y85" s="12">
        <v>11.8792414</v>
      </c>
      <c r="Z85" s="12">
        <v>-2.5001932999999998</v>
      </c>
      <c r="AA85" s="12">
        <v>69.521865899999995</v>
      </c>
      <c r="AB85" s="12">
        <v>19.1599839</v>
      </c>
      <c r="AC85" s="12">
        <v>13.595286400000001</v>
      </c>
      <c r="AD85" s="12">
        <v>53.359474599999999</v>
      </c>
      <c r="AE85" s="12">
        <v>55.6366108</v>
      </c>
      <c r="AF85" s="12">
        <v>9.4211095999999994</v>
      </c>
      <c r="AG85" s="12">
        <v>31.4126999</v>
      </c>
    </row>
    <row r="86" spans="1:33" s="11" customFormat="1" hidden="1" outlineLevel="1" x14ac:dyDescent="0.3">
      <c r="A86" s="11" t="s">
        <v>92</v>
      </c>
      <c r="B86" s="12">
        <v>2.5023559999999998</v>
      </c>
      <c r="C86" s="12">
        <v>104.0133333</v>
      </c>
      <c r="D86" s="12">
        <v>1.8606777000000001</v>
      </c>
      <c r="E86" s="17">
        <v>0</v>
      </c>
      <c r="F86" s="13">
        <v>74.5</v>
      </c>
      <c r="G86" s="12">
        <v>12.063101400000001</v>
      </c>
      <c r="H86" s="12">
        <v>18.0609386</v>
      </c>
      <c r="I86" s="12">
        <v>-1.3803128</v>
      </c>
      <c r="J86" s="12">
        <v>5.4270069000000003</v>
      </c>
      <c r="K86" s="12">
        <v>9.0492416999999996</v>
      </c>
      <c r="L86" s="12">
        <v>-1.2372692000000001</v>
      </c>
      <c r="M86" s="12">
        <v>6.2234572000000004</v>
      </c>
      <c r="N86" s="12">
        <v>6.3682388000000003</v>
      </c>
      <c r="O86" s="12">
        <v>9.2983084999999992</v>
      </c>
      <c r="P86" s="7">
        <v>8832.2000000000007</v>
      </c>
      <c r="Q86" s="7">
        <v>379.7</v>
      </c>
      <c r="R86" s="7">
        <v>4.0999999999999996</v>
      </c>
      <c r="S86" s="12">
        <v>14.5</v>
      </c>
      <c r="T86" s="12">
        <v>2.5</v>
      </c>
      <c r="U86" s="12">
        <v>104.1</v>
      </c>
      <c r="V86" s="12">
        <v>4.6535000000000002</v>
      </c>
      <c r="W86" s="12">
        <v>3.4637205</v>
      </c>
      <c r="X86" s="12">
        <v>9.9673773000000008</v>
      </c>
      <c r="Y86" s="12">
        <v>10.902699800000001</v>
      </c>
      <c r="Z86" s="12">
        <v>-5.7649561</v>
      </c>
      <c r="AA86" s="12">
        <v>63.067132800000003</v>
      </c>
      <c r="AB86" s="12">
        <v>16.718597599999999</v>
      </c>
      <c r="AC86" s="12">
        <v>23.2973702</v>
      </c>
      <c r="AD86" s="12">
        <v>45.074810399999997</v>
      </c>
      <c r="AE86" s="12">
        <v>48.1579111</v>
      </c>
      <c r="AF86" s="12">
        <v>9.9949066999999996</v>
      </c>
      <c r="AG86" s="12">
        <v>31.878031199999999</v>
      </c>
    </row>
    <row r="87" spans="1:33" s="11" customFormat="1" hidden="1" outlineLevel="1" x14ac:dyDescent="0.3">
      <c r="A87" s="11" t="s">
        <v>93</v>
      </c>
      <c r="B87" s="12">
        <v>1.7229988000000001</v>
      </c>
      <c r="C87" s="12">
        <v>104.3666667</v>
      </c>
      <c r="D87" s="12">
        <v>2.2033621999999999</v>
      </c>
      <c r="E87" s="17">
        <v>0</v>
      </c>
      <c r="F87" s="13">
        <v>75.223333299999993</v>
      </c>
      <c r="G87" s="12">
        <v>17.7158026</v>
      </c>
      <c r="H87" s="12">
        <v>11.0901256</v>
      </c>
      <c r="I87" s="12">
        <v>-2.3233204999999999</v>
      </c>
      <c r="J87" s="12">
        <v>6.1628549000000001</v>
      </c>
      <c r="K87" s="12">
        <v>7.7614913000000003</v>
      </c>
      <c r="L87" s="12">
        <v>3.0149864000000002</v>
      </c>
      <c r="M87" s="12">
        <v>8.5991122999999998</v>
      </c>
      <c r="N87" s="12">
        <v>3.3615868999999998</v>
      </c>
      <c r="O87" s="12">
        <v>6.3899033999999997</v>
      </c>
      <c r="P87" s="7">
        <v>8857.1</v>
      </c>
      <c r="Q87" s="7">
        <v>356.8</v>
      </c>
      <c r="R87" s="7">
        <v>3.9</v>
      </c>
      <c r="S87" s="12">
        <v>13.1</v>
      </c>
      <c r="T87" s="12">
        <v>2.5</v>
      </c>
      <c r="U87" s="12">
        <v>104.19333330000001</v>
      </c>
      <c r="V87" s="12">
        <v>4.6471333000000001</v>
      </c>
      <c r="W87" s="12">
        <v>3.7993920000000001</v>
      </c>
      <c r="X87" s="12">
        <v>6.7231699999999996</v>
      </c>
      <c r="Y87" s="12">
        <v>10.2949904</v>
      </c>
      <c r="Z87" s="12">
        <v>-5.5983561000000002</v>
      </c>
      <c r="AA87" s="12">
        <v>59.953974000000002</v>
      </c>
      <c r="AB87" s="12">
        <v>15.643071900000001</v>
      </c>
      <c r="AC87" s="12">
        <v>27.511113300000002</v>
      </c>
      <c r="AD87" s="12">
        <v>37.319893800000003</v>
      </c>
      <c r="AE87" s="12">
        <v>40.428052999999998</v>
      </c>
      <c r="AF87" s="12">
        <v>9.4235769000000005</v>
      </c>
      <c r="AG87" s="12">
        <v>32.666596200000001</v>
      </c>
    </row>
    <row r="88" spans="1:33" s="11" customFormat="1" hidden="1" outlineLevel="1" x14ac:dyDescent="0.3">
      <c r="A88" s="11" t="s">
        <v>94</v>
      </c>
      <c r="B88" s="12">
        <v>1.7730376000000001</v>
      </c>
      <c r="C88" s="12">
        <v>104.64</v>
      </c>
      <c r="D88" s="12">
        <v>1.9651152000000001</v>
      </c>
      <c r="E88" s="17">
        <v>0</v>
      </c>
      <c r="F88" s="13">
        <v>67.713333300000002</v>
      </c>
      <c r="G88" s="12">
        <v>13.990698200000001</v>
      </c>
      <c r="H88" s="12">
        <v>15.4311908</v>
      </c>
      <c r="I88" s="12">
        <v>-3.4059837000000002</v>
      </c>
      <c r="J88" s="12">
        <v>6.0599901999999997</v>
      </c>
      <c r="K88" s="12">
        <v>11.0175202</v>
      </c>
      <c r="L88" s="12">
        <v>9.4143439000000004</v>
      </c>
      <c r="M88" s="12">
        <v>-1.646882</v>
      </c>
      <c r="N88" s="12">
        <v>4.8366423999999997</v>
      </c>
      <c r="O88" s="12">
        <v>8.6975636000000005</v>
      </c>
      <c r="P88" s="7">
        <v>8587.7999999999993</v>
      </c>
      <c r="Q88" s="7">
        <v>368.4</v>
      </c>
      <c r="R88" s="7">
        <v>4.0999999999999996</v>
      </c>
      <c r="S88" s="12">
        <v>13.1</v>
      </c>
      <c r="T88" s="12">
        <v>2.5</v>
      </c>
      <c r="U88" s="12">
        <v>105.0933333</v>
      </c>
      <c r="V88" s="12">
        <v>4.6601333</v>
      </c>
      <c r="W88" s="12">
        <v>1.8470418</v>
      </c>
      <c r="X88" s="12">
        <v>8.0699766000000004</v>
      </c>
      <c r="Y88" s="12">
        <v>10.4896665</v>
      </c>
      <c r="Z88" s="12">
        <v>-4.1304062000000004</v>
      </c>
      <c r="AA88" s="12">
        <v>62.919362200000002</v>
      </c>
      <c r="AB88" s="12">
        <v>15.9882247</v>
      </c>
      <c r="AC88" s="12">
        <v>25.665696499999999</v>
      </c>
      <c r="AD88" s="12">
        <v>35.325989800000002</v>
      </c>
      <c r="AE88" s="12">
        <v>39.899273200000003</v>
      </c>
      <c r="AF88" s="12">
        <v>9.1710685999999999</v>
      </c>
      <c r="AG88" s="12">
        <v>34.450616500000002</v>
      </c>
    </row>
    <row r="89" spans="1:33" s="11" customFormat="1" hidden="1" outlineLevel="1" x14ac:dyDescent="0.3">
      <c r="A89" s="11" t="s">
        <v>95</v>
      </c>
      <c r="B89" s="12">
        <v>1.9308453999999999</v>
      </c>
      <c r="C89" s="12">
        <v>104.17</v>
      </c>
      <c r="D89" s="12">
        <v>1.5830191</v>
      </c>
      <c r="E89" s="17">
        <v>0</v>
      </c>
      <c r="F89" s="13">
        <v>63.17</v>
      </c>
      <c r="G89" s="12">
        <v>12.7249537</v>
      </c>
      <c r="H89" s="12">
        <v>9.1060964999999996</v>
      </c>
      <c r="I89" s="12">
        <v>-5.5570475999999998</v>
      </c>
      <c r="J89" s="12">
        <v>3.7322318000000001</v>
      </c>
      <c r="K89" s="12">
        <v>3.9751053999999999</v>
      </c>
      <c r="L89" s="12">
        <v>4.5565642000000004</v>
      </c>
      <c r="M89" s="12">
        <v>27.092513799999999</v>
      </c>
      <c r="N89" s="12">
        <v>4.5416188000000002</v>
      </c>
      <c r="O89" s="12">
        <v>11.643553000000001</v>
      </c>
      <c r="P89" s="7">
        <v>8487.9</v>
      </c>
      <c r="Q89" s="7">
        <v>363.9</v>
      </c>
      <c r="R89" s="7">
        <v>4.0999999999999996</v>
      </c>
      <c r="S89" s="12">
        <v>15.259816600000001</v>
      </c>
      <c r="T89" s="12">
        <v>2.5</v>
      </c>
      <c r="U89" s="12">
        <v>106.8533333</v>
      </c>
      <c r="V89" s="12">
        <v>4.7364667000000003</v>
      </c>
      <c r="W89" s="12">
        <v>0.58875480000000002</v>
      </c>
      <c r="X89" s="12">
        <v>5.9460369000000002</v>
      </c>
      <c r="Y89" s="12">
        <v>10.989234</v>
      </c>
      <c r="Z89" s="12">
        <v>-2.7948032999999999</v>
      </c>
      <c r="AA89" s="12">
        <v>68.6270521</v>
      </c>
      <c r="AB89" s="12">
        <v>19.807864899999998</v>
      </c>
      <c r="AC89" s="12">
        <v>16.3195847</v>
      </c>
      <c r="AD89" s="12">
        <v>51.502601300000002</v>
      </c>
      <c r="AE89" s="12">
        <v>56.257103000000001</v>
      </c>
      <c r="AF89" s="12">
        <v>8.0443561999999993</v>
      </c>
      <c r="AG89" s="12">
        <v>30.963138900000001</v>
      </c>
    </row>
    <row r="90" spans="1:33" s="11" customFormat="1" hidden="1" outlineLevel="1" x14ac:dyDescent="0.3">
      <c r="A90" s="11" t="s">
        <v>96</v>
      </c>
      <c r="B90" s="12">
        <v>1.5959346999999999</v>
      </c>
      <c r="C90" s="12">
        <v>105.7566667</v>
      </c>
      <c r="D90" s="12">
        <v>1.6760672000000001</v>
      </c>
      <c r="E90" s="17">
        <v>0</v>
      </c>
      <c r="F90" s="13">
        <v>68.923333299999996</v>
      </c>
      <c r="G90" s="12">
        <v>23.8138504</v>
      </c>
      <c r="H90" s="12">
        <v>18.135301699999999</v>
      </c>
      <c r="I90" s="12">
        <v>-3.2439015000000002</v>
      </c>
      <c r="J90" s="12">
        <v>4.0174282999999997</v>
      </c>
      <c r="K90" s="12">
        <v>2.2864043000000001</v>
      </c>
      <c r="L90" s="12">
        <v>17.0456504</v>
      </c>
      <c r="M90" s="12">
        <v>7.4320133999999998</v>
      </c>
      <c r="N90" s="12">
        <v>3.7646742999999998</v>
      </c>
      <c r="O90" s="12">
        <v>7.5476910999999998</v>
      </c>
      <c r="P90" s="7">
        <v>8813.7000000000007</v>
      </c>
      <c r="Q90" s="7">
        <v>344.7</v>
      </c>
      <c r="R90" s="7">
        <v>3.8</v>
      </c>
      <c r="S90" s="12">
        <v>13.1308653</v>
      </c>
      <c r="T90" s="12">
        <v>2.5</v>
      </c>
      <c r="U90" s="12">
        <v>108.53</v>
      </c>
      <c r="V90" s="12">
        <v>4.7476000000000003</v>
      </c>
      <c r="W90" s="12">
        <v>-1.5295816</v>
      </c>
      <c r="X90" s="12">
        <v>5.0236020999999997</v>
      </c>
      <c r="Y90" s="12">
        <v>6.3199071</v>
      </c>
      <c r="Z90" s="12">
        <v>-6.4928277999999997</v>
      </c>
      <c r="AA90" s="12">
        <v>60.8073592</v>
      </c>
      <c r="AB90" s="12">
        <v>18.374418899999998</v>
      </c>
      <c r="AC90" s="12">
        <v>24.348829800000001</v>
      </c>
      <c r="AD90" s="12">
        <v>43.266995100000003</v>
      </c>
      <c r="AE90" s="12">
        <v>46.797602900000001</v>
      </c>
      <c r="AF90" s="12">
        <v>6.8888353000000002</v>
      </c>
      <c r="AG90" s="12">
        <v>31.7605015</v>
      </c>
    </row>
    <row r="91" spans="1:33" s="11" customFormat="1" hidden="1" outlineLevel="1" x14ac:dyDescent="0.3">
      <c r="A91" s="11" t="s">
        <v>97</v>
      </c>
      <c r="B91" s="12">
        <v>2.3612953000000001</v>
      </c>
      <c r="C91" s="12">
        <v>105.74</v>
      </c>
      <c r="D91" s="12">
        <v>1.3158734999999999</v>
      </c>
      <c r="E91" s="17">
        <v>0</v>
      </c>
      <c r="F91" s="13">
        <v>61.93</v>
      </c>
      <c r="G91" s="12">
        <v>15.8747889</v>
      </c>
      <c r="H91" s="12">
        <v>8.6924866999999999</v>
      </c>
      <c r="I91" s="12">
        <v>-4.3035278999999997</v>
      </c>
      <c r="J91" s="12">
        <v>2.8657859999999999</v>
      </c>
      <c r="K91" s="12">
        <v>2.0141836</v>
      </c>
      <c r="L91" s="12">
        <v>5.9960806</v>
      </c>
      <c r="M91" s="12">
        <v>9.0028115</v>
      </c>
      <c r="N91" s="12">
        <v>5.7345024999999996</v>
      </c>
      <c r="O91" s="12">
        <v>9.6056419000000002</v>
      </c>
      <c r="P91" s="7">
        <v>8766</v>
      </c>
      <c r="Q91" s="7">
        <v>350.5</v>
      </c>
      <c r="R91" s="7">
        <v>3.8</v>
      </c>
      <c r="S91" s="12">
        <v>12.4395506</v>
      </c>
      <c r="T91" s="12">
        <v>2.5</v>
      </c>
      <c r="U91" s="12">
        <v>108.2566667</v>
      </c>
      <c r="V91" s="12">
        <v>4.7315667000000001</v>
      </c>
      <c r="W91" s="12">
        <v>-3.6017570000000001</v>
      </c>
      <c r="X91" s="12">
        <v>4.4888804000000002</v>
      </c>
      <c r="Y91" s="12">
        <v>7.2053379</v>
      </c>
      <c r="Z91" s="12">
        <v>-5.9481437000000001</v>
      </c>
      <c r="AA91" s="12">
        <v>58.332791399999998</v>
      </c>
      <c r="AB91" s="12">
        <v>16.145288300000001</v>
      </c>
      <c r="AC91" s="12">
        <v>29.565420599999999</v>
      </c>
      <c r="AD91" s="12">
        <v>36.281852299999997</v>
      </c>
      <c r="AE91" s="12">
        <v>40.325352700000003</v>
      </c>
      <c r="AF91" s="12">
        <v>7.3708814</v>
      </c>
      <c r="AG91" s="12">
        <v>33.876502100000003</v>
      </c>
    </row>
    <row r="92" spans="1:33" s="11" customFormat="1" hidden="1" outlineLevel="1" x14ac:dyDescent="0.3">
      <c r="A92" s="11" t="s">
        <v>98</v>
      </c>
      <c r="B92" s="12">
        <v>1.3592039</v>
      </c>
      <c r="C92" s="12">
        <v>106.0066667</v>
      </c>
      <c r="D92" s="12">
        <v>1.3060653</v>
      </c>
      <c r="E92" s="17">
        <v>0</v>
      </c>
      <c r="F92" s="13">
        <v>63.41</v>
      </c>
      <c r="G92" s="12">
        <v>15.017747399999999</v>
      </c>
      <c r="H92" s="12">
        <v>11.9077669</v>
      </c>
      <c r="I92" s="12">
        <v>-4.3882526999999998</v>
      </c>
      <c r="J92" s="12">
        <v>4.7206415000000002</v>
      </c>
      <c r="K92" s="12">
        <v>4.6028934000000001</v>
      </c>
      <c r="L92" s="12">
        <v>2.9982644999999999</v>
      </c>
      <c r="M92" s="12">
        <v>3.4921950000000002</v>
      </c>
      <c r="N92" s="12">
        <v>7.3278717000000002</v>
      </c>
      <c r="O92" s="12">
        <v>5.8123781000000001</v>
      </c>
      <c r="P92" s="7">
        <v>8653.7000000000007</v>
      </c>
      <c r="Q92" s="7">
        <v>354.4</v>
      </c>
      <c r="R92" s="7">
        <v>3.9</v>
      </c>
      <c r="S92" s="12">
        <v>11.487825600000001</v>
      </c>
      <c r="T92" s="12">
        <v>2.5</v>
      </c>
      <c r="U92" s="12">
        <v>108.9633333</v>
      </c>
      <c r="V92" s="12">
        <v>4.7671666999999998</v>
      </c>
      <c r="W92" s="12">
        <v>-4.3921789999999996</v>
      </c>
      <c r="X92" s="12">
        <v>5.6192174000000001</v>
      </c>
      <c r="Y92" s="12">
        <v>4.9275701999999999</v>
      </c>
      <c r="Z92" s="12">
        <v>-3.9360993999999998</v>
      </c>
      <c r="AA92" s="12">
        <v>62.977264400000003</v>
      </c>
      <c r="AB92" s="12">
        <v>16.740667200000001</v>
      </c>
      <c r="AC92" s="12">
        <v>24.467375000000001</v>
      </c>
      <c r="AD92" s="12">
        <v>34.292031899999998</v>
      </c>
      <c r="AE92" s="12">
        <v>38.477338500000002</v>
      </c>
      <c r="AF92" s="12">
        <v>7.5520414000000002</v>
      </c>
      <c r="AG92" s="12">
        <v>35.113131799999998</v>
      </c>
    </row>
    <row r="93" spans="1:33" s="11" customFormat="1" hidden="1" outlineLevel="1" x14ac:dyDescent="0.3">
      <c r="A93" s="11" t="s">
        <v>99</v>
      </c>
      <c r="B93" s="12">
        <v>-2.2061226999999999</v>
      </c>
      <c r="C93" s="12">
        <v>105.74666670000001</v>
      </c>
      <c r="D93" s="12">
        <v>1.5135516</v>
      </c>
      <c r="E93" s="17">
        <v>0</v>
      </c>
      <c r="F93" s="13">
        <v>50.44</v>
      </c>
      <c r="G93" s="12">
        <v>13.915960999999999</v>
      </c>
      <c r="H93" s="12">
        <v>6.3067957000000003</v>
      </c>
      <c r="I93" s="12">
        <v>-8.2797715000000007</v>
      </c>
      <c r="J93" s="12">
        <v>2.4275818999999998</v>
      </c>
      <c r="K93" s="12">
        <v>4.9934383000000002</v>
      </c>
      <c r="L93" s="12">
        <v>8.6717314999999999</v>
      </c>
      <c r="M93" s="12">
        <v>1.4604196</v>
      </c>
      <c r="N93" s="12">
        <v>-1.0603381000000001</v>
      </c>
      <c r="O93" s="12">
        <v>4.6106024999999997</v>
      </c>
      <c r="P93" s="7">
        <v>8519.5</v>
      </c>
      <c r="Q93" s="7">
        <v>382.4</v>
      </c>
      <c r="R93" s="7">
        <v>4.3</v>
      </c>
      <c r="S93" s="12">
        <v>7.8063374999999997</v>
      </c>
      <c r="T93" s="12">
        <v>2</v>
      </c>
      <c r="U93" s="12">
        <v>110.2033333</v>
      </c>
      <c r="V93" s="12">
        <v>4.7968999999999999</v>
      </c>
      <c r="W93" s="12">
        <v>-5.9701493000000001</v>
      </c>
      <c r="X93" s="12">
        <v>4.13105E-2</v>
      </c>
      <c r="Y93" s="12">
        <v>1.2114638</v>
      </c>
      <c r="Z93" s="12">
        <v>-2.3108989000000002</v>
      </c>
      <c r="AA93" s="12">
        <v>67.344835000000003</v>
      </c>
      <c r="AB93" s="12">
        <v>20.1532786</v>
      </c>
      <c r="AC93" s="12">
        <v>17.580625399999999</v>
      </c>
      <c r="AD93" s="12">
        <v>48.207440900000002</v>
      </c>
      <c r="AE93" s="12">
        <v>53.286179799999999</v>
      </c>
      <c r="AF93" s="12">
        <v>7.6445879999999997</v>
      </c>
      <c r="AG93" s="12">
        <v>37.652253700000003</v>
      </c>
    </row>
    <row r="94" spans="1:33" s="11" customFormat="1" hidden="1" outlineLevel="1" x14ac:dyDescent="0.3">
      <c r="A94" s="11" t="s">
        <v>100</v>
      </c>
      <c r="B94" s="12">
        <v>-13.380244299999999</v>
      </c>
      <c r="C94" s="12">
        <v>106.50333329999999</v>
      </c>
      <c r="D94" s="12">
        <v>0.70602319999999996</v>
      </c>
      <c r="E94" s="17">
        <v>0</v>
      </c>
      <c r="F94" s="13">
        <v>29.343333300000001</v>
      </c>
      <c r="G94" s="12">
        <v>9.1070712999999994</v>
      </c>
      <c r="H94" s="12">
        <v>-8.3104692</v>
      </c>
      <c r="I94" s="12">
        <v>-10.619759</v>
      </c>
      <c r="J94" s="12">
        <v>-9.4131219000000002</v>
      </c>
      <c r="K94" s="12">
        <v>-12.1402924</v>
      </c>
      <c r="L94" s="12">
        <v>4.8290353000000001</v>
      </c>
      <c r="M94" s="12">
        <v>-4.8589631999999998</v>
      </c>
      <c r="N94" s="12">
        <v>-28.0704478</v>
      </c>
      <c r="O94" s="12">
        <v>-21.858178599999999</v>
      </c>
      <c r="P94" s="7">
        <v>8504.7000000000007</v>
      </c>
      <c r="Q94" s="7">
        <v>482.2</v>
      </c>
      <c r="R94" s="7">
        <v>5.4</v>
      </c>
      <c r="S94" s="12">
        <v>2.9261919999999999</v>
      </c>
      <c r="T94" s="12">
        <v>1.75</v>
      </c>
      <c r="U94" s="12">
        <v>110.77</v>
      </c>
      <c r="V94" s="12">
        <v>4.8377999999999997</v>
      </c>
      <c r="W94" s="12">
        <v>-26.729191100000001</v>
      </c>
      <c r="X94" s="12">
        <v>-29.701365299999999</v>
      </c>
      <c r="Y94" s="12">
        <v>-26.255492100000001</v>
      </c>
      <c r="Z94" s="12">
        <v>-6.3399260000000002</v>
      </c>
      <c r="AA94" s="12">
        <v>60.663592199999997</v>
      </c>
      <c r="AB94" s="12">
        <v>20.960158499999999</v>
      </c>
      <c r="AC94" s="12">
        <v>22.9162918</v>
      </c>
      <c r="AD94" s="12">
        <v>33.774090600000001</v>
      </c>
      <c r="AE94" s="12">
        <v>38.314133200000001</v>
      </c>
      <c r="AF94" s="12">
        <v>6.1067958000000004</v>
      </c>
      <c r="AG94" s="12">
        <v>40.169613099999999</v>
      </c>
    </row>
    <row r="95" spans="1:33" s="11" customFormat="1" hidden="1" outlineLevel="1" x14ac:dyDescent="0.3">
      <c r="A95" s="11" t="s">
        <v>101</v>
      </c>
      <c r="B95" s="12">
        <v>-3.6984297000000002</v>
      </c>
      <c r="C95" s="12">
        <v>106.27</v>
      </c>
      <c r="D95" s="12">
        <v>0.50122940000000005</v>
      </c>
      <c r="E95" s="17">
        <v>0</v>
      </c>
      <c r="F95" s="13">
        <v>42.963333300000002</v>
      </c>
      <c r="G95" s="12">
        <v>20.3546285</v>
      </c>
      <c r="H95" s="12">
        <v>15.5986274</v>
      </c>
      <c r="I95" s="12">
        <v>-6.5802098000000004</v>
      </c>
      <c r="J95" s="12">
        <v>-5.7837019999999999</v>
      </c>
      <c r="K95" s="12">
        <v>-3.5856558000000001</v>
      </c>
      <c r="L95" s="12">
        <v>-3.7852866000000001</v>
      </c>
      <c r="M95" s="12">
        <v>-6.8368992000000004</v>
      </c>
      <c r="N95" s="12">
        <v>-6.9870400000000004</v>
      </c>
      <c r="O95" s="12">
        <v>-3.7880340000000001</v>
      </c>
      <c r="P95" s="7">
        <v>8555.4</v>
      </c>
      <c r="Q95" s="7">
        <v>472.5</v>
      </c>
      <c r="R95" s="7">
        <v>5.2</v>
      </c>
      <c r="S95" s="12">
        <v>7.3182029000000002</v>
      </c>
      <c r="T95" s="12">
        <v>1.5</v>
      </c>
      <c r="U95" s="12">
        <v>110.80333330000001</v>
      </c>
      <c r="V95" s="12">
        <v>4.8453666999999996</v>
      </c>
      <c r="W95" s="12">
        <v>-3.3414337000000001</v>
      </c>
      <c r="X95" s="12">
        <v>-7.4714260000000001</v>
      </c>
      <c r="Y95" s="12">
        <v>-7.8498061000000003</v>
      </c>
      <c r="Z95" s="12">
        <v>-6.2904362999999996</v>
      </c>
      <c r="AA95" s="12">
        <v>58.787711799999997</v>
      </c>
      <c r="AB95" s="12">
        <v>16.8087616</v>
      </c>
      <c r="AC95" s="12">
        <v>28.117424199999999</v>
      </c>
      <c r="AD95" s="12">
        <v>34.777173099999999</v>
      </c>
      <c r="AE95" s="12">
        <v>38.491070700000002</v>
      </c>
      <c r="AF95" s="12">
        <v>5.3627383000000002</v>
      </c>
      <c r="AG95" s="12">
        <v>42.276054000000002</v>
      </c>
    </row>
    <row r="96" spans="1:33" s="11" customFormat="1" hidden="1" outlineLevel="1" x14ac:dyDescent="0.3">
      <c r="A96" s="11" t="s">
        <v>102</v>
      </c>
      <c r="B96" s="12">
        <v>-3.2236577</v>
      </c>
      <c r="C96" s="12">
        <v>106.2833333</v>
      </c>
      <c r="D96" s="12">
        <v>0.26098979999999999</v>
      </c>
      <c r="E96" s="17">
        <v>0</v>
      </c>
      <c r="F96" s="13">
        <v>44.29</v>
      </c>
      <c r="G96" s="12">
        <v>17.801742399999998</v>
      </c>
      <c r="H96" s="12">
        <v>-2.9459034000000002</v>
      </c>
      <c r="I96" s="12">
        <v>-11.304521100000001</v>
      </c>
      <c r="J96" s="12">
        <v>-1.2182795</v>
      </c>
      <c r="K96" s="12">
        <v>-4.1707846000000002</v>
      </c>
      <c r="L96" s="12">
        <v>-3.1268739999999999</v>
      </c>
      <c r="M96" s="12">
        <v>11.248965099999999</v>
      </c>
      <c r="N96" s="12">
        <v>-2.0757275000000002</v>
      </c>
      <c r="O96" s="12">
        <v>2.8151099999999998E-2</v>
      </c>
      <c r="P96" s="7">
        <v>8504.7000000000007</v>
      </c>
      <c r="Q96" s="7">
        <v>470</v>
      </c>
      <c r="R96" s="7">
        <v>5.2</v>
      </c>
      <c r="S96" s="12">
        <v>7.4407974000000001</v>
      </c>
      <c r="T96" s="12">
        <v>1.5</v>
      </c>
      <c r="U96" s="12">
        <v>110.8966667</v>
      </c>
      <c r="V96" s="12">
        <v>4.8717667000000002</v>
      </c>
      <c r="W96" s="12">
        <v>-0.62240660000000003</v>
      </c>
      <c r="X96" s="12">
        <v>-2.0058370000000001</v>
      </c>
      <c r="Y96" s="12">
        <v>-1.7418707</v>
      </c>
      <c r="Z96" s="12">
        <v>-4.5723455</v>
      </c>
      <c r="AA96" s="12">
        <v>59.299371700000002</v>
      </c>
      <c r="AB96" s="12">
        <v>17.735135199999998</v>
      </c>
      <c r="AC96" s="12">
        <v>27.116250099999998</v>
      </c>
      <c r="AD96" s="12">
        <v>33.334760000000003</v>
      </c>
      <c r="AE96" s="12">
        <v>37.485517100000003</v>
      </c>
      <c r="AF96" s="12">
        <v>4.7661268000000003</v>
      </c>
      <c r="AG96" s="12">
        <v>46.835811100000001</v>
      </c>
    </row>
    <row r="97" spans="1:33" s="11" customFormat="1" hidden="1" outlineLevel="1" x14ac:dyDescent="0.3">
      <c r="A97" s="11" t="s">
        <v>103</v>
      </c>
      <c r="B97" s="12">
        <v>-0.1765746</v>
      </c>
      <c r="C97" s="12">
        <v>107.21</v>
      </c>
      <c r="D97" s="12">
        <v>1.3838102999999999</v>
      </c>
      <c r="E97" s="17">
        <v>0</v>
      </c>
      <c r="F97" s="13">
        <v>60.82</v>
      </c>
      <c r="G97" s="12">
        <v>10.495312999999999</v>
      </c>
      <c r="H97" s="12">
        <v>8.5704515000000008</v>
      </c>
      <c r="I97" s="12">
        <v>-9.3417756000000001</v>
      </c>
      <c r="J97" s="12">
        <v>1.3196573</v>
      </c>
      <c r="K97" s="12">
        <v>-0.86746730000000005</v>
      </c>
      <c r="L97" s="12">
        <v>-3.5078014999999998</v>
      </c>
      <c r="M97" s="12">
        <v>21.432348300000001</v>
      </c>
      <c r="N97" s="12">
        <v>1.4070982000000001</v>
      </c>
      <c r="O97" s="12">
        <v>3.9758266999999998</v>
      </c>
      <c r="P97" s="7">
        <v>7635.6</v>
      </c>
      <c r="Q97" s="7">
        <v>496</v>
      </c>
      <c r="R97" s="7">
        <v>6.1</v>
      </c>
      <c r="S97" s="12">
        <v>6.1624827</v>
      </c>
      <c r="T97" s="12">
        <v>1.25</v>
      </c>
      <c r="U97" s="12">
        <v>112.76</v>
      </c>
      <c r="V97" s="12">
        <v>4.8788666999999997</v>
      </c>
      <c r="W97" s="12">
        <v>2.9878618000000001</v>
      </c>
      <c r="X97" s="12">
        <v>2.3591712</v>
      </c>
      <c r="Y97" s="12">
        <v>4.8289144000000004</v>
      </c>
      <c r="Z97" s="12">
        <v>-5.8484859</v>
      </c>
      <c r="AA97" s="12">
        <v>66.194832599999998</v>
      </c>
      <c r="AB97" s="12">
        <v>19.947288499999999</v>
      </c>
      <c r="AC97" s="12">
        <v>20.158056200000001</v>
      </c>
      <c r="AD97" s="12">
        <v>47.820937399999998</v>
      </c>
      <c r="AE97" s="12">
        <v>54.1211147</v>
      </c>
      <c r="AF97" s="12">
        <v>4.8544083999999996</v>
      </c>
      <c r="AG97" s="12">
        <v>42.570149000000001</v>
      </c>
    </row>
    <row r="98" spans="1:33" s="11" customFormat="1" hidden="1" outlineLevel="1" x14ac:dyDescent="0.3">
      <c r="A98" s="11" t="s">
        <v>104</v>
      </c>
      <c r="B98" s="12">
        <v>14.630134099999999</v>
      </c>
      <c r="C98" s="12">
        <v>108.82</v>
      </c>
      <c r="D98" s="12">
        <v>2.1752058000000001</v>
      </c>
      <c r="E98" s="17">
        <v>0</v>
      </c>
      <c r="F98" s="13">
        <v>68.833333300000007</v>
      </c>
      <c r="G98" s="12">
        <v>9.9573748999999996</v>
      </c>
      <c r="H98" s="12">
        <v>20.653343799999998</v>
      </c>
      <c r="I98" s="12">
        <v>-6.5137894000000003</v>
      </c>
      <c r="J98" s="12">
        <v>12.617870099999999</v>
      </c>
      <c r="K98" s="12">
        <v>12.262472000000001</v>
      </c>
      <c r="L98" s="12">
        <v>-0.75925509999999996</v>
      </c>
      <c r="M98" s="12">
        <v>29.994367799999999</v>
      </c>
      <c r="N98" s="12">
        <v>40.403537800000002</v>
      </c>
      <c r="O98" s="12">
        <v>39.4565318</v>
      </c>
      <c r="P98" s="7">
        <v>7843.5</v>
      </c>
      <c r="Q98" s="7">
        <v>418.1</v>
      </c>
      <c r="R98" s="7">
        <v>5.0999999999999996</v>
      </c>
      <c r="S98" s="12">
        <v>9.6458940999999996</v>
      </c>
      <c r="T98" s="12">
        <v>1.25</v>
      </c>
      <c r="U98" s="12">
        <v>114.22</v>
      </c>
      <c r="V98" s="12">
        <v>4.9239667000000003</v>
      </c>
      <c r="W98" s="12">
        <v>32.840000099999997</v>
      </c>
      <c r="X98" s="12">
        <v>51.572184</v>
      </c>
      <c r="Y98" s="12">
        <v>50.781223900000001</v>
      </c>
      <c r="Z98" s="12">
        <v>-8.5617292000000003</v>
      </c>
      <c r="AA98" s="12">
        <v>57.878127900000003</v>
      </c>
      <c r="AB98" s="12">
        <v>19.0650762</v>
      </c>
      <c r="AC98" s="12">
        <v>28.605918800000001</v>
      </c>
      <c r="AD98" s="12">
        <v>43.122457599999997</v>
      </c>
      <c r="AE98" s="12">
        <v>48.671580499999997</v>
      </c>
      <c r="AF98" s="12">
        <v>7.8381144000000003</v>
      </c>
      <c r="AG98" s="12">
        <v>44.230023699999997</v>
      </c>
    </row>
    <row r="99" spans="1:33" s="11" customFormat="1" hidden="1" outlineLevel="1" x14ac:dyDescent="0.3">
      <c r="A99" s="11" t="s">
        <v>105</v>
      </c>
      <c r="B99" s="12">
        <v>4.8925850000000004</v>
      </c>
      <c r="C99" s="12">
        <v>109.55666669999999</v>
      </c>
      <c r="D99" s="12">
        <v>3.0927511999999999</v>
      </c>
      <c r="E99" s="17">
        <v>0</v>
      </c>
      <c r="F99" s="13">
        <v>73.47</v>
      </c>
      <c r="G99" s="12">
        <v>-1.8006275</v>
      </c>
      <c r="H99" s="12">
        <v>5.2701399000000002</v>
      </c>
      <c r="I99" s="12">
        <v>-3.7012866</v>
      </c>
      <c r="J99" s="12">
        <v>6.7578164999999997</v>
      </c>
      <c r="K99" s="12">
        <v>9.1355413999999993</v>
      </c>
      <c r="L99" s="12">
        <v>0.61375650000000004</v>
      </c>
      <c r="M99" s="12">
        <v>11.217678899999999</v>
      </c>
      <c r="N99" s="12">
        <v>8.2270731999999995</v>
      </c>
      <c r="O99" s="12">
        <v>11.220697599999999</v>
      </c>
      <c r="P99" s="7">
        <v>7790.9</v>
      </c>
      <c r="Q99" s="7">
        <v>436.3</v>
      </c>
      <c r="R99" s="7">
        <v>5.3</v>
      </c>
      <c r="S99" s="12">
        <v>6.0484616999999998</v>
      </c>
      <c r="T99" s="12">
        <v>1.25</v>
      </c>
      <c r="U99" s="12">
        <v>115.6033333</v>
      </c>
      <c r="V99" s="12">
        <v>4.9319332999999999</v>
      </c>
      <c r="W99" s="12">
        <v>0.56568200000000002</v>
      </c>
      <c r="X99" s="12">
        <v>17.160413999999999</v>
      </c>
      <c r="Y99" s="12">
        <v>22.6965127</v>
      </c>
      <c r="Z99" s="12">
        <v>-7.7869317999999996</v>
      </c>
      <c r="AA99" s="12">
        <v>59.179183299999998</v>
      </c>
      <c r="AB99" s="12">
        <v>15.4032994</v>
      </c>
      <c r="AC99" s="12">
        <v>31.2970395</v>
      </c>
      <c r="AD99" s="12">
        <v>36.931264300000002</v>
      </c>
      <c r="AE99" s="12">
        <v>42.810786499999999</v>
      </c>
      <c r="AF99" s="12">
        <v>9.2378643</v>
      </c>
      <c r="AG99" s="12">
        <v>46.774768399999999</v>
      </c>
    </row>
    <row r="100" spans="1:33" s="11" customFormat="1" hidden="1" outlineLevel="1" x14ac:dyDescent="0.3">
      <c r="A100" s="11" t="s">
        <v>106</v>
      </c>
      <c r="B100" s="12">
        <v>5.3916862999999999</v>
      </c>
      <c r="C100" s="12">
        <v>111.5333333</v>
      </c>
      <c r="D100" s="12">
        <v>4.9396268000000001</v>
      </c>
      <c r="E100" s="17">
        <v>0</v>
      </c>
      <c r="F100" s="13">
        <v>79.586666699999995</v>
      </c>
      <c r="G100" s="12">
        <v>8.7921043999999995</v>
      </c>
      <c r="H100" s="12">
        <v>16.0026315</v>
      </c>
      <c r="I100" s="12">
        <v>-9.3638431999999998</v>
      </c>
      <c r="J100" s="12">
        <v>2.8189763999999999</v>
      </c>
      <c r="K100" s="12">
        <v>9.3653312999999994</v>
      </c>
      <c r="L100" s="12">
        <v>9.3005066999999997</v>
      </c>
      <c r="M100" s="12">
        <v>-9.2090592999999998</v>
      </c>
      <c r="N100" s="12">
        <v>7.7796117000000002</v>
      </c>
      <c r="O100" s="12">
        <v>10.583240699999999</v>
      </c>
      <c r="P100" s="7">
        <v>7751.9</v>
      </c>
      <c r="Q100" s="7">
        <v>486.4</v>
      </c>
      <c r="R100" s="7">
        <v>5.9</v>
      </c>
      <c r="S100" s="12">
        <v>6.6241209999999997</v>
      </c>
      <c r="T100" s="12">
        <v>1.75</v>
      </c>
      <c r="U100" s="12">
        <v>118.25333329999999</v>
      </c>
      <c r="V100" s="12">
        <v>4.9488667</v>
      </c>
      <c r="W100" s="12">
        <v>-2.0578585999999999</v>
      </c>
      <c r="X100" s="12">
        <v>19.886068300000002</v>
      </c>
      <c r="Y100" s="12">
        <v>21.3250785</v>
      </c>
      <c r="Z100" s="12">
        <v>-6.6241564000000004</v>
      </c>
      <c r="AA100" s="12">
        <v>63.265259700000001</v>
      </c>
      <c r="AB100" s="12">
        <v>17.890997200000001</v>
      </c>
      <c r="AC100" s="12">
        <v>24.018593500000001</v>
      </c>
      <c r="AD100" s="12">
        <v>37.345361799999999</v>
      </c>
      <c r="AE100" s="12">
        <v>42.520212200000003</v>
      </c>
      <c r="AF100" s="12">
        <v>9.6712935000000009</v>
      </c>
      <c r="AG100" s="12">
        <v>48.546425999999997</v>
      </c>
    </row>
    <row r="101" spans="1:33" hidden="1" outlineLevel="1" x14ac:dyDescent="0.3">
      <c r="A101" t="s">
        <v>108</v>
      </c>
      <c r="B101" s="12">
        <v>5.7284746999999996</v>
      </c>
      <c r="C101" s="12">
        <v>114.2266667</v>
      </c>
      <c r="D101" s="12">
        <v>6.5447875</v>
      </c>
      <c r="E101" s="17">
        <v>0</v>
      </c>
      <c r="F101" s="12">
        <v>100.2966667</v>
      </c>
      <c r="G101" s="12">
        <v>21.447143700000002</v>
      </c>
      <c r="H101" s="12">
        <v>23.661960000000001</v>
      </c>
      <c r="I101" s="12">
        <v>-9.0056001999999999</v>
      </c>
      <c r="J101" s="12">
        <v>4.5909072000000002</v>
      </c>
      <c r="K101" s="12">
        <v>7.0126495000000002</v>
      </c>
      <c r="L101" s="12">
        <v>4.0600791000000003</v>
      </c>
      <c r="M101" s="12">
        <v>-9.4817251999999996</v>
      </c>
      <c r="N101" s="12">
        <v>5.7921569000000002</v>
      </c>
      <c r="O101" s="12">
        <v>2.6682109000000001</v>
      </c>
      <c r="P101" s="7">
        <v>7743.7</v>
      </c>
      <c r="Q101" s="7">
        <v>494.2</v>
      </c>
      <c r="R101" s="7">
        <v>6</v>
      </c>
      <c r="S101" s="12">
        <v>9.8627532999999996</v>
      </c>
      <c r="T101" s="12">
        <v>2.5</v>
      </c>
      <c r="U101" s="12">
        <v>122.05</v>
      </c>
      <c r="V101" s="12">
        <v>4.9464667000000002</v>
      </c>
      <c r="W101" s="12">
        <v>-0.30220609999999998</v>
      </c>
      <c r="X101" s="12">
        <v>25.264105199999999</v>
      </c>
      <c r="Y101" s="12">
        <v>27.2792438</v>
      </c>
      <c r="Z101" s="12">
        <v>-9.7445532999999998</v>
      </c>
      <c r="AA101" s="12">
        <v>66.705993399999997</v>
      </c>
      <c r="AB101" s="12">
        <v>18.136142299999999</v>
      </c>
      <c r="AC101" s="12">
        <v>23.310940800000001</v>
      </c>
      <c r="AD101" s="12">
        <v>51.755538799999997</v>
      </c>
      <c r="AE101" s="12">
        <v>59.908615300000001</v>
      </c>
      <c r="AF101" s="12">
        <v>9.6481007999999999</v>
      </c>
      <c r="AG101" s="12">
        <v>42.1211932</v>
      </c>
    </row>
    <row r="102" spans="1:33" hidden="1" outlineLevel="1" x14ac:dyDescent="0.3">
      <c r="A102" t="s">
        <v>109</v>
      </c>
      <c r="B102" s="12">
        <v>4.2015890999999996</v>
      </c>
      <c r="C102" s="12">
        <v>118.4333333</v>
      </c>
      <c r="D102" s="12">
        <v>8.8341604</v>
      </c>
      <c r="E102" s="17">
        <v>0</v>
      </c>
      <c r="F102" s="12">
        <v>113.5433333</v>
      </c>
      <c r="G102" s="12">
        <v>11.0846777</v>
      </c>
      <c r="H102" s="12">
        <v>23.632302200000002</v>
      </c>
      <c r="I102" s="12">
        <v>-2.2901299000000002</v>
      </c>
      <c r="J102" s="12">
        <v>4.5249312000000002</v>
      </c>
      <c r="K102" s="12">
        <v>8.4112798000000009</v>
      </c>
      <c r="L102" s="12">
        <v>0.84723230000000005</v>
      </c>
      <c r="M102" s="12">
        <v>-6.0510969000000001</v>
      </c>
      <c r="N102" s="12">
        <v>9.6315994000000007</v>
      </c>
      <c r="O102" s="12">
        <v>5.9644012000000002</v>
      </c>
      <c r="P102" s="7">
        <v>7887.2</v>
      </c>
      <c r="Q102" s="7">
        <v>439.7</v>
      </c>
      <c r="R102" s="7">
        <v>5.3</v>
      </c>
      <c r="S102" s="12">
        <v>11.2050006</v>
      </c>
      <c r="T102" s="12">
        <v>3.75</v>
      </c>
      <c r="U102" s="12">
        <v>128.3666667</v>
      </c>
      <c r="V102" s="12">
        <v>4.9448667000000004</v>
      </c>
      <c r="W102" s="12">
        <v>-1.5657934</v>
      </c>
      <c r="X102" s="12">
        <v>26.4604252</v>
      </c>
      <c r="Y102" s="12">
        <v>28.0304149</v>
      </c>
      <c r="Z102" s="12">
        <v>-10.561868</v>
      </c>
      <c r="AA102" s="12">
        <v>61.664748600000003</v>
      </c>
      <c r="AB102" s="12">
        <v>16.9020112</v>
      </c>
      <c r="AC102" s="12">
        <v>28.039701900000001</v>
      </c>
      <c r="AD102" s="12">
        <v>45.213958699999999</v>
      </c>
      <c r="AE102" s="12">
        <v>51.820420400000003</v>
      </c>
      <c r="AF102" s="12">
        <v>8.8780567000000001</v>
      </c>
      <c r="AG102" s="12">
        <v>44.095666000000001</v>
      </c>
    </row>
    <row r="103" spans="1:33" hidden="1" outlineLevel="1" x14ac:dyDescent="0.3">
      <c r="A103" t="s">
        <v>110</v>
      </c>
      <c r="B103" s="12">
        <v>2.5907767000000002</v>
      </c>
      <c r="C103" s="12">
        <v>120.83</v>
      </c>
      <c r="D103" s="12">
        <v>10.289956500000001</v>
      </c>
      <c r="E103" s="17">
        <v>0.75</v>
      </c>
      <c r="F103" s="12">
        <v>100.7133333</v>
      </c>
      <c r="G103" s="12">
        <v>25.564279599999999</v>
      </c>
      <c r="H103" s="12">
        <v>19.823878700000002</v>
      </c>
      <c r="I103" s="12">
        <v>-5.3494321999999999</v>
      </c>
      <c r="J103" s="12">
        <v>3.9337637999999999</v>
      </c>
      <c r="K103" s="12">
        <v>4.1536866999999997</v>
      </c>
      <c r="L103" s="12">
        <v>1.5588812000000001</v>
      </c>
      <c r="M103" s="12">
        <v>15.984355900000001</v>
      </c>
      <c r="N103" s="12">
        <v>14.3179397</v>
      </c>
      <c r="O103" s="12">
        <v>21.6155477</v>
      </c>
      <c r="P103" s="7">
        <v>7816.1</v>
      </c>
      <c r="Q103" s="7">
        <v>445.5</v>
      </c>
      <c r="R103" s="7">
        <v>5.4</v>
      </c>
      <c r="S103" s="12">
        <v>11.6860465</v>
      </c>
      <c r="T103" s="12">
        <v>5.5</v>
      </c>
      <c r="U103" s="12">
        <v>130.93333329999999</v>
      </c>
      <c r="V103" s="12">
        <v>4.9145333000000004</v>
      </c>
      <c r="W103" s="12">
        <v>-0.9375</v>
      </c>
      <c r="X103" s="12">
        <v>33.015512299999997</v>
      </c>
      <c r="Y103" s="12">
        <v>35.245316500000001</v>
      </c>
      <c r="Z103" s="12">
        <v>-11.0681455</v>
      </c>
      <c r="AA103" s="12">
        <v>59.462720699999998</v>
      </c>
      <c r="AB103" s="12">
        <v>14.5675358</v>
      </c>
      <c r="AC103" s="12">
        <v>33.6497794</v>
      </c>
      <c r="AD103" s="12">
        <v>40.582944599999998</v>
      </c>
      <c r="AE103" s="12">
        <v>48.262980499999998</v>
      </c>
      <c r="AF103" s="12">
        <v>6.5047271000000002</v>
      </c>
      <c r="AG103" s="12">
        <v>45.928386600000003</v>
      </c>
    </row>
    <row r="104" spans="1:33" hidden="1" outlineLevel="1" x14ac:dyDescent="0.3">
      <c r="A104" t="s">
        <v>111</v>
      </c>
      <c r="B104" s="12">
        <v>1.4006327999999999</v>
      </c>
      <c r="C104" s="12">
        <v>123.8</v>
      </c>
      <c r="D104" s="12">
        <v>10.9982068</v>
      </c>
      <c r="E104" s="17">
        <v>1.9166666999999999</v>
      </c>
      <c r="F104" s="12">
        <v>88.556666699999994</v>
      </c>
      <c r="G104" s="12">
        <v>16.758351900000001</v>
      </c>
      <c r="H104" s="12">
        <v>20.1986144</v>
      </c>
      <c r="I104" s="12">
        <v>-8.4666838000000002</v>
      </c>
      <c r="J104" s="12">
        <v>5.2500821000000002</v>
      </c>
      <c r="K104" s="12">
        <v>8.4072805000000006</v>
      </c>
      <c r="L104" s="12">
        <v>5.5026481</v>
      </c>
      <c r="M104" s="12">
        <v>-0.73953420000000003</v>
      </c>
      <c r="N104" s="12">
        <v>8.4659093999999993</v>
      </c>
      <c r="O104" s="12">
        <v>9.2837940999999997</v>
      </c>
      <c r="P104" s="7">
        <v>7778.8</v>
      </c>
      <c r="Q104" s="7">
        <v>478.1</v>
      </c>
      <c r="R104" s="7">
        <v>5.8</v>
      </c>
      <c r="S104" s="12">
        <v>12.2090446</v>
      </c>
      <c r="T104" s="12">
        <v>6.25</v>
      </c>
      <c r="U104" s="12">
        <v>134.88666670000001</v>
      </c>
      <c r="V104" s="12">
        <v>4.9208333</v>
      </c>
      <c r="W104" s="12">
        <v>-4.4153472000000002</v>
      </c>
      <c r="X104" s="12">
        <v>17.888392799999998</v>
      </c>
      <c r="Y104" s="12">
        <v>18.550914599999999</v>
      </c>
      <c r="Z104" s="12">
        <v>-5.7458150999999997</v>
      </c>
      <c r="AA104" s="12">
        <v>66.139651099999995</v>
      </c>
      <c r="AB104" s="12">
        <v>17.795856499999999</v>
      </c>
      <c r="AC104" s="12">
        <v>21.571038399999999</v>
      </c>
      <c r="AD104" s="12">
        <v>37.759683199999998</v>
      </c>
      <c r="AE104" s="12">
        <v>43.266229199999998</v>
      </c>
      <c r="AF104" s="12">
        <v>4.3336855999999999</v>
      </c>
      <c r="AG104" s="12">
        <v>47.2096752</v>
      </c>
    </row>
    <row r="105" spans="1:33" collapsed="1" x14ac:dyDescent="0.3">
      <c r="A105" t="s">
        <v>112</v>
      </c>
      <c r="B105" s="12">
        <v>1.3448477999999999</v>
      </c>
      <c r="C105" s="12">
        <v>124.9666667</v>
      </c>
      <c r="D105" s="12">
        <v>9.4023579000000002</v>
      </c>
      <c r="E105" s="17">
        <v>3</v>
      </c>
      <c r="F105" s="12">
        <v>81.173333299999996</v>
      </c>
      <c r="G105" s="12">
        <v>9.2865047000000001</v>
      </c>
      <c r="H105" s="12">
        <v>9.4194595999999997</v>
      </c>
      <c r="I105" s="12">
        <v>-8.3013375000000007</v>
      </c>
      <c r="J105" s="12">
        <v>0.95407419999999998</v>
      </c>
      <c r="K105" s="12">
        <v>1.1399672000000001</v>
      </c>
      <c r="L105" s="12">
        <v>5.2264527999999997</v>
      </c>
      <c r="M105" s="12">
        <v>0.2684356</v>
      </c>
      <c r="N105" s="12">
        <v>1.8322813</v>
      </c>
      <c r="O105" s="12">
        <v>2.2892773000000002</v>
      </c>
      <c r="P105" s="7">
        <v>7675.4</v>
      </c>
      <c r="Q105" s="7">
        <v>471.8</v>
      </c>
      <c r="R105" s="7">
        <v>5.8</v>
      </c>
      <c r="S105" s="12">
        <v>13.384889899999999</v>
      </c>
      <c r="T105" s="12">
        <v>7</v>
      </c>
      <c r="U105" s="12">
        <v>137.8966667</v>
      </c>
      <c r="V105" s="12">
        <v>4.9197332999999999</v>
      </c>
      <c r="W105" s="12">
        <v>-3.7890269999999999</v>
      </c>
      <c r="X105" s="12">
        <v>13.201704400000001</v>
      </c>
      <c r="Y105" s="12">
        <v>6.8930708999999997</v>
      </c>
      <c r="Z105" s="12">
        <v>-6.0026976000000003</v>
      </c>
      <c r="AA105" s="12">
        <v>67.144979599999999</v>
      </c>
      <c r="AB105" s="12">
        <v>18.362704799999999</v>
      </c>
      <c r="AC105" s="12">
        <v>18.6806698</v>
      </c>
      <c r="AD105" s="12">
        <v>49.394849499999999</v>
      </c>
      <c r="AE105" s="12">
        <v>53.5832038</v>
      </c>
      <c r="AF105" s="12">
        <v>2.0983768</v>
      </c>
      <c r="AG105" s="12">
        <v>45.320145799999999</v>
      </c>
    </row>
    <row r="106" spans="1:33" x14ac:dyDescent="0.3">
      <c r="A106" t="s">
        <v>113</v>
      </c>
      <c r="B106" s="12">
        <v>0.20197219999999999</v>
      </c>
      <c r="C106" s="12">
        <v>126.9766667</v>
      </c>
      <c r="D106" s="12">
        <v>7.2136222999999999</v>
      </c>
      <c r="E106" s="17">
        <v>3.75</v>
      </c>
      <c r="F106" s="12">
        <v>78.316666699999999</v>
      </c>
      <c r="G106" s="12">
        <v>23.701323599999998</v>
      </c>
      <c r="H106" s="12">
        <v>16.482113099999999</v>
      </c>
      <c r="I106" s="12">
        <v>-4.7970727999999996</v>
      </c>
      <c r="J106" s="12">
        <v>2.6765395999999999</v>
      </c>
      <c r="K106" s="12">
        <v>5.3239302000000004</v>
      </c>
      <c r="L106" s="12">
        <v>1.8418161</v>
      </c>
      <c r="M106" s="12">
        <v>-2.4822015999999998</v>
      </c>
      <c r="N106" s="12">
        <v>0.6209344</v>
      </c>
      <c r="O106" s="12">
        <v>0.86496010000000001</v>
      </c>
      <c r="P106" s="7">
        <v>7689.9</v>
      </c>
      <c r="Q106" s="7">
        <v>437.4</v>
      </c>
      <c r="R106" s="7">
        <v>5.4</v>
      </c>
      <c r="S106" s="12">
        <v>14.000208199999999</v>
      </c>
      <c r="T106" s="12">
        <v>7</v>
      </c>
      <c r="U106" s="12">
        <v>140.8833333</v>
      </c>
      <c r="V106" s="12">
        <v>4.9480667</v>
      </c>
      <c r="W106" s="12">
        <v>-5.8121749999999999</v>
      </c>
      <c r="X106" s="12">
        <v>4.7818849999999999</v>
      </c>
      <c r="Y106" s="12">
        <v>0.67754859999999995</v>
      </c>
      <c r="Z106" s="12">
        <v>-6.6125651999999997</v>
      </c>
      <c r="AA106" s="12">
        <v>61.667451399999997</v>
      </c>
      <c r="AB106" s="12">
        <v>17.524042399999999</v>
      </c>
      <c r="AC106" s="12">
        <v>24.9891042</v>
      </c>
      <c r="AD106" s="12">
        <v>41.6433374</v>
      </c>
      <c r="AE106" s="12">
        <v>45.823935400000003</v>
      </c>
      <c r="AF106" s="12">
        <v>6.9685499999999997E-2</v>
      </c>
      <c r="AG106" s="12">
        <v>45.932215499999998</v>
      </c>
    </row>
    <row r="107" spans="1:33" x14ac:dyDescent="0.3">
      <c r="A107" t="s">
        <v>114</v>
      </c>
      <c r="B107" s="12">
        <v>-0.19771859999999999</v>
      </c>
      <c r="C107" s="12">
        <v>127.6866667</v>
      </c>
      <c r="D107" s="12">
        <v>5.6746392999999999</v>
      </c>
      <c r="E107" s="17">
        <v>4.25</v>
      </c>
      <c r="F107" s="12">
        <v>86.66</v>
      </c>
      <c r="G107" s="12">
        <v>9.7442034999999994</v>
      </c>
      <c r="H107" s="12">
        <v>13.8245234</v>
      </c>
      <c r="I107" s="12">
        <v>-4.1251888000000001</v>
      </c>
      <c r="J107" s="12">
        <v>2.8196968999999998</v>
      </c>
      <c r="K107" s="12">
        <v>1.8240527</v>
      </c>
      <c r="L107" s="12">
        <v>6.2562933000000003</v>
      </c>
      <c r="M107" s="12">
        <v>-7.8699405000000002</v>
      </c>
      <c r="N107" s="12">
        <v>-2.5177426999999999</v>
      </c>
      <c r="O107" s="12">
        <v>-8.3685721999999991</v>
      </c>
      <c r="P107" s="7">
        <v>7732.4</v>
      </c>
      <c r="Q107" s="7">
        <v>437.6</v>
      </c>
      <c r="R107" s="7">
        <v>5.4</v>
      </c>
      <c r="S107" s="12">
        <v>14.133263899999999</v>
      </c>
      <c r="T107" s="12">
        <v>7</v>
      </c>
      <c r="U107" s="12">
        <v>142.88666670000001</v>
      </c>
      <c r="V107" s="12">
        <v>4.9492666999999999</v>
      </c>
      <c r="W107" s="12">
        <v>-5.5835961999999997</v>
      </c>
      <c r="X107" s="12">
        <v>-2.9331475999999999</v>
      </c>
      <c r="Y107" s="12">
        <v>-7.0130797999999999</v>
      </c>
      <c r="Z107" s="12">
        <v>-7.5765720999999999</v>
      </c>
      <c r="AA107" s="12">
        <v>58.593139499999999</v>
      </c>
      <c r="AB107" s="12">
        <v>15.3928916</v>
      </c>
      <c r="AC107" s="12">
        <v>30.575452299999998</v>
      </c>
      <c r="AD107" s="12">
        <v>35.746525200000001</v>
      </c>
      <c r="AE107" s="12">
        <v>40.308008600000001</v>
      </c>
      <c r="AF107" s="12">
        <v>1.2968E-2</v>
      </c>
      <c r="AG107" s="12">
        <v>48.107651300000001</v>
      </c>
    </row>
    <row r="108" spans="1:33" x14ac:dyDescent="0.3">
      <c r="A108" t="s">
        <v>115</v>
      </c>
      <c r="B108" s="7" t="s">
        <v>107</v>
      </c>
      <c r="C108" s="12">
        <v>127.9933333</v>
      </c>
      <c r="D108" s="12">
        <v>3.3871836000000002</v>
      </c>
      <c r="E108" s="17">
        <v>4.5</v>
      </c>
      <c r="F108" s="12">
        <v>83.723333299999993</v>
      </c>
      <c r="G108" s="7" t="s">
        <v>107</v>
      </c>
      <c r="H108" s="7" t="s">
        <v>107</v>
      </c>
      <c r="I108" s="7" t="s">
        <v>107</v>
      </c>
      <c r="J108" s="7" t="s">
        <v>107</v>
      </c>
      <c r="K108" s="7" t="s">
        <v>107</v>
      </c>
      <c r="L108" s="7" t="s">
        <v>107</v>
      </c>
      <c r="M108" s="7" t="s">
        <v>107</v>
      </c>
      <c r="N108" s="7" t="s">
        <v>107</v>
      </c>
      <c r="O108" s="7" t="s">
        <v>107</v>
      </c>
      <c r="P108" s="7" t="s">
        <v>107</v>
      </c>
      <c r="Q108" s="7" t="s">
        <v>107</v>
      </c>
      <c r="R108" s="7" t="s">
        <v>107</v>
      </c>
      <c r="S108" s="7" t="s">
        <v>107</v>
      </c>
      <c r="T108" s="12">
        <v>7</v>
      </c>
      <c r="U108" s="12">
        <v>144.88</v>
      </c>
      <c r="V108" s="12">
        <v>4.9697332999999997</v>
      </c>
      <c r="W108" s="7" t="s">
        <v>107</v>
      </c>
      <c r="X108" s="7" t="s">
        <v>107</v>
      </c>
      <c r="Y108" s="7" t="s">
        <v>107</v>
      </c>
      <c r="Z108" s="7" t="s">
        <v>107</v>
      </c>
      <c r="AA108" s="7" t="s">
        <v>107</v>
      </c>
      <c r="AB108" s="7" t="s">
        <v>107</v>
      </c>
      <c r="AC108" s="7" t="s">
        <v>107</v>
      </c>
      <c r="AD108" s="7" t="s">
        <v>107</v>
      </c>
      <c r="AE108" s="7" t="s">
        <v>107</v>
      </c>
      <c r="AF108" s="7" t="s">
        <v>107</v>
      </c>
      <c r="AG108" s="7" t="s">
        <v>107</v>
      </c>
    </row>
  </sheetData>
  <pageMargins left="0.7" right="0.7" top="0.75" bottom="0.75" header="0.3" footer="0.3"/>
  <pageSetup paperSize="9" orientation="portrait" horizontalDpi="90" verticalDpi="9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95845-CE83-44BE-92BD-6439DA441CCD}">
  <sheetPr codeName="Tabelle15">
    <tabColor rgb="FFFFC000"/>
  </sheetPr>
  <dimension ref="A1:AH108"/>
  <sheetViews>
    <sheetView workbookViewId="0">
      <pane xSplit="1" ySplit="12" topLeftCell="Z13" activePane="bottomRight" state="frozen"/>
      <selection activeCell="E12" sqref="E12"/>
      <selection pane="topRight" activeCell="E12" sqref="E12"/>
      <selection pane="bottomLeft" activeCell="E12" sqref="E12"/>
      <selection pane="bottomRight" activeCell="AG1" sqref="AG1"/>
    </sheetView>
  </sheetViews>
  <sheetFormatPr defaultColWidth="9.109375" defaultRowHeight="14.4" outlineLevelRow="1" x14ac:dyDescent="0.3"/>
  <cols>
    <col min="2" max="2" width="11.5546875" bestFit="1" customWidth="1"/>
    <col min="4" max="4" width="12.44140625" customWidth="1"/>
    <col min="7" max="7" width="12.44140625" bestFit="1" customWidth="1"/>
    <col min="8" max="8" width="12" customWidth="1"/>
    <col min="18" max="18" width="11.109375" bestFit="1" customWidth="1"/>
    <col min="19" max="19" width="12.44140625" bestFit="1" customWidth="1"/>
    <col min="24" max="24" width="12.5546875" bestFit="1" customWidth="1"/>
    <col min="25" max="25" width="12.6640625" bestFit="1" customWidth="1"/>
    <col min="27" max="27" width="13.6640625" customWidth="1"/>
  </cols>
  <sheetData>
    <row r="1" spans="1:34" s="8" customFormat="1" x14ac:dyDescent="0.3">
      <c r="A1" s="8" t="s">
        <v>0</v>
      </c>
      <c r="B1" s="8" t="s">
        <v>1</v>
      </c>
      <c r="C1" s="8" t="s">
        <v>2</v>
      </c>
      <c r="D1" s="8" t="s">
        <v>3</v>
      </c>
      <c r="E1" s="14" t="s">
        <v>4</v>
      </c>
      <c r="F1" s="8" t="s">
        <v>5</v>
      </c>
      <c r="G1" s="8" t="s">
        <v>6</v>
      </c>
      <c r="H1" s="8" t="s">
        <v>254</v>
      </c>
      <c r="I1" s="8" t="s">
        <v>7</v>
      </c>
      <c r="J1" s="8" t="s">
        <v>230</v>
      </c>
      <c r="K1" s="8" t="s">
        <v>231</v>
      </c>
      <c r="L1" s="8" t="s">
        <v>232</v>
      </c>
      <c r="M1" s="8" t="s">
        <v>233</v>
      </c>
      <c r="N1" s="8" t="s">
        <v>234</v>
      </c>
      <c r="O1" s="8" t="s">
        <v>235</v>
      </c>
      <c r="P1" s="8" t="s">
        <v>8</v>
      </c>
      <c r="Q1" s="8" t="s">
        <v>9</v>
      </c>
      <c r="R1" s="8" t="s">
        <v>10</v>
      </c>
      <c r="S1" s="8" t="s">
        <v>11</v>
      </c>
      <c r="T1" s="14" t="s">
        <v>12</v>
      </c>
      <c r="U1" s="8" t="s">
        <v>13</v>
      </c>
      <c r="V1" s="8" t="s">
        <v>14</v>
      </c>
      <c r="W1" s="8" t="s">
        <v>15</v>
      </c>
      <c r="X1" s="8" t="s">
        <v>16</v>
      </c>
      <c r="Y1" s="8" t="s">
        <v>17</v>
      </c>
      <c r="Z1" s="8" t="s">
        <v>18</v>
      </c>
      <c r="AA1" s="9" t="s">
        <v>248</v>
      </c>
      <c r="AB1" s="8" t="s">
        <v>236</v>
      </c>
      <c r="AC1" s="8" t="s">
        <v>237</v>
      </c>
      <c r="AD1" s="8" t="s">
        <v>238</v>
      </c>
      <c r="AE1" s="8" t="s">
        <v>239</v>
      </c>
      <c r="AF1" s="14" t="s">
        <v>255</v>
      </c>
      <c r="AG1" s="14" t="s">
        <v>1317</v>
      </c>
      <c r="AH1" s="9"/>
    </row>
    <row r="2" spans="1:34" s="10" customFormat="1" outlineLevel="1" x14ac:dyDescent="0.3">
      <c r="A2" s="16" t="s">
        <v>1292</v>
      </c>
      <c r="B2" s="26"/>
      <c r="C2" s="26"/>
      <c r="D2" s="26" t="s">
        <v>198</v>
      </c>
      <c r="E2" s="26"/>
      <c r="F2" s="26"/>
      <c r="G2" s="26" t="s">
        <v>288</v>
      </c>
      <c r="H2" s="26" t="s">
        <v>303</v>
      </c>
      <c r="I2" s="26"/>
      <c r="J2" s="26" t="s">
        <v>259</v>
      </c>
      <c r="K2" s="26" t="s">
        <v>261</v>
      </c>
      <c r="L2" s="26" t="s">
        <v>263</v>
      </c>
      <c r="M2" s="26" t="s">
        <v>265</v>
      </c>
      <c r="N2" s="26" t="s">
        <v>267</v>
      </c>
      <c r="O2" s="26" t="s">
        <v>269</v>
      </c>
      <c r="P2" s="26"/>
      <c r="Q2" s="26"/>
      <c r="R2" s="26"/>
      <c r="S2" s="26" t="s">
        <v>295</v>
      </c>
      <c r="T2" s="26"/>
      <c r="U2" s="26"/>
      <c r="V2" s="26"/>
      <c r="W2" s="26" t="s">
        <v>285</v>
      </c>
      <c r="X2" s="26" t="s">
        <v>298</v>
      </c>
      <c r="Y2" s="26" t="s">
        <v>300</v>
      </c>
      <c r="Z2" s="26"/>
      <c r="AA2" s="26" t="s">
        <v>271</v>
      </c>
      <c r="AB2" s="26"/>
      <c r="AC2" s="26"/>
      <c r="AD2" s="26"/>
      <c r="AE2" s="26"/>
      <c r="AF2" s="26" t="s">
        <v>888</v>
      </c>
      <c r="AG2" s="26"/>
    </row>
    <row r="3" spans="1:34" outlineLevel="1" x14ac:dyDescent="0.3">
      <c r="A3" s="16" t="s">
        <v>1293</v>
      </c>
      <c r="B3" s="27" t="s">
        <v>123</v>
      </c>
      <c r="C3" s="27" t="s">
        <v>195</v>
      </c>
      <c r="D3" s="27" t="s">
        <v>195</v>
      </c>
      <c r="E3" s="27" t="s">
        <v>186</v>
      </c>
      <c r="F3" s="27" t="s">
        <v>125</v>
      </c>
      <c r="G3" s="27" t="s">
        <v>277</v>
      </c>
      <c r="H3" s="27" t="s">
        <v>277</v>
      </c>
      <c r="I3" s="27" t="s">
        <v>277</v>
      </c>
      <c r="J3" s="27" t="s">
        <v>123</v>
      </c>
      <c r="K3" s="27" t="s">
        <v>125</v>
      </c>
      <c r="L3" s="27" t="s">
        <v>125</v>
      </c>
      <c r="M3" s="27" t="s">
        <v>125</v>
      </c>
      <c r="N3" s="27" t="s">
        <v>125</v>
      </c>
      <c r="O3" s="27" t="s">
        <v>125</v>
      </c>
      <c r="P3" s="27" t="s">
        <v>1284</v>
      </c>
      <c r="Q3" s="27" t="s">
        <v>1284</v>
      </c>
      <c r="R3" s="27" t="s">
        <v>1284</v>
      </c>
      <c r="S3" s="27" t="s">
        <v>125</v>
      </c>
      <c r="T3" s="27" t="s">
        <v>397</v>
      </c>
      <c r="U3" s="27" t="s">
        <v>195</v>
      </c>
      <c r="V3" s="27" t="s">
        <v>284</v>
      </c>
      <c r="W3" s="27" t="s">
        <v>125</v>
      </c>
      <c r="X3" s="27" t="s">
        <v>207</v>
      </c>
      <c r="Y3" s="27" t="s">
        <v>207</v>
      </c>
      <c r="Z3" s="27" t="s">
        <v>203</v>
      </c>
      <c r="AA3" s="27" t="s">
        <v>125</v>
      </c>
      <c r="AB3" s="27" t="s">
        <v>125</v>
      </c>
      <c r="AC3" s="27" t="s">
        <v>125</v>
      </c>
      <c r="AD3" s="27" t="s">
        <v>125</v>
      </c>
      <c r="AE3" s="27" t="s">
        <v>125</v>
      </c>
      <c r="AF3" s="27" t="s">
        <v>436</v>
      </c>
      <c r="AG3" s="27" t="s">
        <v>125</v>
      </c>
    </row>
    <row r="4" spans="1:34" outlineLevel="1" x14ac:dyDescent="0.3">
      <c r="A4" s="16" t="s">
        <v>1288</v>
      </c>
      <c r="B4" s="2">
        <v>144396</v>
      </c>
      <c r="C4" s="2">
        <v>77811</v>
      </c>
      <c r="D4" s="2">
        <v>77812</v>
      </c>
      <c r="E4" s="2">
        <v>144399</v>
      </c>
      <c r="F4" s="27">
        <v>101874</v>
      </c>
      <c r="G4" s="2">
        <v>32788</v>
      </c>
      <c r="H4" s="2">
        <v>32787</v>
      </c>
      <c r="I4" s="2">
        <v>89163</v>
      </c>
      <c r="J4" s="2">
        <v>88632</v>
      </c>
      <c r="K4" s="27">
        <v>90866</v>
      </c>
      <c r="L4" s="27">
        <v>90910</v>
      </c>
      <c r="M4" s="27">
        <v>90932</v>
      </c>
      <c r="N4" s="27">
        <v>90976</v>
      </c>
      <c r="O4" s="27">
        <v>90998</v>
      </c>
      <c r="P4" s="2">
        <v>32644</v>
      </c>
      <c r="Q4" s="2">
        <v>32667</v>
      </c>
      <c r="R4" s="2">
        <v>32690</v>
      </c>
      <c r="S4" s="27">
        <v>51745</v>
      </c>
      <c r="T4" s="2">
        <v>782</v>
      </c>
      <c r="U4" s="2">
        <v>571</v>
      </c>
      <c r="V4" s="2">
        <v>961</v>
      </c>
      <c r="W4" s="27">
        <v>32207</v>
      </c>
      <c r="X4" s="2">
        <v>87256</v>
      </c>
      <c r="Y4" s="2">
        <v>87293</v>
      </c>
      <c r="Z4" s="2">
        <v>88726</v>
      </c>
      <c r="AA4" s="27">
        <v>90338</v>
      </c>
      <c r="AB4" s="27">
        <v>90382</v>
      </c>
      <c r="AC4" s="27">
        <v>90404</v>
      </c>
      <c r="AD4" s="27">
        <v>90492</v>
      </c>
      <c r="AE4" s="27">
        <v>90514</v>
      </c>
      <c r="AF4" s="2">
        <v>89612</v>
      </c>
      <c r="AG4" s="27">
        <v>144763</v>
      </c>
    </row>
    <row r="5" spans="1:34" outlineLevel="1" x14ac:dyDescent="0.3">
      <c r="A5" t="s">
        <v>1291</v>
      </c>
      <c r="B5" s="27" t="s">
        <v>221</v>
      </c>
      <c r="C5" s="27" t="s">
        <v>194</v>
      </c>
      <c r="D5" s="27" t="s">
        <v>199</v>
      </c>
      <c r="E5" s="27" t="s">
        <v>253</v>
      </c>
      <c r="F5" s="27" t="s">
        <v>189</v>
      </c>
      <c r="G5" s="27" t="s">
        <v>289</v>
      </c>
      <c r="H5" s="27" t="s">
        <v>292</v>
      </c>
      <c r="I5" s="27" t="s">
        <v>276</v>
      </c>
      <c r="J5" s="27" t="s">
        <v>260</v>
      </c>
      <c r="K5" s="27" t="s">
        <v>262</v>
      </c>
      <c r="L5" s="27" t="s">
        <v>264</v>
      </c>
      <c r="M5" s="27" t="s">
        <v>266</v>
      </c>
      <c r="N5" s="27" t="s">
        <v>268</v>
      </c>
      <c r="O5" s="27" t="s">
        <v>270</v>
      </c>
      <c r="P5" s="27" t="s">
        <v>280</v>
      </c>
      <c r="Q5" s="27" t="s">
        <v>281</v>
      </c>
      <c r="R5" s="27" t="s">
        <v>282</v>
      </c>
      <c r="S5" s="27" t="s">
        <v>296</v>
      </c>
      <c r="T5" s="27" t="s">
        <v>1304</v>
      </c>
      <c r="U5" s="27" t="s">
        <v>297</v>
      </c>
      <c r="V5" s="27" t="s">
        <v>283</v>
      </c>
      <c r="W5" s="27" t="s">
        <v>286</v>
      </c>
      <c r="X5" s="27" t="s">
        <v>299</v>
      </c>
      <c r="Y5" s="27" t="s">
        <v>301</v>
      </c>
      <c r="Z5" s="27" t="s">
        <v>287</v>
      </c>
      <c r="AA5" s="27" t="s">
        <v>256</v>
      </c>
      <c r="AB5" s="27" t="s">
        <v>272</v>
      </c>
      <c r="AC5" s="27" t="s">
        <v>273</v>
      </c>
      <c r="AD5" s="27" t="s">
        <v>274</v>
      </c>
      <c r="AE5" s="27" t="s">
        <v>275</v>
      </c>
      <c r="AF5" s="27" t="s">
        <v>889</v>
      </c>
      <c r="AG5" s="27" t="s">
        <v>875</v>
      </c>
    </row>
    <row r="6" spans="1:34" outlineLevel="1" x14ac:dyDescent="0.3">
      <c r="A6" t="s">
        <v>1289</v>
      </c>
      <c r="B6" s="27" t="s">
        <v>222</v>
      </c>
      <c r="C6" s="27" t="s">
        <v>196</v>
      </c>
      <c r="D6" s="27" t="s">
        <v>196</v>
      </c>
      <c r="E6" s="27" t="s">
        <v>187</v>
      </c>
      <c r="F6" s="27" t="s">
        <v>190</v>
      </c>
      <c r="G6" s="27" t="s">
        <v>257</v>
      </c>
      <c r="H6" s="27" t="s">
        <v>257</v>
      </c>
      <c r="I6" s="27" t="s">
        <v>257</v>
      </c>
      <c r="J6" s="27" t="s">
        <v>257</v>
      </c>
      <c r="K6" s="27" t="s">
        <v>257</v>
      </c>
      <c r="L6" s="27" t="s">
        <v>257</v>
      </c>
      <c r="M6" s="27" t="s">
        <v>257</v>
      </c>
      <c r="N6" s="27" t="s">
        <v>257</v>
      </c>
      <c r="O6" s="27" t="s">
        <v>257</v>
      </c>
      <c r="P6" s="27" t="s">
        <v>257</v>
      </c>
      <c r="Q6" s="27" t="s">
        <v>257</v>
      </c>
      <c r="R6" s="27" t="s">
        <v>257</v>
      </c>
      <c r="S6" s="27" t="s">
        <v>257</v>
      </c>
      <c r="T6" s="27" t="s">
        <v>257</v>
      </c>
      <c r="U6" s="27" t="s">
        <v>257</v>
      </c>
      <c r="V6" s="27" t="s">
        <v>257</v>
      </c>
      <c r="W6" s="27" t="s">
        <v>257</v>
      </c>
      <c r="X6" s="27" t="s">
        <v>257</v>
      </c>
      <c r="Y6" s="27" t="s">
        <v>257</v>
      </c>
      <c r="Z6" s="27" t="s">
        <v>257</v>
      </c>
      <c r="AA6" s="27" t="s">
        <v>257</v>
      </c>
      <c r="AB6" s="27" t="s">
        <v>257</v>
      </c>
      <c r="AC6" s="27" t="s">
        <v>257</v>
      </c>
      <c r="AD6" s="27" t="s">
        <v>257</v>
      </c>
      <c r="AE6" s="27" t="s">
        <v>257</v>
      </c>
      <c r="AF6" s="27" t="s">
        <v>257</v>
      </c>
      <c r="AG6" s="27" t="s">
        <v>257</v>
      </c>
    </row>
    <row r="7" spans="1:34" outlineLevel="1" x14ac:dyDescent="0.3">
      <c r="A7" t="s">
        <v>1290</v>
      </c>
      <c r="B7" s="27" t="s">
        <v>223</v>
      </c>
      <c r="C7" s="27" t="s">
        <v>197</v>
      </c>
      <c r="D7" s="27" t="s">
        <v>197</v>
      </c>
      <c r="E7" s="27" t="s">
        <v>188</v>
      </c>
      <c r="F7" s="27" t="s">
        <v>191</v>
      </c>
      <c r="G7" s="27" t="s">
        <v>258</v>
      </c>
      <c r="H7" s="27" t="s">
        <v>258</v>
      </c>
      <c r="I7" s="27" t="s">
        <v>258</v>
      </c>
      <c r="J7" s="27" t="s">
        <v>258</v>
      </c>
      <c r="K7" s="27" t="s">
        <v>258</v>
      </c>
      <c r="L7" s="27" t="s">
        <v>258</v>
      </c>
      <c r="M7" s="27" t="s">
        <v>258</v>
      </c>
      <c r="N7" s="27" t="s">
        <v>258</v>
      </c>
      <c r="O7" s="27" t="s">
        <v>258</v>
      </c>
      <c r="P7" s="27" t="s">
        <v>258</v>
      </c>
      <c r="Q7" s="27" t="s">
        <v>258</v>
      </c>
      <c r="R7" s="27" t="s">
        <v>258</v>
      </c>
      <c r="S7" s="27" t="s">
        <v>258</v>
      </c>
      <c r="T7" s="27" t="s">
        <v>258</v>
      </c>
      <c r="U7" s="27" t="s">
        <v>258</v>
      </c>
      <c r="V7" s="27" t="s">
        <v>258</v>
      </c>
      <c r="W7" s="27" t="s">
        <v>258</v>
      </c>
      <c r="X7" s="27" t="s">
        <v>258</v>
      </c>
      <c r="Y7" s="27" t="s">
        <v>258</v>
      </c>
      <c r="Z7" s="27" t="s">
        <v>258</v>
      </c>
      <c r="AA7" s="27" t="s">
        <v>258</v>
      </c>
      <c r="AB7" s="27" t="s">
        <v>258</v>
      </c>
      <c r="AC7" s="27" t="s">
        <v>258</v>
      </c>
      <c r="AD7" s="27" t="s">
        <v>258</v>
      </c>
      <c r="AE7" s="27" t="s">
        <v>258</v>
      </c>
      <c r="AF7" s="27" t="s">
        <v>258</v>
      </c>
      <c r="AG7" s="27" t="s">
        <v>258</v>
      </c>
    </row>
    <row r="8" spans="1:34" outlineLevel="1" x14ac:dyDescent="0.3">
      <c r="A8" s="16" t="s">
        <v>489</v>
      </c>
      <c r="B8" s="27" t="s">
        <v>120</v>
      </c>
      <c r="C8" s="27" t="s">
        <v>163</v>
      </c>
      <c r="D8" s="27" t="s">
        <v>163</v>
      </c>
      <c r="E8" s="27" t="s">
        <v>159</v>
      </c>
      <c r="F8" s="27"/>
      <c r="G8" s="27" t="s">
        <v>290</v>
      </c>
      <c r="H8" s="27" t="s">
        <v>293</v>
      </c>
      <c r="I8" s="27" t="s">
        <v>278</v>
      </c>
      <c r="J8" s="27" t="s">
        <v>120</v>
      </c>
      <c r="K8" s="27" t="s">
        <v>126</v>
      </c>
      <c r="L8" s="27" t="s">
        <v>129</v>
      </c>
      <c r="M8" s="27" t="s">
        <v>132</v>
      </c>
      <c r="N8" s="27" t="s">
        <v>135</v>
      </c>
      <c r="O8" s="27" t="s">
        <v>138</v>
      </c>
      <c r="P8" s="27" t="s">
        <v>141</v>
      </c>
      <c r="Q8" s="27" t="s">
        <v>146</v>
      </c>
      <c r="R8" s="27" t="s">
        <v>149</v>
      </c>
      <c r="S8" s="27" t="s">
        <v>154</v>
      </c>
      <c r="T8" s="27" t="s">
        <v>159</v>
      </c>
      <c r="U8" s="27" t="s">
        <v>163</v>
      </c>
      <c r="V8" s="27" t="s">
        <v>168</v>
      </c>
      <c r="W8" s="27" t="s">
        <v>217</v>
      </c>
      <c r="X8" s="27" t="s">
        <v>208</v>
      </c>
      <c r="Y8" s="27" t="s">
        <v>213</v>
      </c>
      <c r="Z8" s="27" t="s">
        <v>204</v>
      </c>
      <c r="AA8" s="27" t="s">
        <v>126</v>
      </c>
      <c r="AB8" s="27" t="s">
        <v>129</v>
      </c>
      <c r="AC8" s="27" t="s">
        <v>132</v>
      </c>
      <c r="AD8" s="27" t="s">
        <v>135</v>
      </c>
      <c r="AE8" s="27" t="s">
        <v>138</v>
      </c>
      <c r="AF8" s="27" t="s">
        <v>351</v>
      </c>
      <c r="AG8" s="27" t="s">
        <v>402</v>
      </c>
    </row>
    <row r="9" spans="1:34" outlineLevel="1" x14ac:dyDescent="0.3">
      <c r="A9" s="16" t="s">
        <v>490</v>
      </c>
      <c r="B9" s="27" t="s">
        <v>121</v>
      </c>
      <c r="C9" s="27" t="s">
        <v>164</v>
      </c>
      <c r="D9" s="27" t="s">
        <v>164</v>
      </c>
      <c r="E9" s="27" t="s">
        <v>160</v>
      </c>
      <c r="F9" s="27"/>
      <c r="G9" s="27" t="s">
        <v>291</v>
      </c>
      <c r="H9" s="27" t="s">
        <v>294</v>
      </c>
      <c r="I9" s="27" t="s">
        <v>279</v>
      </c>
      <c r="J9" s="27" t="s">
        <v>121</v>
      </c>
      <c r="K9" s="27" t="s">
        <v>127</v>
      </c>
      <c r="L9" s="27" t="s">
        <v>130</v>
      </c>
      <c r="M9" s="27" t="s">
        <v>133</v>
      </c>
      <c r="N9" s="27" t="s">
        <v>136</v>
      </c>
      <c r="O9" s="27" t="s">
        <v>139</v>
      </c>
      <c r="P9" s="27" t="s">
        <v>142</v>
      </c>
      <c r="Q9" s="27" t="s">
        <v>147</v>
      </c>
      <c r="R9" s="27" t="s">
        <v>150</v>
      </c>
      <c r="S9" s="27" t="s">
        <v>155</v>
      </c>
      <c r="T9" s="27" t="s">
        <v>160</v>
      </c>
      <c r="U9" s="27" t="s">
        <v>164</v>
      </c>
      <c r="V9" s="27" t="s">
        <v>169</v>
      </c>
      <c r="W9" s="27" t="s">
        <v>218</v>
      </c>
      <c r="X9" s="27" t="s">
        <v>209</v>
      </c>
      <c r="Y9" s="27" t="s">
        <v>214</v>
      </c>
      <c r="Z9" s="27" t="s">
        <v>205</v>
      </c>
      <c r="AA9" s="27" t="s">
        <v>127</v>
      </c>
      <c r="AB9" s="27" t="s">
        <v>130</v>
      </c>
      <c r="AC9" s="27" t="s">
        <v>133</v>
      </c>
      <c r="AD9" s="27" t="s">
        <v>136</v>
      </c>
      <c r="AE9" s="27" t="s">
        <v>139</v>
      </c>
      <c r="AF9" s="27" t="s">
        <v>352</v>
      </c>
      <c r="AG9" s="28" t="s">
        <v>403</v>
      </c>
    </row>
    <row r="10" spans="1:34" outlineLevel="1" x14ac:dyDescent="0.3">
      <c r="A10" s="16" t="s">
        <v>491</v>
      </c>
      <c r="B10" s="27" t="s">
        <v>224</v>
      </c>
      <c r="C10" s="27" t="s">
        <v>165</v>
      </c>
      <c r="D10" s="27" t="s">
        <v>200</v>
      </c>
      <c r="E10" s="27" t="s">
        <v>226</v>
      </c>
      <c r="F10" s="27"/>
      <c r="G10" s="27" t="s">
        <v>175</v>
      </c>
      <c r="H10" s="27" t="s">
        <v>175</v>
      </c>
      <c r="I10" s="27" t="s">
        <v>184</v>
      </c>
      <c r="J10" s="27" t="s">
        <v>122</v>
      </c>
      <c r="K10" s="27" t="s">
        <v>122</v>
      </c>
      <c r="L10" s="27" t="s">
        <v>122</v>
      </c>
      <c r="M10" s="27" t="s">
        <v>122</v>
      </c>
      <c r="N10" s="27" t="s">
        <v>122</v>
      </c>
      <c r="O10" s="27" t="s">
        <v>122</v>
      </c>
      <c r="P10" s="27" t="s">
        <v>143</v>
      </c>
      <c r="Q10" s="27" t="s">
        <v>143</v>
      </c>
      <c r="R10" s="27" t="s">
        <v>151</v>
      </c>
      <c r="S10" s="27" t="s">
        <v>156</v>
      </c>
      <c r="T10" s="27" t="s">
        <v>447</v>
      </c>
      <c r="U10" s="27" t="s">
        <v>165</v>
      </c>
      <c r="V10" s="27" t="s">
        <v>170</v>
      </c>
      <c r="W10" s="27" t="s">
        <v>219</v>
      </c>
      <c r="X10" s="27" t="s">
        <v>210</v>
      </c>
      <c r="Y10" s="27" t="s">
        <v>210</v>
      </c>
      <c r="Z10" s="27" t="s">
        <v>184</v>
      </c>
      <c r="AA10" s="27" t="s">
        <v>184</v>
      </c>
      <c r="AB10" s="27" t="s">
        <v>184</v>
      </c>
      <c r="AC10" s="27" t="s">
        <v>184</v>
      </c>
      <c r="AD10" s="27" t="s">
        <v>184</v>
      </c>
      <c r="AE10" s="27" t="s">
        <v>184</v>
      </c>
      <c r="AF10" s="27" t="s">
        <v>156</v>
      </c>
      <c r="AG10" s="27" t="s">
        <v>184</v>
      </c>
    </row>
    <row r="11" spans="1:34" outlineLevel="1" x14ac:dyDescent="0.3">
      <c r="A11" s="16" t="s">
        <v>492</v>
      </c>
      <c r="B11" s="27" t="s">
        <v>225</v>
      </c>
      <c r="C11" s="27" t="s">
        <v>166</v>
      </c>
      <c r="D11" s="27" t="s">
        <v>201</v>
      </c>
      <c r="E11" s="27" t="s">
        <v>227</v>
      </c>
      <c r="F11" s="27"/>
      <c r="G11" s="27" t="s">
        <v>176</v>
      </c>
      <c r="H11" s="27" t="s">
        <v>176</v>
      </c>
      <c r="I11" s="27" t="s">
        <v>185</v>
      </c>
      <c r="J11" s="27" t="s">
        <v>118</v>
      </c>
      <c r="K11" s="27" t="s">
        <v>118</v>
      </c>
      <c r="L11" s="27" t="s">
        <v>118</v>
      </c>
      <c r="M11" s="27" t="s">
        <v>118</v>
      </c>
      <c r="N11" s="27" t="s">
        <v>118</v>
      </c>
      <c r="O11" s="27" t="s">
        <v>118</v>
      </c>
      <c r="P11" s="27" t="s">
        <v>144</v>
      </c>
      <c r="Q11" s="27" t="s">
        <v>144</v>
      </c>
      <c r="R11" s="27" t="s">
        <v>152</v>
      </c>
      <c r="S11" s="27" t="s">
        <v>157</v>
      </c>
      <c r="T11" s="27" t="s">
        <v>448</v>
      </c>
      <c r="U11" s="27" t="s">
        <v>166</v>
      </c>
      <c r="V11" s="27" t="s">
        <v>171</v>
      </c>
      <c r="W11" s="27" t="s">
        <v>220</v>
      </c>
      <c r="X11" s="27" t="s">
        <v>211</v>
      </c>
      <c r="Y11" s="27" t="s">
        <v>211</v>
      </c>
      <c r="Z11" s="27" t="s">
        <v>185</v>
      </c>
      <c r="AA11" s="27" t="s">
        <v>185</v>
      </c>
      <c r="AB11" s="27" t="s">
        <v>185</v>
      </c>
      <c r="AC11" s="27" t="s">
        <v>185</v>
      </c>
      <c r="AD11" s="27" t="s">
        <v>185</v>
      </c>
      <c r="AE11" s="27" t="s">
        <v>185</v>
      </c>
      <c r="AF11" s="27" t="s">
        <v>157</v>
      </c>
      <c r="AG11" s="27" t="s">
        <v>185</v>
      </c>
    </row>
    <row r="12" spans="1:34" ht="15" customHeight="1" outlineLevel="1" x14ac:dyDescent="0.3">
      <c r="B12" s="4" t="str">
        <f>INDEX({"31/01/2024 @ 15:42","macro_id=DBGlobal","label_id=144396","time=Q","year_from=2000","year_to=2023","direction=V","opt_font=true","fontsize=8","opt_color=true","col_desc=Calculation:10;Footnote 1:9;ID:8;Label:7;Reporter:6:s;Reporter:5:long;Indicator:4:s;Indicator:3:l;Unit:2:s;Unit:1:long;","numberformat=0.00","auto_tr=1999|2015","com=true","comp=4"},1,1)</f>
        <v>31/01/2024 @ 15:42</v>
      </c>
      <c r="C12" s="4" t="str">
        <f>INDEX({"31/01/2024 @ 15:42","macro_id=DBGlobal","label_id=77811","time=Q","year_from=2000","year_to=2023","direction=V","opt_font=true","fontsize=8","opt_color=true","col_desc=Calculation:10;Footnote 1:9;ID:8;Label:7;Reporter:6:s;Reporter:5:long;Indicator:4:s;Indicator:3:l;Unit:2:s;Unit:1:long;","numberformat=0.00","auto_tr=1999|2015","com=true","comp=4"},1,1)</f>
        <v>31/01/2024 @ 15:42</v>
      </c>
      <c r="D12" s="6" t="str">
        <f>INDEX({"31/01/2024 @ 15:42","macro_id=DBGlobal","label_id=77812","calc=SubScal(L_77812,100)","time=Q","year_from=2000","year_to=2023","direction=V","opt_font=true","fontsize=8","opt_color=true","col_desc=Calculation:10;Footnote 1:9;ID:8;Label:7;Reporter:6:s;Reporter:5:long;Indicator:4:s;Indicator:3:l;Unit:2:s;Unit:1:long;","numberformat=0.00","auto_tr=1999|2015","com=true","comp=4"},1,1)</f>
        <v>31/01/2024 @ 15:42</v>
      </c>
      <c r="E12" s="4" t="str">
        <f>INDEX({"31/01/2024 @ 15:42","macro_id=DBGlobal","label_id=144399","time=Q","year_from=2000","year_to=2023","direction=V","opt_font=true","fontsize=8","opt_color=true","col_desc=Calculation:10;Footnote 1:9;ID:8;Label:7;Reporter:6:s;Reporter:5:long;Indicator:4:s;Indicator:3:l;Unit:2:s;Unit:1:long;","numberformat=0.00","auto_tr=1999|2015","com=true","comp=4"},1,1)</f>
        <v>31/01/2024 @ 15:42</v>
      </c>
      <c r="F12" s="4" t="str">
        <f>INDEX({"31/01/2024 @ 15:42","macro_id=DBGlobal","label_id=101874","time=Q","year_from=2000","year_to=2023","direction=V","opt_font=true","fontsize=8","opt_color=true","col_desc=Calculation:10;Footnote 1:9;ID:8;Label:7;Reporter:6:s;Reporter:5:long;Indicator:4:s;Indicator:3:l;Unit:2:s;Unit:1:long;","numberformat=0.00","auto_tr=1999|2015","com=true","comp=4"},1,1)</f>
        <v>31/01/2024 @ 15:42</v>
      </c>
      <c r="G12" s="5" t="str">
        <f>INDEX({"31/01/2024 @ 15:42","macro_id=DBGlobal","label_id=32788","calc=SubScal(CPPY=100(L_32788),100)","time=Q","year_from=2000","year_to=2023","direction=V","opt_font=true","fontsize=8","opt_color=true","col_desc=Calculation:10;Footnote 1:9;ID:8;Label:7;Reporter:6:s;Reporter:5:long;Indicator:4:s;Indicator:3:l;Unit:2:s;Unit:1:long;","numberformat=0.00","auto_tr=1999|2015","com=true","comp=4"},1,1)</f>
        <v>31/01/2024 @ 15:42</v>
      </c>
      <c r="H12" s="5" t="str">
        <f>INDEX({"31/01/2024 @ 15:42","macro_id=DBGlobal","label_id=32787","calc=SubScal(CPPY=100(L_32787),100)","time=Q","year_from=2000","year_to=2023","direction=V","opt_font=true","fontsize=8","opt_color=true","col_desc=Calculation:10;Footnote 1:9;ID:8;Label:7;Reporter:6:s;Reporter:5:long;Indicator:4:s;Indicator:3:l;Unit:2:s;Unit:1:long;","numberformat=0.00","auto_tr=1999|2015","com=true","comp=4"},1,1)</f>
        <v>31/01/2024 @ 15:42</v>
      </c>
      <c r="I12" s="1" t="str">
        <f>INDEX({"31/01/2024 @ 15:42","macro_id=DBGlobal","label_id=89163","time=Q","year_from=2000","year_to=2023","direction=V","opt_font=true","fontsize=8","opt_color=true","col_desc=Calculation:10;Footnote 1:9;ID:8;Label:7;Reporter:6:s;Reporter:5:long;Indicator:4:s;Indicator:3:l;Unit:2:s;Unit:1:long;","numberformat=0.00","auto_tr=1999|2015","com=true","comp=4"},1,1)</f>
        <v>31/01/2024 @ 15:42</v>
      </c>
      <c r="J12" s="5" t="str">
        <f>INDEX({"31/01/2024 @ 15:42","macro_id=DBGlobal","label_id=88632","calc=SubScal(CPPY=100(L_88632),100)","time=Q","year_from=2000","year_to=2023","direction=V","opt_font=true","fontsize=8","opt_color=true","col_desc=Calculation:10;Footnote 1:9;ID:8;Label:7;Reporter:6:s;Reporter:5:long;Indicator:4:s;Indicator:3:l;Unit:2:s;Unit:1:long;","numberformat=0.00","auto_tr=1999|2015","com=true","comp=4"},1,1)</f>
        <v>31/01/2024 @ 15:42</v>
      </c>
      <c r="K12" s="5" t="str">
        <f>INDEX({"31/01/2024 @ 15:42","macro_id=DBGlobal","label_id=90866","calc=SubScal(CPPY=100(L_90866),100)","time=Q","year_from=2000","year_to=2023","direction=V","opt_font=true","fontsize=8","opt_color=true","col_desc=Calculation:10;Footnote 1:9;ID:8;Label:7;Reporter:6:s;Reporter:5:long;Indicator:4:s;Indicator:3:l;Unit:2:s;Unit:1:long;","numberformat=0.00","auto_tr=1999|2015","com=true","comp=4"},1,1)</f>
        <v>31/01/2024 @ 15:42</v>
      </c>
      <c r="L12" s="5" t="str">
        <f>INDEX({"31/01/2024 @ 15:42","macro_id=DBGlobal","label_id=90910","calc=SubScal(CPPY=100(L_90910),100)","time=Q","year_from=2000","year_to=2023","direction=V","opt_font=true","fontsize=8","opt_color=true","col_desc=Calculation:10;Footnote 1:9;ID:8;Label:7;Reporter:6:s;Reporter:5:long;Indicator:4:s;Indicator:3:l;Unit:2:s;Unit:1:long;","numberformat=0.00","auto_tr=1999|2015","com=true","comp=4"},1,1)</f>
        <v>31/01/2024 @ 15:42</v>
      </c>
      <c r="M12" s="5" t="str">
        <f>INDEX({"31/01/2024 @ 15:42","macro_id=DBGlobal","label_id=90932","calc=SubScal(CPPY=100(L_90932),100)","time=Q","year_from=2000","year_to=2023","direction=V","opt_font=true","fontsize=8","opt_color=true","col_desc=Calculation:10;Footnote 1:9;ID:8;Label:7;Reporter:6:s;Reporter:5:long;Indicator:4:s;Indicator:3:l;Unit:2:s;Unit:1:long;","numberformat=0.00","auto_tr=1999|2015","com=true","comp=4"},1,1)</f>
        <v>31/01/2024 @ 15:42</v>
      </c>
      <c r="N12" s="5" t="str">
        <f>INDEX({"31/01/2024 @ 15:42","macro_id=DBGlobal","label_id=90976","calc=SubScal(CPPY=100(L_90976),100)","time=Q","year_from=2000","year_to=2023","direction=V","opt_font=true","fontsize=8","opt_color=true","col_desc=Calculation:10;Footnote 1:9;ID:8;Label:7;Reporter:6:s;Reporter:5:long;Indicator:4:s;Indicator:3:l;Unit:2:s;Unit:1:long;","numberformat=0.00","auto_tr=1999|2015","com=true","comp=4"},1,1)</f>
        <v>31/01/2024 @ 15:42</v>
      </c>
      <c r="O12" s="5" t="str">
        <f>INDEX({"31/01/2024 @ 15:42","macro_id=DBGlobal","label_id=90998","calc=SubScal(CPPY=100(L_90998),100)","time=Q","year_from=2000","year_to=2023","direction=V","opt_font=true","fontsize=8","opt_color=true","col_desc=Calculation:10;Footnote 1:9;ID:8;Label:7;Reporter:6:s;Reporter:5:long;Indicator:4:s;Indicator:3:l;Unit:2:s;Unit:1:long;","numberformat=0.00","auto_tr=1999|2015","com=true","comp=4"},1,1)</f>
        <v>31/01/2024 @ 15:42</v>
      </c>
      <c r="P12" s="1" t="str">
        <f>INDEX({"31/01/2024 @ 15:42","macro_id=DBGlobal","label_id=32644","time=Q","year_from=2000","year_to=2023","direction=V","opt_font=true","fontsize=8","opt_color=true","col_desc=Calculation:10;Footnote 1:9;ID:8;Label:7;Reporter:6:s;Reporter:5:long;Indicator:4:s;Indicator:3:l;Unit:2:s;Unit:1:long;","numberformat=0.00","auto_tr=1999|2015","com=true","comp=4"},1,1)</f>
        <v>31/01/2024 @ 15:42</v>
      </c>
      <c r="Q12" s="1" t="str">
        <f>INDEX({"31/01/2024 @ 15:42","macro_id=DBGlobal","label_id=32667","time=Q","year_from=2000","year_to=2023","direction=V","opt_font=true","fontsize=8","opt_color=true","col_desc=Calculation:10;Footnote 1:9;ID:8;Label:7;Reporter:6:s;Reporter:5:long;Indicator:4:s;Indicator:3:l;Unit:2:s;Unit:1:long;","numberformat=0.00","auto_tr=1999|2015","com=true","comp=4"},1,1)</f>
        <v>31/01/2024 @ 15:42</v>
      </c>
      <c r="R12" s="1" t="str">
        <f>INDEX({"31/01/2024 @ 15:42","macro_id=DBGlobal","label_id=32690","time=Q","year_from=2000","year_to=2023","direction=V","opt_font=true","fontsize=8","opt_color=true","col_desc=Calculation:10;Footnote 1:9;ID:8;Label:7;Reporter:6:s;Reporter:5:long;Indicator:4:s;Indicator:3:l;Unit:2:s;Unit:1:long;","numberformat=0.00","auto_tr=1999|2015","com=true","comp=4"},1,1)</f>
        <v>31/01/2024 @ 15:42</v>
      </c>
      <c r="S12" s="5" t="str">
        <f>INDEX({"31/01/2024 @ 15:42","macro_id=DBGlobal","label_id=51745","calc=SubScal(L_51745,100)","time=Q","year_from=2000","year_to=2023","direction=V","opt_font=true","fontsize=8","opt_color=true","col_desc=Calculation:10;Footnote 1:9;ID:8;Label:7;Reporter:6:s;Reporter:5:long;Indicator:4:s;Indicator:3:l;Unit:2:s;Unit:1:long;","numberformat=0.00","auto_tr=1999|2015","com=true","comp=4"},1,1)</f>
        <v>31/01/2024 @ 15:42</v>
      </c>
      <c r="T12" s="1" t="str">
        <f>INDEX({"31/01/2024 @ 15:42","macro_id=DBGlobal","label_id=782","time=Q","year_from=2000","year_to=2023","direction=V","opt_font=true","fontsize=8","opt_color=true","col_desc=Calculation:10;Footnote 1:9;ID:8;Label:7;Reporter:6:s;Reporter:5:long;Indicator:4:s;Indicator:3:l;Unit:2:s;Unit:1:long;","numberformat=0.00","auto_tr=1999|2015","com=true","comp=4"},1,1)</f>
        <v>31/01/2024 @ 15:42</v>
      </c>
      <c r="U12" s="1" t="str">
        <f>INDEX({"31/01/2024 @ 15:42","macro_id=DBGlobal","label_id=571","time=Q","year_from=2000","year_to=2023","direction=V","opt_font=true","fontsize=8","opt_color=true","col_desc=Calculation:10;Footnote 1:9;ID:8;Label:7;Reporter:6:s;Reporter:5:long;Indicator:4:s;Indicator:3:l;Unit:2:s;Unit:1:long;","numberformat=0.00","auto_tr=1999|2015","com=true","comp=4"},1,1)</f>
        <v>31/01/2024 @ 15:42</v>
      </c>
      <c r="V12" s="1" t="str">
        <f>INDEX({"31/01/2024 @ 15:42","macro_id=DBGlobal","label_id=961","time=Q","year_from=2000","year_to=2023","direction=V","opt_font=true","fontsize=8","opt_color=true","col_desc=Calculation:10;Footnote 1:9;ID:8;Label:7;Reporter:6:s;Reporter:5:long;Indicator:4:s;Indicator:3:l;Unit:2:s;Unit:1:long;","numberformat=0.00","auto_tr=1999|2015","com=true","comp=4"},1,1)</f>
        <v>31/01/2024 @ 15:42</v>
      </c>
      <c r="W12" s="5" t="str">
        <f>INDEX({"31/01/2024 @ 15:42","macro_id=DBGlobal","label_id=32207","calc=SubScal(L_32207,100)","time=Q","year_from=2000","year_to=2023","direction=V","opt_font=true","fontsize=8","opt_color=true","col_desc=Calculation:10;Footnote 1:9;ID:8;Label:7;Reporter:6:s;Reporter:5:long;Indicator:4:s;Indicator:3:l;Unit:2:s;Unit:1:long;","numberformat=0.00","auto_tr=1999|2015","com=true","comp=4"},1,1)</f>
        <v>31/01/2024 @ 15:42</v>
      </c>
      <c r="X12" s="6" t="str">
        <f>INDEX({"31/01/2024 @ 15:42","macro_id=DBGlobal","label_id=87256","calc=SubScal(CPPY=100(AddNull(L_87256,L_87330)),100)","time=Q","year_from=2000","year_to=2023","direction=V","opt_font=true","fontsize=8","opt_color=true","col_desc=Calculation:10;Footnote 1:9;ID:8;Label:7;Reporter:6:s;Reporter:5:long;Indicator:4:s;Indicator:3:l;Unit:2:s;Unit:1:long;","numberformat=0.00","auto_tr=1999|2015","com=true","comp=4"},1,1)</f>
        <v>31/01/2024 @ 15:42</v>
      </c>
      <c r="Y12" s="6" t="str">
        <f>INDEX({"31/01/2024 @ 15:42","macro_id=DBGlobal","label_id=87293","calc=SubScal(CPPY=100(AddNull(L_87293,L_87367)),100)","time=Q","year_from=2000","year_to=2023","direction=V","opt_font=true","fontsize=8","opt_color=true","col_desc=Calculation:10;Footnote 1:9;ID:8;Label:7;Reporter:6:s;Reporter:5:long;Indicator:4:s;Indicator:3:l;Unit:2:s;Unit:1:long;","numberformat=0.00","auto_tr=1999|2015","com=true","comp=4"},1,1)</f>
        <v>31/01/2024 @ 15:42</v>
      </c>
      <c r="Z12" s="1" t="str">
        <f>INDEX({"31/01/2024 @ 15:42","macro_id=DBGlobal","label_id=88726","time=Q","year_from=2000","year_to=2023","direction=V","opt_font=true","fontsize=8","opt_color=true","col_desc=Calculation:10;Footnote 1:9;ID:8;Label:7;Reporter:6:s;Reporter:5:long;Indicator:4:s;Indicator:3:l;Unit:2:s;Unit:1:long;","numberformat=0.00","auto_tr=1999|2015","com=true","comp=4"},1,1)</f>
        <v>31/01/2024 @ 15:42</v>
      </c>
      <c r="AA12" s="5" t="str">
        <f>INDEX({"31/01/2024 @ 15:42","macro_id=DBGlobal","label_id=90338","calc=AddNull(L_90338,L_90360)","time=Q","year_from=2000","year_to=2023","direction=V","opt_font=true","fontsize=8","opt_color=true","col_desc=Calculation:10;Footnote 1:9;ID:8;Label:7;Reporter:6:s;Reporter:5:long;Indicator:4:s;Indicator:3:l;Unit:2:s;Unit:1:long;","numberformat=0.00","auto_tr=1999|2015","com=true","comp=4"},1,1)</f>
        <v>31/01/2024 @ 15:42</v>
      </c>
      <c r="AB12" s="1" t="str">
        <f>INDEX({"31/01/2024 @ 15:42","macro_id=DBGlobal","label_id=90382","time=Q","year_from=2000","year_to=2023","direction=V","opt_font=true","fontsize=8","opt_color=true","col_desc=Calculation:10;Footnote 1:9;ID:8;Label:7;Reporter:6:s;Reporter:5:long;Indicator:4:s;Indicator:3:l;Unit:2:s;Unit:1:long;","numberformat=0.00","auto_tr=1999|2015","com=true","comp=4"},1,1)</f>
        <v>31/01/2024 @ 15:42</v>
      </c>
      <c r="AC12" s="1" t="str">
        <f>INDEX({"31/01/2024 @ 15:42","macro_id=DBGlobal","label_id=90404","time=Q","year_from=2000","year_to=2023","direction=V","opt_font=true","fontsize=8","opt_color=true","col_desc=Calculation:10;Footnote 1:9;ID:8;Label:7;Reporter:6:s;Reporter:5:long;Indicator:4:s;Indicator:3:l;Unit:2:s;Unit:1:long;","numberformat=0.00","auto_tr=1999|2015","com=true","comp=4"},1,1)</f>
        <v>31/01/2024 @ 15:42</v>
      </c>
      <c r="AD12" s="1" t="str">
        <f>INDEX({"31/01/2024 @ 15:42","macro_id=DBGlobal","label_id=90492","time=Q","year_from=2000","year_to=2023","direction=V","opt_font=true","fontsize=8","opt_color=true","col_desc=Calculation:10;Footnote 1:9;ID:8;Label:7;Reporter:6:s;Reporter:5:long;Indicator:4:s;Indicator:3:l;Unit:2:s;Unit:1:long;","numberformat=0.00","auto_tr=1999|2015","com=true","comp=4"},1,1)</f>
        <v>31/01/2024 @ 15:42</v>
      </c>
      <c r="AE12" s="1" t="str">
        <f>INDEX({"31/01/2024 @ 15:42","macro_id=DBGlobal","label_id=90514","time=Q","year_from=2000","year_to=2023","direction=V","opt_font=true","fontsize=8","opt_color=true","col_desc=Calculation:10;Footnote 1:9;ID:8;Label:7;Reporter:6:s;Reporter:5:long;Indicator:4:s;Indicator:3:l;Unit:2:s;Unit:1:long;","numberformat=0.00","auto_tr=1999|2015","com=true","comp=4"},1,1)</f>
        <v>31/01/2024 @ 15:42</v>
      </c>
      <c r="AF12" s="5" t="str">
        <f>INDEX({"31/01/2024 @ 15:42","macro_id=DBGlobal","label_id=89612","calc=SubScal(L_89612,100)","time=Q","year_from=2000","year_to=2023","direction=V","opt_font=true","fontsize=8","opt_color=true","col_desc=Calculation:10;Footnote 1:9;ID:8;Label:7;Reporter:6:s;Reporter:5:long;Indicator:4:s;Indicator:3:l;Unit:2:s;Unit:1:long;","numberformat=0.00","auto_tr=1999|2015","com=true","comp=4"},1,1)</f>
        <v>31/01/2024 @ 15:42</v>
      </c>
      <c r="AG12" s="4" t="str">
        <f>INDEX({"31/01/2024 @ 15:42","macro_id=DBGlobal","label_id=144763","time=Q","year_from=2000","year_to=2023","direction=V","opt_font=true","fontsize=8","opt_color=true","col_desc=Calculation:10;Footnote 1:9;ID:8;Label:7;Reporter:6:s;Reporter:5:long;Indicator:4:s;Indicator:3:l;Unit:2:s;Unit:1:long;","numberformat=0.00","auto_tr=1999|2015","com=true","comp=4"},1,1)</f>
        <v>31/01/2024 @ 15:42</v>
      </c>
    </row>
    <row r="13" spans="1:34" s="11" customFormat="1" x14ac:dyDescent="0.3">
      <c r="A13" s="11" t="s">
        <v>19</v>
      </c>
      <c r="B13" s="12">
        <v>4.8214176000000002</v>
      </c>
      <c r="C13" s="12">
        <v>73.989999999999995</v>
      </c>
      <c r="D13" s="12">
        <v>1.7557532</v>
      </c>
      <c r="E13" s="12">
        <v>3.25</v>
      </c>
      <c r="F13" s="13">
        <v>26.926666699999998</v>
      </c>
      <c r="G13" s="12">
        <v>9.5284271</v>
      </c>
      <c r="H13" s="12">
        <v>2.8092305</v>
      </c>
      <c r="I13" s="12">
        <v>-3.4529952000000002</v>
      </c>
      <c r="J13" s="12">
        <v>4.5776973999999999</v>
      </c>
      <c r="K13" s="12">
        <v>1.5954223999999999</v>
      </c>
      <c r="L13" s="12">
        <v>-1.0206230000000001</v>
      </c>
      <c r="M13" s="12">
        <v>9.3748571999999992</v>
      </c>
      <c r="N13" s="12">
        <v>18.118652099999998</v>
      </c>
      <c r="O13" s="12">
        <v>14.8150686</v>
      </c>
      <c r="P13" s="7">
        <v>4706.7</v>
      </c>
      <c r="Q13" s="7">
        <v>494.4</v>
      </c>
      <c r="R13" s="7">
        <v>9.6</v>
      </c>
      <c r="S13" s="7" t="s">
        <v>107</v>
      </c>
      <c r="T13" s="12">
        <v>5.25</v>
      </c>
      <c r="U13" s="12">
        <v>73.066666699999999</v>
      </c>
      <c r="V13" s="12">
        <v>35.7723333</v>
      </c>
      <c r="W13" s="7" t="s">
        <v>107</v>
      </c>
      <c r="X13" s="7" t="s">
        <v>107</v>
      </c>
      <c r="Y13" s="7" t="s">
        <v>107</v>
      </c>
      <c r="Z13" s="12">
        <v>-3.1962149000000002</v>
      </c>
      <c r="AA13" s="12">
        <v>51.701714500000001</v>
      </c>
      <c r="AB13" s="12">
        <v>19.0824687</v>
      </c>
      <c r="AC13" s="12">
        <v>30.8539089</v>
      </c>
      <c r="AD13" s="12">
        <v>46.688120699999999</v>
      </c>
      <c r="AE13" s="12">
        <v>48.3262128</v>
      </c>
      <c r="AF13" s="7" t="s">
        <v>107</v>
      </c>
      <c r="AG13" s="12">
        <v>14.616293300000001</v>
      </c>
    </row>
    <row r="14" spans="1:34" s="11" customFormat="1" hidden="1" outlineLevel="1" x14ac:dyDescent="0.3">
      <c r="A14" s="11" t="s">
        <v>20</v>
      </c>
      <c r="B14" s="12">
        <v>4.3154814000000004</v>
      </c>
      <c r="C14" s="12">
        <v>74.493333300000003</v>
      </c>
      <c r="D14" s="12">
        <v>1.6742492</v>
      </c>
      <c r="E14" s="12">
        <v>3.9166666999999999</v>
      </c>
      <c r="F14" s="13">
        <v>26.766666699999998</v>
      </c>
      <c r="G14" s="12">
        <v>7.3148181000000001</v>
      </c>
      <c r="H14" s="12">
        <v>0.6470844</v>
      </c>
      <c r="I14" s="12">
        <v>-2.6131863000000002</v>
      </c>
      <c r="J14" s="12">
        <v>3.7277833</v>
      </c>
      <c r="K14" s="12">
        <v>1.2702264999999999</v>
      </c>
      <c r="L14" s="12">
        <v>1.5070108</v>
      </c>
      <c r="M14" s="12">
        <v>9.4209305000000008</v>
      </c>
      <c r="N14" s="12">
        <v>10.440276000000001</v>
      </c>
      <c r="O14" s="12">
        <v>10.557305700000001</v>
      </c>
      <c r="P14" s="7">
        <v>4726.5</v>
      </c>
      <c r="Q14" s="7">
        <v>449.9</v>
      </c>
      <c r="R14" s="7">
        <v>8.8000000000000007</v>
      </c>
      <c r="S14" s="7" t="s">
        <v>107</v>
      </c>
      <c r="T14" s="12">
        <v>5.25</v>
      </c>
      <c r="U14" s="12">
        <v>73.3</v>
      </c>
      <c r="V14" s="12">
        <v>36.281999999999996</v>
      </c>
      <c r="W14" s="7" t="s">
        <v>107</v>
      </c>
      <c r="X14" s="7" t="s">
        <v>107</v>
      </c>
      <c r="Y14" s="7" t="s">
        <v>107</v>
      </c>
      <c r="Z14" s="12">
        <v>-3.2367897000000001</v>
      </c>
      <c r="AA14" s="12">
        <v>49.598228400000004</v>
      </c>
      <c r="AB14" s="12">
        <v>19.7192279</v>
      </c>
      <c r="AC14" s="12">
        <v>32.114815700000001</v>
      </c>
      <c r="AD14" s="12">
        <v>47.780563200000003</v>
      </c>
      <c r="AE14" s="12">
        <v>49.212835300000002</v>
      </c>
      <c r="AF14" s="7" t="s">
        <v>107</v>
      </c>
      <c r="AG14" s="12">
        <v>15.0322111</v>
      </c>
    </row>
    <row r="15" spans="1:34" s="11" customFormat="1" hidden="1" outlineLevel="1" x14ac:dyDescent="0.3">
      <c r="A15" s="11" t="s">
        <v>21</v>
      </c>
      <c r="B15" s="12">
        <v>3.5071058000000002</v>
      </c>
      <c r="C15" s="12">
        <v>74.819999999999993</v>
      </c>
      <c r="D15" s="12">
        <v>1.9670194000000001</v>
      </c>
      <c r="E15" s="17">
        <v>4.3333332999999996</v>
      </c>
      <c r="F15" s="13">
        <v>30.673333299999999</v>
      </c>
      <c r="G15" s="12">
        <v>7.4380398000000003</v>
      </c>
      <c r="H15" s="12">
        <v>2.0238651000000001</v>
      </c>
      <c r="I15" s="12">
        <v>-2.7976489</v>
      </c>
      <c r="J15" s="12">
        <v>4.1661751000000002</v>
      </c>
      <c r="K15" s="12">
        <v>2.1783535000000001</v>
      </c>
      <c r="L15" s="12">
        <v>0.46814909999999998</v>
      </c>
      <c r="M15" s="12">
        <v>15.2510206</v>
      </c>
      <c r="N15" s="12">
        <v>10.9877681</v>
      </c>
      <c r="O15" s="12">
        <v>14.8334657</v>
      </c>
      <c r="P15" s="7">
        <v>4742.2</v>
      </c>
      <c r="Q15" s="7">
        <v>443.3</v>
      </c>
      <c r="R15" s="7">
        <v>8.6</v>
      </c>
      <c r="S15" s="7" t="s">
        <v>107</v>
      </c>
      <c r="T15" s="12">
        <v>5.25</v>
      </c>
      <c r="U15" s="12">
        <v>74.3</v>
      </c>
      <c r="V15" s="12">
        <v>35.468000000000004</v>
      </c>
      <c r="W15" s="7" t="s">
        <v>107</v>
      </c>
      <c r="X15" s="7" t="s">
        <v>107</v>
      </c>
      <c r="Y15" s="7" t="s">
        <v>107</v>
      </c>
      <c r="Z15" s="12">
        <v>-4.0092365000000001</v>
      </c>
      <c r="AA15" s="12">
        <v>50.688033300000001</v>
      </c>
      <c r="AB15" s="12">
        <v>18.039769700000001</v>
      </c>
      <c r="AC15" s="12">
        <v>32.059010200000003</v>
      </c>
      <c r="AD15" s="12">
        <v>47.513699500000001</v>
      </c>
      <c r="AE15" s="12">
        <v>48.300512699999999</v>
      </c>
      <c r="AF15" s="7" t="s">
        <v>107</v>
      </c>
      <c r="AG15" s="12">
        <v>15.6851915</v>
      </c>
    </row>
    <row r="16" spans="1:34" s="11" customFormat="1" hidden="1" outlineLevel="1" x14ac:dyDescent="0.3">
      <c r="A16" s="11" t="s">
        <v>22</v>
      </c>
      <c r="B16" s="12">
        <v>2.8994336000000001</v>
      </c>
      <c r="C16" s="12">
        <v>75.3</v>
      </c>
      <c r="D16" s="12">
        <v>2.2218200000000001</v>
      </c>
      <c r="E16" s="17">
        <v>4.75</v>
      </c>
      <c r="F16" s="13">
        <v>29.7233333</v>
      </c>
      <c r="G16" s="12">
        <v>-1.3955797999999999</v>
      </c>
      <c r="H16" s="12">
        <v>9.2323359000000007</v>
      </c>
      <c r="I16" s="12">
        <v>-5.3399972</v>
      </c>
      <c r="J16" s="12">
        <v>3.5918694000000002</v>
      </c>
      <c r="K16" s="12">
        <v>0.99465899999999996</v>
      </c>
      <c r="L16" s="12">
        <v>-3.1607432000000002</v>
      </c>
      <c r="M16" s="12">
        <v>9.4139633000000007</v>
      </c>
      <c r="N16" s="12">
        <v>19.918521800000001</v>
      </c>
      <c r="O16" s="12">
        <v>17.0877272</v>
      </c>
      <c r="P16" s="7">
        <v>4751</v>
      </c>
      <c r="Q16" s="7">
        <v>430.4</v>
      </c>
      <c r="R16" s="7">
        <v>8.4</v>
      </c>
      <c r="S16" s="7" t="s">
        <v>107</v>
      </c>
      <c r="T16" s="12">
        <v>5.25</v>
      </c>
      <c r="U16" s="12">
        <v>74.5</v>
      </c>
      <c r="V16" s="12">
        <v>34.893000000000001</v>
      </c>
      <c r="W16" s="7" t="s">
        <v>107</v>
      </c>
      <c r="X16" s="7" t="s">
        <v>107</v>
      </c>
      <c r="Y16" s="7" t="s">
        <v>107</v>
      </c>
      <c r="Z16" s="12">
        <v>-6.8793568</v>
      </c>
      <c r="AA16" s="12">
        <v>49.737651100000001</v>
      </c>
      <c r="AB16" s="12">
        <v>21.158970199999999</v>
      </c>
      <c r="AC16" s="12">
        <v>32.609614200000003</v>
      </c>
      <c r="AD16" s="12">
        <v>50.137638500000001</v>
      </c>
      <c r="AE16" s="12">
        <v>53.643874099999998</v>
      </c>
      <c r="AF16" s="7" t="s">
        <v>107</v>
      </c>
      <c r="AG16" s="12">
        <v>16.989476100000001</v>
      </c>
    </row>
    <row r="17" spans="1:33" s="11" customFormat="1" hidden="1" outlineLevel="1" x14ac:dyDescent="0.3">
      <c r="A17" s="11" t="s">
        <v>23</v>
      </c>
      <c r="B17" s="12">
        <v>3.0047543999999999</v>
      </c>
      <c r="C17" s="12">
        <v>75.393333299999995</v>
      </c>
      <c r="D17" s="12">
        <v>1.8966527</v>
      </c>
      <c r="E17" s="17">
        <v>4.75</v>
      </c>
      <c r="F17" s="13">
        <v>25.873333299999999</v>
      </c>
      <c r="G17" s="12">
        <v>10.4016588</v>
      </c>
      <c r="H17" s="12">
        <v>6.4014493999999997</v>
      </c>
      <c r="I17" s="12">
        <v>-4.8676411999999996</v>
      </c>
      <c r="J17" s="12">
        <v>3.7999320000000001</v>
      </c>
      <c r="K17" s="12">
        <v>2.5261727999999999</v>
      </c>
      <c r="L17" s="12">
        <v>1.5628228</v>
      </c>
      <c r="M17" s="12">
        <v>13.349976</v>
      </c>
      <c r="N17" s="12">
        <v>16.220362699999999</v>
      </c>
      <c r="O17" s="12">
        <v>19.5486568</v>
      </c>
      <c r="P17" s="7">
        <v>4741.2</v>
      </c>
      <c r="Q17" s="7">
        <v>439.8</v>
      </c>
      <c r="R17" s="7">
        <v>8.5</v>
      </c>
      <c r="S17" s="12">
        <v>9.3040783999999999</v>
      </c>
      <c r="T17" s="12">
        <v>5</v>
      </c>
      <c r="U17" s="12">
        <v>76.033333299999995</v>
      </c>
      <c r="V17" s="12">
        <v>34.786000000000001</v>
      </c>
      <c r="W17" s="12">
        <v>12.025686</v>
      </c>
      <c r="X17" s="7" t="s">
        <v>107</v>
      </c>
      <c r="Y17" s="7" t="s">
        <v>107</v>
      </c>
      <c r="Z17" s="12">
        <v>-5.1011990000000003</v>
      </c>
      <c r="AA17" s="12">
        <v>50.626548399999997</v>
      </c>
      <c r="AB17" s="12">
        <v>18.654443700000002</v>
      </c>
      <c r="AC17" s="12">
        <v>33.535053900000001</v>
      </c>
      <c r="AD17" s="12">
        <v>51.361057500000001</v>
      </c>
      <c r="AE17" s="12">
        <v>54.1771034</v>
      </c>
      <c r="AF17" s="12">
        <v>24.316419700000001</v>
      </c>
      <c r="AG17" s="12">
        <v>16.9302314</v>
      </c>
    </row>
    <row r="18" spans="1:33" s="11" customFormat="1" hidden="1" outlineLevel="1" x14ac:dyDescent="0.3">
      <c r="A18" s="11" t="s">
        <v>24</v>
      </c>
      <c r="B18" s="12">
        <v>2.2522867999999998</v>
      </c>
      <c r="C18" s="12">
        <v>76.483333299999998</v>
      </c>
      <c r="D18" s="12">
        <v>2.6713800000000001</v>
      </c>
      <c r="E18" s="17">
        <v>4.5833332999999996</v>
      </c>
      <c r="F18" s="13">
        <v>27.273333300000001</v>
      </c>
      <c r="G18" s="12">
        <v>9.6361387000000001</v>
      </c>
      <c r="H18" s="12">
        <v>4.5663315000000004</v>
      </c>
      <c r="I18" s="12">
        <v>-4.4714081999999999</v>
      </c>
      <c r="J18" s="12">
        <v>3.1798605000000002</v>
      </c>
      <c r="K18" s="12">
        <v>3.5805166000000002</v>
      </c>
      <c r="L18" s="12">
        <v>-0.31602279999999999</v>
      </c>
      <c r="M18" s="12">
        <v>5.7888381999999998</v>
      </c>
      <c r="N18" s="12">
        <v>10.895788</v>
      </c>
      <c r="O18" s="12">
        <v>11.1758785</v>
      </c>
      <c r="P18" s="7">
        <v>4746.3999999999996</v>
      </c>
      <c r="Q18" s="7">
        <v>410.9</v>
      </c>
      <c r="R18" s="7">
        <v>8</v>
      </c>
      <c r="S18" s="12">
        <v>8.8001813999999996</v>
      </c>
      <c r="T18" s="12">
        <v>5</v>
      </c>
      <c r="U18" s="12">
        <v>76.966666700000005</v>
      </c>
      <c r="V18" s="12">
        <v>34.294666700000001</v>
      </c>
      <c r="W18" s="12">
        <v>9.8827470999999996</v>
      </c>
      <c r="X18" s="7" t="s">
        <v>107</v>
      </c>
      <c r="Y18" s="7" t="s">
        <v>107</v>
      </c>
      <c r="Z18" s="12">
        <v>-4.7870479000000001</v>
      </c>
      <c r="AA18" s="12">
        <v>49.201500899999999</v>
      </c>
      <c r="AB18" s="12">
        <v>19.631232399999998</v>
      </c>
      <c r="AC18" s="12">
        <v>32.550378299999998</v>
      </c>
      <c r="AD18" s="12">
        <v>49.399687900000004</v>
      </c>
      <c r="AE18" s="12">
        <v>50.782799500000003</v>
      </c>
      <c r="AF18" s="12">
        <v>32.604848799999999</v>
      </c>
      <c r="AG18" s="12">
        <v>19.247644399999999</v>
      </c>
    </row>
    <row r="19" spans="1:33" s="11" customFormat="1" hidden="1" outlineLevel="1" x14ac:dyDescent="0.3">
      <c r="A19" s="11" t="s">
        <v>25</v>
      </c>
      <c r="B19" s="12">
        <v>1.8991327</v>
      </c>
      <c r="C19" s="12">
        <v>76.516666700000002</v>
      </c>
      <c r="D19" s="12">
        <v>2.2676647000000001</v>
      </c>
      <c r="E19" s="17">
        <v>4.1666667000000004</v>
      </c>
      <c r="F19" s="13">
        <v>25.303333299999998</v>
      </c>
      <c r="G19" s="12">
        <v>10.9204627</v>
      </c>
      <c r="H19" s="12">
        <v>20.158678500000001</v>
      </c>
      <c r="I19" s="12">
        <v>8.6998599999999995E-2</v>
      </c>
      <c r="J19" s="12">
        <v>2.2712545</v>
      </c>
      <c r="K19" s="12">
        <v>3.0735994999999998</v>
      </c>
      <c r="L19" s="12">
        <v>5.0477854999999998</v>
      </c>
      <c r="M19" s="12">
        <v>1.8216117000000001</v>
      </c>
      <c r="N19" s="12">
        <v>6.9867128000000003</v>
      </c>
      <c r="O19" s="12">
        <v>8.4375057000000009</v>
      </c>
      <c r="P19" s="7">
        <v>4748.3</v>
      </c>
      <c r="Q19" s="7">
        <v>427.3</v>
      </c>
      <c r="R19" s="7">
        <v>8.3000000000000007</v>
      </c>
      <c r="S19" s="12">
        <v>8.9022603</v>
      </c>
      <c r="T19" s="12">
        <v>5.25</v>
      </c>
      <c r="U19" s="12">
        <v>78.033333299999995</v>
      </c>
      <c r="V19" s="12">
        <v>34.024999999999999</v>
      </c>
      <c r="W19" s="12">
        <v>4.9914917000000001</v>
      </c>
      <c r="X19" s="7" t="s">
        <v>107</v>
      </c>
      <c r="Y19" s="7" t="s">
        <v>107</v>
      </c>
      <c r="Z19" s="12">
        <v>-5.1830556000000003</v>
      </c>
      <c r="AA19" s="12">
        <v>50.052199199999997</v>
      </c>
      <c r="AB19" s="12">
        <v>18.295734800000002</v>
      </c>
      <c r="AC19" s="12">
        <v>31.2430968</v>
      </c>
      <c r="AD19" s="12">
        <v>47.8145946</v>
      </c>
      <c r="AE19" s="12">
        <v>47.405625399999998</v>
      </c>
      <c r="AF19" s="12">
        <v>9.8726368999999998</v>
      </c>
      <c r="AG19" s="12">
        <v>21.7257319</v>
      </c>
    </row>
    <row r="20" spans="1:33" s="11" customFormat="1" hidden="1" outlineLevel="1" x14ac:dyDescent="0.3">
      <c r="A20" s="11" t="s">
        <v>26</v>
      </c>
      <c r="B20" s="12">
        <v>1.4300580000000001</v>
      </c>
      <c r="C20" s="12">
        <v>76.746666700000006</v>
      </c>
      <c r="D20" s="12">
        <v>1.9212041</v>
      </c>
      <c r="E20" s="17">
        <v>3.4166666999999999</v>
      </c>
      <c r="F20" s="13">
        <v>19.350000000000001</v>
      </c>
      <c r="G20" s="12">
        <v>24.945443099999999</v>
      </c>
      <c r="H20" s="12">
        <v>5.2739317999999997</v>
      </c>
      <c r="I20" s="12">
        <v>-13.3120025</v>
      </c>
      <c r="J20" s="12">
        <v>2.9927888</v>
      </c>
      <c r="K20" s="12">
        <v>3.4113623</v>
      </c>
      <c r="L20" s="12">
        <v>4.2590764999999999</v>
      </c>
      <c r="M20" s="12">
        <v>6.8517447999999996</v>
      </c>
      <c r="N20" s="12">
        <v>4.7335830000000003</v>
      </c>
      <c r="O20" s="12">
        <v>7.4997227999999998</v>
      </c>
      <c r="P20" s="7">
        <v>4764.8</v>
      </c>
      <c r="Q20" s="7">
        <v>406</v>
      </c>
      <c r="R20" s="7">
        <v>7.9</v>
      </c>
      <c r="S20" s="12">
        <v>8.0926819000000005</v>
      </c>
      <c r="T20" s="12">
        <v>4.75</v>
      </c>
      <c r="U20" s="12">
        <v>77.5</v>
      </c>
      <c r="V20" s="12">
        <v>33.124000000000002</v>
      </c>
      <c r="W20" s="12">
        <v>3.5660471</v>
      </c>
      <c r="X20" s="7" t="s">
        <v>107</v>
      </c>
      <c r="Y20" s="7" t="s">
        <v>107</v>
      </c>
      <c r="Z20" s="12">
        <v>-4.2768071000000001</v>
      </c>
      <c r="AA20" s="12">
        <v>49.057636799999997</v>
      </c>
      <c r="AB20" s="12">
        <v>21.151896300000001</v>
      </c>
      <c r="AC20" s="12">
        <v>31.363486300000002</v>
      </c>
      <c r="AD20" s="12">
        <v>47.2275171</v>
      </c>
      <c r="AE20" s="12">
        <v>48.8005365</v>
      </c>
      <c r="AF20" s="12">
        <v>15.6123426</v>
      </c>
      <c r="AG20" s="12">
        <v>22.705947699999999</v>
      </c>
    </row>
    <row r="21" spans="1:33" s="11" customFormat="1" hidden="1" outlineLevel="1" x14ac:dyDescent="0.3">
      <c r="A21" s="11" t="s">
        <v>27</v>
      </c>
      <c r="B21" s="12">
        <v>7.1740499999999999E-2</v>
      </c>
      <c r="C21" s="12">
        <v>77.180000000000007</v>
      </c>
      <c r="D21" s="12">
        <v>2.3697940000000002</v>
      </c>
      <c r="E21" s="17">
        <v>3.25</v>
      </c>
      <c r="F21" s="13">
        <v>21.1333333</v>
      </c>
      <c r="G21" s="12">
        <v>19.5080466</v>
      </c>
      <c r="H21" s="12">
        <v>9.8506833</v>
      </c>
      <c r="I21" s="12">
        <v>-8.7492968999999992</v>
      </c>
      <c r="J21" s="12">
        <v>1.0423159</v>
      </c>
      <c r="K21" s="12">
        <v>3.0633512999999999</v>
      </c>
      <c r="L21" s="12">
        <v>8.6068467000000002</v>
      </c>
      <c r="M21" s="12">
        <v>-7.0665044999999997</v>
      </c>
      <c r="N21" s="12">
        <v>2.5219733999999998</v>
      </c>
      <c r="O21" s="12">
        <v>2.2404126</v>
      </c>
      <c r="P21" s="7">
        <v>4718.7</v>
      </c>
      <c r="Q21" s="7">
        <v>391.9</v>
      </c>
      <c r="R21" s="7">
        <v>7.7</v>
      </c>
      <c r="S21" s="12">
        <v>7.8991724999999997</v>
      </c>
      <c r="T21" s="12">
        <v>4.25</v>
      </c>
      <c r="U21" s="12">
        <v>78.599999999999994</v>
      </c>
      <c r="V21" s="12">
        <v>31.757999999999999</v>
      </c>
      <c r="W21" s="12">
        <v>-1.6154248</v>
      </c>
      <c r="X21" s="7" t="s">
        <v>107</v>
      </c>
      <c r="Y21" s="7" t="s">
        <v>107</v>
      </c>
      <c r="Z21" s="12">
        <v>-3.4831327000000001</v>
      </c>
      <c r="AA21" s="12">
        <v>50.974424800000001</v>
      </c>
      <c r="AB21" s="12">
        <v>19.870733999999999</v>
      </c>
      <c r="AC21" s="12">
        <v>29.062231300000001</v>
      </c>
      <c r="AD21" s="12">
        <v>48.6056788</v>
      </c>
      <c r="AE21" s="12">
        <v>48.513068799999999</v>
      </c>
      <c r="AF21" s="12">
        <v>1.7246971</v>
      </c>
      <c r="AG21" s="12">
        <v>23.1650007</v>
      </c>
    </row>
    <row r="22" spans="1:33" s="11" customFormat="1" hidden="1" outlineLevel="1" x14ac:dyDescent="0.3">
      <c r="A22" s="11" t="s">
        <v>28</v>
      </c>
      <c r="B22" s="12">
        <v>1.2490021</v>
      </c>
      <c r="C22" s="12">
        <v>77.933333300000001</v>
      </c>
      <c r="D22" s="12">
        <v>1.8958379000000001</v>
      </c>
      <c r="E22" s="17">
        <v>3.25</v>
      </c>
      <c r="F22" s="13">
        <v>25.053333299999998</v>
      </c>
      <c r="G22" s="12">
        <v>18.6063315</v>
      </c>
      <c r="H22" s="12">
        <v>8.2662451000000008</v>
      </c>
      <c r="I22" s="12">
        <v>-8.6560474999999997</v>
      </c>
      <c r="J22" s="12">
        <v>1.4530095000000001</v>
      </c>
      <c r="K22" s="12">
        <v>3.1146039000000001</v>
      </c>
      <c r="L22" s="12">
        <v>7.9009717999999998</v>
      </c>
      <c r="M22" s="12">
        <v>-0.25038729999999998</v>
      </c>
      <c r="N22" s="12">
        <v>2.2244196999999999</v>
      </c>
      <c r="O22" s="12">
        <v>5.1470349000000004</v>
      </c>
      <c r="P22" s="7">
        <v>4768.2</v>
      </c>
      <c r="Q22" s="7">
        <v>357.8</v>
      </c>
      <c r="R22" s="7">
        <v>7</v>
      </c>
      <c r="S22" s="12">
        <v>8.3941351999999991</v>
      </c>
      <c r="T22" s="12">
        <v>3.75</v>
      </c>
      <c r="U22" s="12">
        <v>78.466666700000005</v>
      </c>
      <c r="V22" s="12">
        <v>30.396000000000001</v>
      </c>
      <c r="W22" s="12">
        <v>0.50812999999999997</v>
      </c>
      <c r="X22" s="7" t="s">
        <v>107</v>
      </c>
      <c r="Y22" s="7" t="s">
        <v>107</v>
      </c>
      <c r="Z22" s="12">
        <v>-3.7335631</v>
      </c>
      <c r="AA22" s="12">
        <v>48.767431199999997</v>
      </c>
      <c r="AB22" s="12">
        <v>20.567351899999998</v>
      </c>
      <c r="AC22" s="12">
        <v>30.505929200000001</v>
      </c>
      <c r="AD22" s="12">
        <v>45.402700799999998</v>
      </c>
      <c r="AE22" s="12">
        <v>45.243413199999999</v>
      </c>
      <c r="AF22" s="12">
        <v>3.3956298999999999</v>
      </c>
      <c r="AG22" s="12">
        <v>24.101424699999999</v>
      </c>
    </row>
    <row r="23" spans="1:33" s="11" customFormat="1" hidden="1" outlineLevel="1" x14ac:dyDescent="0.3">
      <c r="A23" s="11" t="s">
        <v>29</v>
      </c>
      <c r="B23" s="12">
        <v>1.6677649999999999</v>
      </c>
      <c r="C23" s="12">
        <v>77.973333299999993</v>
      </c>
      <c r="D23" s="12">
        <v>1.9037246000000001</v>
      </c>
      <c r="E23" s="17">
        <v>3.25</v>
      </c>
      <c r="F23" s="13">
        <v>26.93</v>
      </c>
      <c r="G23" s="12">
        <v>11.187351100000001</v>
      </c>
      <c r="H23" s="12">
        <v>4.1606345999999998</v>
      </c>
      <c r="I23" s="12">
        <v>-2.5098235999999998</v>
      </c>
      <c r="J23" s="12">
        <v>2.3824844999999999</v>
      </c>
      <c r="K23" s="12">
        <v>2.8932926000000001</v>
      </c>
      <c r="L23" s="12">
        <v>10.020085399999999</v>
      </c>
      <c r="M23" s="12">
        <v>8.8278502000000003</v>
      </c>
      <c r="N23" s="12">
        <v>-0.41897719999999999</v>
      </c>
      <c r="O23" s="12">
        <v>7.1762258000000001</v>
      </c>
      <c r="P23" s="7">
        <v>4781.1000000000004</v>
      </c>
      <c r="Q23" s="7">
        <v>371.9</v>
      </c>
      <c r="R23" s="7">
        <v>7.2</v>
      </c>
      <c r="S23" s="12">
        <v>8.1532903999999995</v>
      </c>
      <c r="T23" s="12">
        <v>3</v>
      </c>
      <c r="U23" s="12">
        <v>78.266666700000002</v>
      </c>
      <c r="V23" s="12">
        <v>30.237666699999998</v>
      </c>
      <c r="W23" s="12">
        <v>4.4840627</v>
      </c>
      <c r="X23" s="7" t="s">
        <v>107</v>
      </c>
      <c r="Y23" s="7" t="s">
        <v>107</v>
      </c>
      <c r="Z23" s="12">
        <v>-6.5626496999999997</v>
      </c>
      <c r="AA23" s="12">
        <v>49.671140600000001</v>
      </c>
      <c r="AB23" s="12">
        <v>19.797540000000001</v>
      </c>
      <c r="AC23" s="12">
        <v>32.137687900000003</v>
      </c>
      <c r="AD23" s="12">
        <v>42.240923299999999</v>
      </c>
      <c r="AE23" s="12">
        <v>43.847291800000001</v>
      </c>
      <c r="AF23" s="12">
        <v>28.537626899999999</v>
      </c>
      <c r="AG23" s="12">
        <v>26.198800299999998</v>
      </c>
    </row>
    <row r="24" spans="1:33" s="11" customFormat="1" hidden="1" outlineLevel="1" x14ac:dyDescent="0.3">
      <c r="A24" s="11" t="s">
        <v>30</v>
      </c>
      <c r="B24" s="12">
        <v>1.208337</v>
      </c>
      <c r="C24" s="12">
        <v>78.4033333</v>
      </c>
      <c r="D24" s="12">
        <v>2.158617</v>
      </c>
      <c r="E24" s="17">
        <v>3.0833333000000001</v>
      </c>
      <c r="F24" s="13">
        <v>26.736666700000001</v>
      </c>
      <c r="G24" s="12">
        <v>-11.1686152</v>
      </c>
      <c r="H24" s="12">
        <v>4.2963627000000004</v>
      </c>
      <c r="I24" s="12">
        <v>-5.7706739000000002</v>
      </c>
      <c r="J24" s="12">
        <v>1.3654808000000001</v>
      </c>
      <c r="K24" s="12">
        <v>3.3750756000000002</v>
      </c>
      <c r="L24" s="12">
        <v>6.7274447999999998</v>
      </c>
      <c r="M24" s="12">
        <v>3.7834913000000001</v>
      </c>
      <c r="N24" s="12">
        <v>-0.5346706</v>
      </c>
      <c r="O24" s="12">
        <v>5.3397930000000002</v>
      </c>
      <c r="P24" s="7">
        <v>4791.7</v>
      </c>
      <c r="Q24" s="7">
        <v>374.9</v>
      </c>
      <c r="R24" s="7">
        <v>7.3</v>
      </c>
      <c r="S24" s="12">
        <v>7.7005280000000003</v>
      </c>
      <c r="T24" s="12">
        <v>2.75</v>
      </c>
      <c r="U24" s="12">
        <v>77.633333300000004</v>
      </c>
      <c r="V24" s="12">
        <v>30.868666699999999</v>
      </c>
      <c r="W24" s="12">
        <v>4.8011638999999997</v>
      </c>
      <c r="X24" s="7" t="s">
        <v>107</v>
      </c>
      <c r="Y24" s="7" t="s">
        <v>107</v>
      </c>
      <c r="Z24" s="12">
        <v>-6.2909445000000002</v>
      </c>
      <c r="AA24" s="12">
        <v>49.709917099999998</v>
      </c>
      <c r="AB24" s="12">
        <v>23.4229497</v>
      </c>
      <c r="AC24" s="12">
        <v>30.604526499999999</v>
      </c>
      <c r="AD24" s="12">
        <v>44.153998299999998</v>
      </c>
      <c r="AE24" s="12">
        <v>47.891391599999999</v>
      </c>
      <c r="AF24" s="12">
        <v>26.733265299999999</v>
      </c>
      <c r="AG24" s="12">
        <v>25.831945399999999</v>
      </c>
    </row>
    <row r="25" spans="1:33" s="11" customFormat="1" hidden="1" outlineLevel="1" x14ac:dyDescent="0.3">
      <c r="A25" s="11" t="s">
        <v>31</v>
      </c>
      <c r="B25" s="12">
        <v>1.0748135000000001</v>
      </c>
      <c r="C25" s="12">
        <v>78.856666700000005</v>
      </c>
      <c r="D25" s="12">
        <v>2.1724109</v>
      </c>
      <c r="E25" s="17">
        <v>2.6666666999999999</v>
      </c>
      <c r="F25" s="13">
        <v>31.52</v>
      </c>
      <c r="G25" s="12">
        <v>35.364148100000001</v>
      </c>
      <c r="H25" s="12">
        <v>47.780979799999997</v>
      </c>
      <c r="I25" s="12">
        <v>-6.9074568999999997</v>
      </c>
      <c r="J25" s="12">
        <v>2.9391723999999999</v>
      </c>
      <c r="K25" s="12">
        <v>4.9224788000000004</v>
      </c>
      <c r="L25" s="12">
        <v>6.0275873999999998</v>
      </c>
      <c r="M25" s="12">
        <v>4.3628899999999998E-2</v>
      </c>
      <c r="N25" s="12">
        <v>2.4333282000000001</v>
      </c>
      <c r="O25" s="12">
        <v>4.0129142</v>
      </c>
      <c r="P25" s="7">
        <v>4739.8999999999996</v>
      </c>
      <c r="Q25" s="7">
        <v>388.3</v>
      </c>
      <c r="R25" s="7">
        <v>7.6</v>
      </c>
      <c r="S25" s="12">
        <v>6.4119861</v>
      </c>
      <c r="T25" s="12">
        <v>2.5</v>
      </c>
      <c r="U25" s="12">
        <v>78.099999999999994</v>
      </c>
      <c r="V25" s="12">
        <v>31.626999999999999</v>
      </c>
      <c r="W25" s="12">
        <v>3.9724575999999998</v>
      </c>
      <c r="X25" s="7" t="s">
        <v>107</v>
      </c>
      <c r="Y25" s="7" t="s">
        <v>107</v>
      </c>
      <c r="Z25" s="12">
        <v>-1.0562341</v>
      </c>
      <c r="AA25" s="12">
        <v>50.8221293</v>
      </c>
      <c r="AB25" s="12">
        <v>21.123499599999999</v>
      </c>
      <c r="AC25" s="12">
        <v>28.46274</v>
      </c>
      <c r="AD25" s="12">
        <v>48.111582800000001</v>
      </c>
      <c r="AE25" s="12">
        <v>48.5199517</v>
      </c>
      <c r="AF25" s="12">
        <v>28.533381200000001</v>
      </c>
      <c r="AG25" s="12">
        <v>27.5671766</v>
      </c>
    </row>
    <row r="26" spans="1:33" s="11" customFormat="1" hidden="1" outlineLevel="1" x14ac:dyDescent="0.3">
      <c r="A26" s="11" t="s">
        <v>32</v>
      </c>
      <c r="B26" s="12">
        <v>0.33264589999999999</v>
      </c>
      <c r="C26" s="12">
        <v>79.37</v>
      </c>
      <c r="D26" s="12">
        <v>1.843456</v>
      </c>
      <c r="E26" s="17">
        <v>2.3333333000000001</v>
      </c>
      <c r="F26" s="13">
        <v>26.17</v>
      </c>
      <c r="G26" s="12">
        <v>-0.40130880000000002</v>
      </c>
      <c r="H26" s="12">
        <v>9.8974767999999997</v>
      </c>
      <c r="I26" s="12">
        <v>-4.4961092000000002</v>
      </c>
      <c r="J26" s="12">
        <v>3.4841869000000001</v>
      </c>
      <c r="K26" s="12">
        <v>5.2089252999999998</v>
      </c>
      <c r="L26" s="12">
        <v>5.0290436999999999</v>
      </c>
      <c r="M26" s="12">
        <v>3.7069423000000001</v>
      </c>
      <c r="N26" s="12">
        <v>4.7621162000000004</v>
      </c>
      <c r="O26" s="12">
        <v>7.1532327000000002</v>
      </c>
      <c r="P26" s="7">
        <v>4740</v>
      </c>
      <c r="Q26" s="7">
        <v>384.7</v>
      </c>
      <c r="R26" s="7">
        <v>7.5</v>
      </c>
      <c r="S26" s="12">
        <v>5.9619206</v>
      </c>
      <c r="T26" s="12">
        <v>2.25</v>
      </c>
      <c r="U26" s="12">
        <v>78.3</v>
      </c>
      <c r="V26" s="12">
        <v>31.472333299999999</v>
      </c>
      <c r="W26" s="12">
        <v>3.0333670000000001</v>
      </c>
      <c r="X26" s="7" t="s">
        <v>107</v>
      </c>
      <c r="Y26" s="7" t="s">
        <v>107</v>
      </c>
      <c r="Z26" s="12">
        <v>-5.3646225000000003</v>
      </c>
      <c r="AA26" s="12">
        <v>49.189461600000001</v>
      </c>
      <c r="AB26" s="12">
        <v>21.753904899999998</v>
      </c>
      <c r="AC26" s="12">
        <v>29.796084400000002</v>
      </c>
      <c r="AD26" s="12">
        <v>46.347368799999998</v>
      </c>
      <c r="AE26" s="12">
        <v>47.0868197</v>
      </c>
      <c r="AF26" s="12">
        <v>28.245190300000001</v>
      </c>
      <c r="AG26" s="12">
        <v>27.977596200000001</v>
      </c>
    </row>
    <row r="27" spans="1:33" s="11" customFormat="1" hidden="1" outlineLevel="1" x14ac:dyDescent="0.3">
      <c r="A27" s="11" t="s">
        <v>33</v>
      </c>
      <c r="B27" s="12">
        <v>0.71308099999999996</v>
      </c>
      <c r="C27" s="12">
        <v>79.47</v>
      </c>
      <c r="D27" s="12">
        <v>1.9194597</v>
      </c>
      <c r="E27" s="17">
        <v>2</v>
      </c>
      <c r="F27" s="13">
        <v>28.45</v>
      </c>
      <c r="G27" s="12">
        <v>17.1792832</v>
      </c>
      <c r="H27" s="12">
        <v>2.9495958</v>
      </c>
      <c r="I27" s="12">
        <v>-8.0376995999999998</v>
      </c>
      <c r="J27" s="12">
        <v>4.0301444000000002</v>
      </c>
      <c r="K27" s="12">
        <v>6.2636814000000003</v>
      </c>
      <c r="L27" s="12">
        <v>2.7091101000000002</v>
      </c>
      <c r="M27" s="12">
        <v>0.84037649999999997</v>
      </c>
      <c r="N27" s="12">
        <v>11.953966100000001</v>
      </c>
      <c r="O27" s="12">
        <v>10.900476899999999</v>
      </c>
      <c r="P27" s="7">
        <v>4727.8</v>
      </c>
      <c r="Q27" s="7">
        <v>409.1</v>
      </c>
      <c r="R27" s="7">
        <v>8</v>
      </c>
      <c r="S27" s="12">
        <v>5.3707099999999999</v>
      </c>
      <c r="T27" s="12">
        <v>2</v>
      </c>
      <c r="U27" s="12">
        <v>78.133333300000004</v>
      </c>
      <c r="V27" s="12">
        <v>32.173999999999999</v>
      </c>
      <c r="W27" s="12">
        <v>4.8603928999999999</v>
      </c>
      <c r="X27" s="7" t="s">
        <v>107</v>
      </c>
      <c r="Y27" s="7" t="s">
        <v>107</v>
      </c>
      <c r="Z27" s="12">
        <v>-6.8599379000000003</v>
      </c>
      <c r="AA27" s="12">
        <v>50.233232800000003</v>
      </c>
      <c r="AB27" s="12">
        <v>20.220113000000001</v>
      </c>
      <c r="AC27" s="12">
        <v>30.720784200000001</v>
      </c>
      <c r="AD27" s="12">
        <v>45.622053399999999</v>
      </c>
      <c r="AE27" s="12">
        <v>46.796183499999998</v>
      </c>
      <c r="AF27" s="12">
        <v>28.629414400000002</v>
      </c>
      <c r="AG27" s="12">
        <v>28.3245474</v>
      </c>
    </row>
    <row r="28" spans="1:33" s="11" customFormat="1" hidden="1" outlineLevel="1" x14ac:dyDescent="0.3">
      <c r="A28" s="11" t="s">
        <v>34</v>
      </c>
      <c r="B28" s="12">
        <v>1.3127310999999999</v>
      </c>
      <c r="C28" s="12">
        <v>79.913333300000005</v>
      </c>
      <c r="D28" s="12">
        <v>1.9259385</v>
      </c>
      <c r="E28" s="17">
        <v>2</v>
      </c>
      <c r="F28" s="13">
        <v>29.39</v>
      </c>
      <c r="G28" s="12">
        <v>11.8733202</v>
      </c>
      <c r="H28" s="12">
        <v>7.0272614000000004</v>
      </c>
      <c r="I28" s="12">
        <v>-7.9283798000000001</v>
      </c>
      <c r="J28" s="12">
        <v>3.8181829</v>
      </c>
      <c r="K28" s="12">
        <v>4.2533450000000004</v>
      </c>
      <c r="L28" s="12">
        <v>10.273346</v>
      </c>
      <c r="M28" s="12">
        <v>-2.1847306</v>
      </c>
      <c r="N28" s="12">
        <v>15.9019251</v>
      </c>
      <c r="O28" s="12">
        <v>14.9667514</v>
      </c>
      <c r="P28" s="7">
        <v>4724.8999999999996</v>
      </c>
      <c r="Q28" s="7">
        <v>414.5</v>
      </c>
      <c r="R28" s="7">
        <v>8.1</v>
      </c>
      <c r="S28" s="12">
        <v>5.6207319</v>
      </c>
      <c r="T28" s="12">
        <v>2</v>
      </c>
      <c r="U28" s="12">
        <v>78.2</v>
      </c>
      <c r="V28" s="12">
        <v>32.097333300000003</v>
      </c>
      <c r="W28" s="12">
        <v>2.8227673000000002</v>
      </c>
      <c r="X28" s="7" t="s">
        <v>107</v>
      </c>
      <c r="Y28" s="7" t="s">
        <v>107</v>
      </c>
      <c r="Z28" s="12">
        <v>-8.9144720999999993</v>
      </c>
      <c r="AA28" s="12">
        <v>49.466298100000003</v>
      </c>
      <c r="AB28" s="12">
        <v>24.4268483</v>
      </c>
      <c r="AC28" s="12">
        <v>29.673175799999999</v>
      </c>
      <c r="AD28" s="12">
        <v>46.9579466</v>
      </c>
      <c r="AE28" s="12">
        <v>50.524268900000003</v>
      </c>
      <c r="AF28" s="12">
        <v>30.868303099999999</v>
      </c>
      <c r="AG28" s="12">
        <v>28.158438700000001</v>
      </c>
    </row>
    <row r="29" spans="1:33" s="11" customFormat="1" hidden="1" outlineLevel="1" x14ac:dyDescent="0.3">
      <c r="A29" s="11" t="s">
        <v>35</v>
      </c>
      <c r="B29" s="12">
        <v>2.4350660999999998</v>
      </c>
      <c r="C29" s="12">
        <v>80.113333299999994</v>
      </c>
      <c r="D29" s="12">
        <v>1.5936086</v>
      </c>
      <c r="E29" s="17">
        <v>2</v>
      </c>
      <c r="F29" s="13">
        <v>31.923333299999999</v>
      </c>
      <c r="G29" s="12">
        <v>-24.622934699999998</v>
      </c>
      <c r="H29" s="12">
        <v>-17.270304400000001</v>
      </c>
      <c r="I29" s="12">
        <v>-1.2717909000000001</v>
      </c>
      <c r="J29" s="12">
        <v>4.4050843999999998</v>
      </c>
      <c r="K29" s="12">
        <v>2.3133968</v>
      </c>
      <c r="L29" s="12">
        <v>-2.0387168999999998</v>
      </c>
      <c r="M29" s="12">
        <v>11.2994266</v>
      </c>
      <c r="N29" s="12">
        <v>16.397464100000001</v>
      </c>
      <c r="O29" s="12">
        <v>15.127601800000001</v>
      </c>
      <c r="P29" s="7">
        <v>4675.8999999999996</v>
      </c>
      <c r="Q29" s="7">
        <v>443.8</v>
      </c>
      <c r="R29" s="7">
        <v>8.6999999999999993</v>
      </c>
      <c r="S29" s="12">
        <v>8.3077538999999998</v>
      </c>
      <c r="T29" s="12">
        <v>2</v>
      </c>
      <c r="U29" s="12">
        <v>79.7</v>
      </c>
      <c r="V29" s="12">
        <v>32.855333299999998</v>
      </c>
      <c r="W29" s="12">
        <v>11.258278199999999</v>
      </c>
      <c r="X29" s="7" t="s">
        <v>107</v>
      </c>
      <c r="Y29" s="7" t="s">
        <v>107</v>
      </c>
      <c r="Z29" s="12">
        <v>-1.8649800000000001</v>
      </c>
      <c r="AA29" s="12">
        <v>49.717395600000003</v>
      </c>
      <c r="AB29" s="12">
        <v>20.056349699999998</v>
      </c>
      <c r="AC29" s="12">
        <v>29.2557562</v>
      </c>
      <c r="AD29" s="12">
        <v>50.7385375</v>
      </c>
      <c r="AE29" s="12">
        <v>49.768039000000002</v>
      </c>
      <c r="AF29" s="12">
        <v>29.2997604</v>
      </c>
      <c r="AG29" s="12">
        <v>27.775625300000002</v>
      </c>
    </row>
    <row r="30" spans="1:33" s="11" customFormat="1" hidden="1" outlineLevel="1" x14ac:dyDescent="0.3">
      <c r="A30" s="11" t="s">
        <v>36</v>
      </c>
      <c r="B30" s="12">
        <v>2.9592486</v>
      </c>
      <c r="C30" s="12">
        <v>81.069999999999993</v>
      </c>
      <c r="D30" s="12">
        <v>2.1418672000000001</v>
      </c>
      <c r="E30" s="17">
        <v>2</v>
      </c>
      <c r="F30" s="13">
        <v>35.446666700000002</v>
      </c>
      <c r="G30" s="12">
        <v>9.5138406999999994</v>
      </c>
      <c r="H30" s="12">
        <v>9.2567661999999995</v>
      </c>
      <c r="I30" s="12">
        <v>-4.6905969000000001</v>
      </c>
      <c r="J30" s="12">
        <v>4.7856620000000003</v>
      </c>
      <c r="K30" s="12">
        <v>2.2609758000000002</v>
      </c>
      <c r="L30" s="12">
        <v>1.940404</v>
      </c>
      <c r="M30" s="12">
        <v>8.0767827000000008</v>
      </c>
      <c r="N30" s="12">
        <v>38.626951200000001</v>
      </c>
      <c r="O30" s="12">
        <v>36.1062054</v>
      </c>
      <c r="P30" s="7">
        <v>4700.6000000000004</v>
      </c>
      <c r="Q30" s="7">
        <v>419.1</v>
      </c>
      <c r="R30" s="7">
        <v>8.1999999999999993</v>
      </c>
      <c r="S30" s="12">
        <v>4.1986810999999999</v>
      </c>
      <c r="T30" s="12">
        <v>2.25</v>
      </c>
      <c r="U30" s="12">
        <v>80.233333299999998</v>
      </c>
      <c r="V30" s="12">
        <v>32.036333300000003</v>
      </c>
      <c r="W30" s="12">
        <v>13.346418099999999</v>
      </c>
      <c r="X30" s="7" t="s">
        <v>107</v>
      </c>
      <c r="Y30" s="7" t="s">
        <v>107</v>
      </c>
      <c r="Z30" s="12">
        <v>-5.4200876999999998</v>
      </c>
      <c r="AA30" s="12">
        <v>48.4687129</v>
      </c>
      <c r="AB30" s="12">
        <v>20.866404899999999</v>
      </c>
      <c r="AC30" s="12">
        <v>30.617203799999999</v>
      </c>
      <c r="AD30" s="12">
        <v>60.663581800000003</v>
      </c>
      <c r="AE30" s="12">
        <v>60.615903500000002</v>
      </c>
      <c r="AF30" s="12">
        <v>32.779502399999998</v>
      </c>
      <c r="AG30" s="12">
        <v>29.137924099999999</v>
      </c>
    </row>
    <row r="31" spans="1:33" s="11" customFormat="1" hidden="1" outlineLevel="1" x14ac:dyDescent="0.3">
      <c r="A31" s="11" t="s">
        <v>37</v>
      </c>
      <c r="B31" s="12">
        <v>2.4141233999999998</v>
      </c>
      <c r="C31" s="12">
        <v>81.156666700000002</v>
      </c>
      <c r="D31" s="12">
        <v>2.1223942</v>
      </c>
      <c r="E31" s="17">
        <v>2</v>
      </c>
      <c r="F31" s="13">
        <v>41.386666699999999</v>
      </c>
      <c r="G31" s="12">
        <v>-10.738149699999999</v>
      </c>
      <c r="H31" s="12">
        <v>13.9237172</v>
      </c>
      <c r="I31" s="12">
        <v>1.9982755000000001</v>
      </c>
      <c r="J31" s="12">
        <v>3.7155250999999998</v>
      </c>
      <c r="K31" s="12">
        <v>2.2873353000000001</v>
      </c>
      <c r="L31" s="12">
        <v>-1.5511482999999999</v>
      </c>
      <c r="M31" s="12">
        <v>3.0693391999999999</v>
      </c>
      <c r="N31" s="12">
        <v>32.930731100000003</v>
      </c>
      <c r="O31" s="12">
        <v>27.798421099999999</v>
      </c>
      <c r="P31" s="7">
        <v>4717.3999999999996</v>
      </c>
      <c r="Q31" s="7">
        <v>420.4</v>
      </c>
      <c r="R31" s="7">
        <v>8.1999999999999993</v>
      </c>
      <c r="S31" s="12">
        <v>6.8498260000000002</v>
      </c>
      <c r="T31" s="12">
        <v>2.5</v>
      </c>
      <c r="U31" s="12">
        <v>80.5</v>
      </c>
      <c r="V31" s="12">
        <v>31.593333300000001</v>
      </c>
      <c r="W31" s="12">
        <v>8.2347140999999997</v>
      </c>
      <c r="X31" s="7" t="s">
        <v>107</v>
      </c>
      <c r="Y31" s="7" t="s">
        <v>107</v>
      </c>
      <c r="Z31" s="12">
        <v>-7.5099814</v>
      </c>
      <c r="AA31" s="12">
        <v>49.452713000000003</v>
      </c>
      <c r="AB31" s="12">
        <v>19.258923800000002</v>
      </c>
      <c r="AC31" s="12">
        <v>30.316986400000001</v>
      </c>
      <c r="AD31" s="12">
        <v>57.844446699999999</v>
      </c>
      <c r="AE31" s="12">
        <v>56.873069800000003</v>
      </c>
      <c r="AF31" s="12">
        <v>33.053174400000003</v>
      </c>
      <c r="AG31" s="12">
        <v>28.904227599999999</v>
      </c>
    </row>
    <row r="32" spans="1:33" s="11" customFormat="1" hidden="1" outlineLevel="1" x14ac:dyDescent="0.3">
      <c r="A32" s="11" t="s">
        <v>38</v>
      </c>
      <c r="B32" s="12">
        <v>2.308249</v>
      </c>
      <c r="C32" s="12">
        <v>81.663333300000005</v>
      </c>
      <c r="D32" s="12">
        <v>2.1898724000000001</v>
      </c>
      <c r="E32" s="17">
        <v>2</v>
      </c>
      <c r="F32" s="13">
        <v>44.163333299999998</v>
      </c>
      <c r="G32" s="12">
        <v>4.5531743999999996</v>
      </c>
      <c r="H32" s="12">
        <v>10.480598499999999</v>
      </c>
      <c r="I32" s="12">
        <v>-5.262931</v>
      </c>
      <c r="J32" s="12">
        <v>6.2878702000000004</v>
      </c>
      <c r="K32" s="12">
        <v>4.2050926000000004</v>
      </c>
      <c r="L32" s="12">
        <v>-4.9008859999999999</v>
      </c>
      <c r="M32" s="12">
        <v>8.5368217000000008</v>
      </c>
      <c r="N32" s="12">
        <v>29.9411658</v>
      </c>
      <c r="O32" s="12">
        <v>22.9546013</v>
      </c>
      <c r="P32" s="7">
        <v>4732.7</v>
      </c>
      <c r="Q32" s="7">
        <v>420.2</v>
      </c>
      <c r="R32" s="7">
        <v>8.1999999999999993</v>
      </c>
      <c r="S32" s="12">
        <v>6.0068523000000003</v>
      </c>
      <c r="T32" s="12">
        <v>2.5</v>
      </c>
      <c r="U32" s="12">
        <v>80.400000000000006</v>
      </c>
      <c r="V32" s="12">
        <v>31.1376667</v>
      </c>
      <c r="W32" s="12">
        <v>9.0008999999999997</v>
      </c>
      <c r="X32" s="7" t="s">
        <v>107</v>
      </c>
      <c r="Y32" s="7" t="s">
        <v>107</v>
      </c>
      <c r="Z32" s="12">
        <v>-4.1248462000000004</v>
      </c>
      <c r="AA32" s="12">
        <v>47.344707900000003</v>
      </c>
      <c r="AB32" s="12">
        <v>22.253951099999998</v>
      </c>
      <c r="AC32" s="12">
        <v>29.857878400000001</v>
      </c>
      <c r="AD32" s="12">
        <v>58.338481799999997</v>
      </c>
      <c r="AE32" s="12">
        <v>57.795019199999999</v>
      </c>
      <c r="AF32" s="12">
        <v>32.128077300000001</v>
      </c>
      <c r="AG32" s="12">
        <v>28.367466</v>
      </c>
    </row>
    <row r="33" spans="1:33" s="11" customFormat="1" hidden="1" outlineLevel="1" x14ac:dyDescent="0.3">
      <c r="A33" s="11" t="s">
        <v>39</v>
      </c>
      <c r="B33" s="12">
        <v>1.1277817999999999</v>
      </c>
      <c r="C33" s="12">
        <v>81.773333300000004</v>
      </c>
      <c r="D33" s="12">
        <v>2.0720646</v>
      </c>
      <c r="E33" s="17">
        <v>2</v>
      </c>
      <c r="F33" s="13">
        <v>47.696666700000002</v>
      </c>
      <c r="G33" s="12">
        <v>8.4835521000000007</v>
      </c>
      <c r="H33" s="12">
        <v>6.3218534000000002</v>
      </c>
      <c r="I33" s="12">
        <v>-2.0789702000000001</v>
      </c>
      <c r="J33" s="12">
        <v>6.2654360999999996</v>
      </c>
      <c r="K33" s="12">
        <v>3.2969547000000001</v>
      </c>
      <c r="L33" s="12">
        <v>0.35799520000000001</v>
      </c>
      <c r="M33" s="12">
        <v>3.4685427</v>
      </c>
      <c r="N33" s="12">
        <v>26.018094600000001</v>
      </c>
      <c r="O33" s="12">
        <v>19.489093199999999</v>
      </c>
      <c r="P33" s="7">
        <v>4704.5</v>
      </c>
      <c r="Q33" s="7">
        <v>429.1</v>
      </c>
      <c r="R33" s="7">
        <v>8.4</v>
      </c>
      <c r="S33" s="12">
        <v>5.1506376999999999</v>
      </c>
      <c r="T33" s="12">
        <v>2.25</v>
      </c>
      <c r="U33" s="12">
        <v>80.8</v>
      </c>
      <c r="V33" s="12">
        <v>30.010666700000002</v>
      </c>
      <c r="W33" s="12">
        <v>1.6025640999999999</v>
      </c>
      <c r="X33" s="7" t="s">
        <v>107</v>
      </c>
      <c r="Y33" s="7" t="s">
        <v>107</v>
      </c>
      <c r="Z33" s="12">
        <v>3.598093</v>
      </c>
      <c r="AA33" s="12">
        <v>48.107851500000002</v>
      </c>
      <c r="AB33" s="12">
        <v>19.701429000000001</v>
      </c>
      <c r="AC33" s="12">
        <v>28.113959900000001</v>
      </c>
      <c r="AD33" s="12">
        <v>59.861490099999997</v>
      </c>
      <c r="AE33" s="12">
        <v>55.784730600000003</v>
      </c>
      <c r="AF33" s="12">
        <v>32.6618359</v>
      </c>
      <c r="AG33" s="12">
        <v>27.082625100000001</v>
      </c>
    </row>
    <row r="34" spans="1:33" s="11" customFormat="1" hidden="1" outlineLevel="1" x14ac:dyDescent="0.3">
      <c r="A34" s="11" t="s">
        <v>40</v>
      </c>
      <c r="B34" s="12">
        <v>2.2042253999999999</v>
      </c>
      <c r="C34" s="12">
        <v>82.71</v>
      </c>
      <c r="D34" s="12">
        <v>2.0229431</v>
      </c>
      <c r="E34" s="17">
        <v>2</v>
      </c>
      <c r="F34" s="13">
        <v>51.626666700000001</v>
      </c>
      <c r="G34" s="12">
        <v>7.5501791000000003</v>
      </c>
      <c r="H34" s="12">
        <v>6.2962867999999999</v>
      </c>
      <c r="I34" s="12">
        <v>-5.1438392999999998</v>
      </c>
      <c r="J34" s="12">
        <v>7.0449454999999999</v>
      </c>
      <c r="K34" s="12">
        <v>3.7781679000000001</v>
      </c>
      <c r="L34" s="12">
        <v>0.3195074</v>
      </c>
      <c r="M34" s="12">
        <v>3.9760751999999999</v>
      </c>
      <c r="N34" s="12">
        <v>14.2603192</v>
      </c>
      <c r="O34" s="12">
        <v>7.8944462</v>
      </c>
      <c r="P34" s="7">
        <v>4750.7</v>
      </c>
      <c r="Q34" s="7">
        <v>402.1</v>
      </c>
      <c r="R34" s="7">
        <v>7.8</v>
      </c>
      <c r="S34" s="12">
        <v>5.1617024000000002</v>
      </c>
      <c r="T34" s="12">
        <v>1.75</v>
      </c>
      <c r="U34" s="12">
        <v>81.166666699999993</v>
      </c>
      <c r="V34" s="12">
        <v>30.129333299999999</v>
      </c>
      <c r="W34" s="12">
        <v>4.2424242999999997</v>
      </c>
      <c r="X34" s="7" t="s">
        <v>107</v>
      </c>
      <c r="Y34" s="7" t="s">
        <v>107</v>
      </c>
      <c r="Z34" s="12">
        <v>-3.0402040000000001</v>
      </c>
      <c r="AA34" s="12">
        <v>47.011380299999999</v>
      </c>
      <c r="AB34" s="12">
        <v>19.920404000000001</v>
      </c>
      <c r="AC34" s="12">
        <v>29.963994599999999</v>
      </c>
      <c r="AD34" s="12">
        <v>62.766971300000002</v>
      </c>
      <c r="AE34" s="12">
        <v>59.662750099999997</v>
      </c>
      <c r="AF34" s="12">
        <v>32.330046799999998</v>
      </c>
      <c r="AG34" s="12">
        <v>27.1880244</v>
      </c>
    </row>
    <row r="35" spans="1:33" s="11" customFormat="1" hidden="1" outlineLevel="1" x14ac:dyDescent="0.3">
      <c r="A35" s="11" t="s">
        <v>41</v>
      </c>
      <c r="B35" s="12">
        <v>2.0830310000000001</v>
      </c>
      <c r="C35" s="12">
        <v>83.016666700000002</v>
      </c>
      <c r="D35" s="12">
        <v>2.2918634999999998</v>
      </c>
      <c r="E35" s="17">
        <v>2</v>
      </c>
      <c r="F35" s="13">
        <v>61.47</v>
      </c>
      <c r="G35" s="12">
        <v>9.9248720000000006</v>
      </c>
      <c r="H35" s="12">
        <v>2.3694369000000002</v>
      </c>
      <c r="I35" s="12">
        <v>-0.76675680000000002</v>
      </c>
      <c r="J35" s="12">
        <v>6.6699783999999998</v>
      </c>
      <c r="K35" s="12">
        <v>3.3592753000000002</v>
      </c>
      <c r="L35" s="12">
        <v>3.2411951999999999</v>
      </c>
      <c r="M35" s="12">
        <v>6.0221600999999998</v>
      </c>
      <c r="N35" s="12">
        <v>17.057965599999999</v>
      </c>
      <c r="O35" s="12">
        <v>12.8649893</v>
      </c>
      <c r="P35" s="7">
        <v>4797.2</v>
      </c>
      <c r="Q35" s="7">
        <v>404.6</v>
      </c>
      <c r="R35" s="7">
        <v>7.8</v>
      </c>
      <c r="S35" s="12">
        <v>5.8929609999999997</v>
      </c>
      <c r="T35" s="12">
        <v>1.75</v>
      </c>
      <c r="U35" s="12">
        <v>81.766666700000002</v>
      </c>
      <c r="V35" s="12">
        <v>29.696999999999999</v>
      </c>
      <c r="W35" s="12">
        <v>4.2824600999999998</v>
      </c>
      <c r="X35" s="7" t="s">
        <v>107</v>
      </c>
      <c r="Y35" s="7" t="s">
        <v>107</v>
      </c>
      <c r="Z35" s="12">
        <v>-2.7470618999999998</v>
      </c>
      <c r="AA35" s="12">
        <v>48.704016899999999</v>
      </c>
      <c r="AB35" s="12">
        <v>19.431060599999999</v>
      </c>
      <c r="AC35" s="12">
        <v>30.363738999999999</v>
      </c>
      <c r="AD35" s="12">
        <v>61.021465800000001</v>
      </c>
      <c r="AE35" s="12">
        <v>59.520282399999999</v>
      </c>
      <c r="AF35" s="12">
        <v>32.754133799999998</v>
      </c>
      <c r="AG35" s="12">
        <v>27.294306299999999</v>
      </c>
    </row>
    <row r="36" spans="1:33" s="11" customFormat="1" hidden="1" outlineLevel="1" x14ac:dyDescent="0.3">
      <c r="A36" s="11" t="s">
        <v>42</v>
      </c>
      <c r="B36" s="12">
        <v>2.0666498999999998</v>
      </c>
      <c r="C36" s="12">
        <v>83.51</v>
      </c>
      <c r="D36" s="12">
        <v>2.2613167999999999</v>
      </c>
      <c r="E36" s="17">
        <v>2.0833333000000001</v>
      </c>
      <c r="F36" s="13">
        <v>56.88</v>
      </c>
      <c r="G36" s="12">
        <v>2.3617040999999999</v>
      </c>
      <c r="H36" s="12">
        <v>5.4018376999999997</v>
      </c>
      <c r="I36" s="12">
        <v>-3.9929814000000001</v>
      </c>
      <c r="J36" s="12">
        <v>6.4106888</v>
      </c>
      <c r="K36" s="12">
        <v>3.3767801</v>
      </c>
      <c r="L36" s="12">
        <v>0.55771930000000003</v>
      </c>
      <c r="M36" s="12">
        <v>3.9338006000000001</v>
      </c>
      <c r="N36" s="12">
        <v>16.971698400000001</v>
      </c>
      <c r="O36" s="12">
        <v>11.303144899999999</v>
      </c>
      <c r="P36" s="7">
        <v>4803.7</v>
      </c>
      <c r="Q36" s="7">
        <v>404.8</v>
      </c>
      <c r="R36" s="7">
        <v>7.8</v>
      </c>
      <c r="S36" s="12">
        <v>4.0661002000000002</v>
      </c>
      <c r="T36" s="12">
        <v>2</v>
      </c>
      <c r="U36" s="12">
        <v>82.133333300000004</v>
      </c>
      <c r="V36" s="12">
        <v>29.3043333</v>
      </c>
      <c r="W36" s="12">
        <v>5.2848886000000004</v>
      </c>
      <c r="X36" s="7" t="s">
        <v>107</v>
      </c>
      <c r="Y36" s="7" t="s">
        <v>107</v>
      </c>
      <c r="Z36" s="12">
        <v>-1.1742902</v>
      </c>
      <c r="AA36" s="12">
        <v>47.433018300000001</v>
      </c>
      <c r="AB36" s="12">
        <v>22.055340000000001</v>
      </c>
      <c r="AC36" s="12">
        <v>29.635453200000001</v>
      </c>
      <c r="AD36" s="12">
        <v>63.348999900000003</v>
      </c>
      <c r="AE36" s="12">
        <v>62.472811399999998</v>
      </c>
      <c r="AF36" s="12">
        <v>32.269148000000001</v>
      </c>
      <c r="AG36" s="12">
        <v>27.702176900000001</v>
      </c>
    </row>
    <row r="37" spans="1:33" s="11" customFormat="1" hidden="1" outlineLevel="1" x14ac:dyDescent="0.3">
      <c r="A37" s="11" t="s">
        <v>43</v>
      </c>
      <c r="B37" s="12">
        <v>3.8191847000000001</v>
      </c>
      <c r="C37" s="12">
        <v>83.573333300000002</v>
      </c>
      <c r="D37" s="12">
        <v>2.2012065999999999</v>
      </c>
      <c r="E37" s="17">
        <v>2.3333333000000001</v>
      </c>
      <c r="F37" s="13">
        <v>61.753333300000001</v>
      </c>
      <c r="G37" s="12">
        <v>9.8783747999999996</v>
      </c>
      <c r="H37" s="12">
        <v>7.0712600999999999</v>
      </c>
      <c r="I37" s="12">
        <v>-3.1773025000000001</v>
      </c>
      <c r="J37" s="12">
        <v>7.4506952999999996</v>
      </c>
      <c r="K37" s="12">
        <v>3.632101</v>
      </c>
      <c r="L37" s="12">
        <v>1.2043862999999999</v>
      </c>
      <c r="M37" s="12">
        <v>3.1745416999999998</v>
      </c>
      <c r="N37" s="12">
        <v>24.934251199999999</v>
      </c>
      <c r="O37" s="12">
        <v>18.4850821</v>
      </c>
      <c r="P37" s="7">
        <v>4785.2</v>
      </c>
      <c r="Q37" s="7">
        <v>414.4</v>
      </c>
      <c r="R37" s="7">
        <v>8</v>
      </c>
      <c r="S37" s="12">
        <v>7.0486905000000002</v>
      </c>
      <c r="T37" s="12">
        <v>2</v>
      </c>
      <c r="U37" s="12">
        <v>82.766666700000002</v>
      </c>
      <c r="V37" s="12">
        <v>28.593</v>
      </c>
      <c r="W37" s="12">
        <v>11.536728200000001</v>
      </c>
      <c r="X37" s="7" t="s">
        <v>107</v>
      </c>
      <c r="Y37" s="7" t="s">
        <v>107</v>
      </c>
      <c r="Z37" s="12">
        <v>3.8878414000000001</v>
      </c>
      <c r="AA37" s="12">
        <v>47.701184300000001</v>
      </c>
      <c r="AB37" s="12">
        <v>19.634351200000001</v>
      </c>
      <c r="AC37" s="12">
        <v>27.423663099999999</v>
      </c>
      <c r="AD37" s="12">
        <v>67.500883099999996</v>
      </c>
      <c r="AE37" s="12">
        <v>62.260081700000001</v>
      </c>
      <c r="AF37" s="12">
        <v>33.1167248</v>
      </c>
      <c r="AG37" s="12">
        <v>26.204933</v>
      </c>
    </row>
    <row r="38" spans="1:33" s="11" customFormat="1" hidden="1" outlineLevel="1" x14ac:dyDescent="0.3">
      <c r="A38" s="11" t="s">
        <v>44</v>
      </c>
      <c r="B38" s="12">
        <v>2.9723983</v>
      </c>
      <c r="C38" s="12">
        <v>84.693333300000006</v>
      </c>
      <c r="D38" s="12">
        <v>2.3979365000000001</v>
      </c>
      <c r="E38" s="17">
        <v>2.5833333000000001</v>
      </c>
      <c r="F38" s="13">
        <v>69.533333299999995</v>
      </c>
      <c r="G38" s="12">
        <v>1.7822058000000001</v>
      </c>
      <c r="H38" s="12">
        <v>10.3243315</v>
      </c>
      <c r="I38" s="12">
        <v>-1.6862481</v>
      </c>
      <c r="J38" s="12">
        <v>6.4888455</v>
      </c>
      <c r="K38" s="12">
        <v>3.4919180999999999</v>
      </c>
      <c r="L38" s="12">
        <v>-1.4788752999999999</v>
      </c>
      <c r="M38" s="12">
        <v>10.4193964</v>
      </c>
      <c r="N38" s="12">
        <v>11.8918743</v>
      </c>
      <c r="O38" s="12">
        <v>9.0333462999999998</v>
      </c>
      <c r="P38" s="7">
        <v>4826</v>
      </c>
      <c r="Q38" s="7">
        <v>367</v>
      </c>
      <c r="R38" s="7">
        <v>7.1</v>
      </c>
      <c r="S38" s="12">
        <v>6.5591872999999996</v>
      </c>
      <c r="T38" s="12">
        <v>2</v>
      </c>
      <c r="U38" s="12">
        <v>83.2</v>
      </c>
      <c r="V38" s="12">
        <v>28.385999999999999</v>
      </c>
      <c r="W38" s="12">
        <v>6.4784053000000004</v>
      </c>
      <c r="X38" s="7" t="s">
        <v>107</v>
      </c>
      <c r="Y38" s="7" t="s">
        <v>107</v>
      </c>
      <c r="Z38" s="12">
        <v>-3.4053336999999999</v>
      </c>
      <c r="AA38" s="12">
        <v>46.707689899999998</v>
      </c>
      <c r="AB38" s="12">
        <v>19.652386100000001</v>
      </c>
      <c r="AC38" s="12">
        <v>31.161174599999999</v>
      </c>
      <c r="AD38" s="12">
        <v>64.592101</v>
      </c>
      <c r="AE38" s="12">
        <v>62.113351799999997</v>
      </c>
      <c r="AF38" s="12">
        <v>31.7517353</v>
      </c>
      <c r="AG38" s="12">
        <v>26.669774499999999</v>
      </c>
    </row>
    <row r="39" spans="1:33" s="11" customFormat="1" hidden="1" outlineLevel="1" x14ac:dyDescent="0.3">
      <c r="A39" s="11" t="s">
        <v>45</v>
      </c>
      <c r="B39" s="12">
        <v>3.3099788999999999</v>
      </c>
      <c r="C39" s="12">
        <v>84.873333299999999</v>
      </c>
      <c r="D39" s="12">
        <v>2.2364986</v>
      </c>
      <c r="E39" s="17">
        <v>2.9166666999999999</v>
      </c>
      <c r="F39" s="13">
        <v>69.62</v>
      </c>
      <c r="G39" s="12">
        <v>4.5934374</v>
      </c>
      <c r="H39" s="12">
        <v>5.2628937000000002</v>
      </c>
      <c r="I39" s="12">
        <v>-0.50133269999999996</v>
      </c>
      <c r="J39" s="12">
        <v>6.7003301999999998</v>
      </c>
      <c r="K39" s="12">
        <v>3.7476314999999998</v>
      </c>
      <c r="L39" s="12">
        <v>-0.37044700000000003</v>
      </c>
      <c r="M39" s="12">
        <v>10.593200299999999</v>
      </c>
      <c r="N39" s="12">
        <v>9.5074816999999996</v>
      </c>
      <c r="O39" s="12">
        <v>6.8445419000000003</v>
      </c>
      <c r="P39" s="7">
        <v>4839.3999999999996</v>
      </c>
      <c r="Q39" s="7">
        <v>365.6</v>
      </c>
      <c r="R39" s="7">
        <v>7</v>
      </c>
      <c r="S39" s="12">
        <v>6.0539471999999996</v>
      </c>
      <c r="T39" s="12">
        <v>2.5</v>
      </c>
      <c r="U39" s="12">
        <v>83.7</v>
      </c>
      <c r="V39" s="12">
        <v>28.341666700000001</v>
      </c>
      <c r="W39" s="12">
        <v>7.1210135000000001</v>
      </c>
      <c r="X39" s="7" t="s">
        <v>107</v>
      </c>
      <c r="Y39" s="7" t="s">
        <v>107</v>
      </c>
      <c r="Z39" s="12">
        <v>-2.8549413000000001</v>
      </c>
      <c r="AA39" s="12">
        <v>47.503109700000003</v>
      </c>
      <c r="AB39" s="12">
        <v>18.8786095</v>
      </c>
      <c r="AC39" s="12">
        <v>31.516548199999999</v>
      </c>
      <c r="AD39" s="12">
        <v>61.579853399999998</v>
      </c>
      <c r="AE39" s="12">
        <v>59.478120799999999</v>
      </c>
      <c r="AF39" s="12">
        <v>31.8038104</v>
      </c>
      <c r="AG39" s="12">
        <v>26.960495099999999</v>
      </c>
    </row>
    <row r="40" spans="1:33" s="11" customFormat="1" hidden="1" outlineLevel="1" x14ac:dyDescent="0.3">
      <c r="A40" s="11" t="s">
        <v>46</v>
      </c>
      <c r="B40" s="12">
        <v>3.7478780999999999</v>
      </c>
      <c r="C40" s="12">
        <v>85.166666699999993</v>
      </c>
      <c r="D40" s="12">
        <v>1.9837944000000001</v>
      </c>
      <c r="E40" s="17">
        <v>3.3333333000000001</v>
      </c>
      <c r="F40" s="13">
        <v>59.68</v>
      </c>
      <c r="G40" s="12">
        <v>5.0702401999999998</v>
      </c>
      <c r="H40" s="12">
        <v>6.7586255</v>
      </c>
      <c r="I40" s="12">
        <v>-3.2711804</v>
      </c>
      <c r="J40" s="12">
        <v>6.4991310999999996</v>
      </c>
      <c r="K40" s="12">
        <v>3.8031872</v>
      </c>
      <c r="L40" s="12">
        <v>3.2237360000000002</v>
      </c>
      <c r="M40" s="12">
        <v>13.0809344</v>
      </c>
      <c r="N40" s="12">
        <v>12.316417100000001</v>
      </c>
      <c r="O40" s="12">
        <v>12.4306774</v>
      </c>
      <c r="P40" s="7">
        <v>4861.7</v>
      </c>
      <c r="Q40" s="7">
        <v>339.7</v>
      </c>
      <c r="R40" s="7">
        <v>6.5</v>
      </c>
      <c r="S40" s="12">
        <v>6.5421028999999997</v>
      </c>
      <c r="T40" s="12">
        <v>2.5</v>
      </c>
      <c r="U40" s="12">
        <v>83.033333299999995</v>
      </c>
      <c r="V40" s="12">
        <v>28.032333300000001</v>
      </c>
      <c r="W40" s="12">
        <v>8.1960785000000005</v>
      </c>
      <c r="X40" s="7" t="s">
        <v>107</v>
      </c>
      <c r="Y40" s="7" t="s">
        <v>107</v>
      </c>
      <c r="Z40" s="12">
        <v>-4.5260724999999997</v>
      </c>
      <c r="AA40" s="12">
        <v>46.0673125</v>
      </c>
      <c r="AB40" s="12">
        <v>21.434156900000001</v>
      </c>
      <c r="AC40" s="12">
        <v>31.105023299999999</v>
      </c>
      <c r="AD40" s="12">
        <v>66.033458899999999</v>
      </c>
      <c r="AE40" s="12">
        <v>64.639951699999997</v>
      </c>
      <c r="AF40" s="12">
        <v>29.2776405</v>
      </c>
      <c r="AG40" s="12">
        <v>27.559892300000001</v>
      </c>
    </row>
    <row r="41" spans="1:33" s="11" customFormat="1" hidden="1" outlineLevel="1" x14ac:dyDescent="0.3">
      <c r="A41" s="11" t="s">
        <v>47</v>
      </c>
      <c r="B41" s="12">
        <v>3.5234725999999998</v>
      </c>
      <c r="C41" s="12">
        <v>85.39</v>
      </c>
      <c r="D41" s="12">
        <v>2.1737397000000001</v>
      </c>
      <c r="E41" s="17">
        <v>3.5833333000000001</v>
      </c>
      <c r="F41" s="13">
        <v>57.763333299999999</v>
      </c>
      <c r="G41" s="12">
        <v>6.7221669000000004</v>
      </c>
      <c r="H41" s="12">
        <v>6.9543748000000001</v>
      </c>
      <c r="I41" s="12">
        <v>-2.984524</v>
      </c>
      <c r="J41" s="12">
        <v>6.0140864000000001</v>
      </c>
      <c r="K41" s="12">
        <v>5.2636843999999998</v>
      </c>
      <c r="L41" s="12">
        <v>0.78327349999999996</v>
      </c>
      <c r="M41" s="12">
        <v>20.861539</v>
      </c>
      <c r="N41" s="12">
        <v>10.0889273</v>
      </c>
      <c r="O41" s="12">
        <v>14.5257617</v>
      </c>
      <c r="P41" s="7">
        <v>4865</v>
      </c>
      <c r="Q41" s="7">
        <v>312</v>
      </c>
      <c r="R41" s="7">
        <v>6</v>
      </c>
      <c r="S41" s="12">
        <v>7.755884</v>
      </c>
      <c r="T41" s="12">
        <v>2.5</v>
      </c>
      <c r="U41" s="12">
        <v>84.133333300000004</v>
      </c>
      <c r="V41" s="12">
        <v>28.0433333</v>
      </c>
      <c r="W41" s="12">
        <v>13.6969697</v>
      </c>
      <c r="X41" s="7" t="s">
        <v>107</v>
      </c>
      <c r="Y41" s="7" t="s">
        <v>107</v>
      </c>
      <c r="Z41" s="12">
        <v>2.1225082</v>
      </c>
      <c r="AA41" s="12">
        <v>46.411103400000002</v>
      </c>
      <c r="AB41" s="12">
        <v>18.546837199999999</v>
      </c>
      <c r="AC41" s="12">
        <v>30.866282300000002</v>
      </c>
      <c r="AD41" s="12">
        <v>68.506022400000006</v>
      </c>
      <c r="AE41" s="12">
        <v>64.330245300000001</v>
      </c>
      <c r="AF41" s="12">
        <v>30.612664299999999</v>
      </c>
      <c r="AG41" s="12">
        <v>25.442741399999999</v>
      </c>
    </row>
    <row r="42" spans="1:33" s="11" customFormat="1" hidden="1" outlineLevel="1" x14ac:dyDescent="0.3">
      <c r="A42" s="11" t="s">
        <v>48</v>
      </c>
      <c r="B42" s="12">
        <v>3.1678283999999999</v>
      </c>
      <c r="C42" s="12">
        <v>86.5</v>
      </c>
      <c r="D42" s="12">
        <v>2.1331864</v>
      </c>
      <c r="E42" s="17">
        <v>3.8333333000000001</v>
      </c>
      <c r="F42" s="13">
        <v>68.583333300000007</v>
      </c>
      <c r="G42" s="12">
        <v>1.9656007</v>
      </c>
      <c r="H42" s="12">
        <v>4.3806965</v>
      </c>
      <c r="I42" s="12">
        <v>-0.65179290000000001</v>
      </c>
      <c r="J42" s="12">
        <v>5.1487984000000004</v>
      </c>
      <c r="K42" s="12">
        <v>4.3345661</v>
      </c>
      <c r="L42" s="12">
        <v>-1.0899958000000001</v>
      </c>
      <c r="M42" s="12">
        <v>11.7550212</v>
      </c>
      <c r="N42" s="12">
        <v>10.532348300000001</v>
      </c>
      <c r="O42" s="12">
        <v>11.5249018</v>
      </c>
      <c r="P42" s="7">
        <v>4913.8999999999996</v>
      </c>
      <c r="Q42" s="7">
        <v>274.60000000000002</v>
      </c>
      <c r="R42" s="7">
        <v>5.3</v>
      </c>
      <c r="S42" s="12">
        <v>7.4611399</v>
      </c>
      <c r="T42" s="12">
        <v>2.75</v>
      </c>
      <c r="U42" s="12">
        <v>85.3</v>
      </c>
      <c r="V42" s="12">
        <v>28.263999999999999</v>
      </c>
      <c r="W42" s="12">
        <v>10.8034321</v>
      </c>
      <c r="X42" s="7" t="s">
        <v>107</v>
      </c>
      <c r="Y42" s="7" t="s">
        <v>107</v>
      </c>
      <c r="Z42" s="12">
        <v>-5.8631099000000004</v>
      </c>
      <c r="AA42" s="12">
        <v>45.740459600000001</v>
      </c>
      <c r="AB42" s="12">
        <v>18.516374200000001</v>
      </c>
      <c r="AC42" s="12">
        <v>32.6112787</v>
      </c>
      <c r="AD42" s="12">
        <v>66.358622999999994</v>
      </c>
      <c r="AE42" s="12">
        <v>63.226735499999997</v>
      </c>
      <c r="AF42" s="12">
        <v>31.6636746</v>
      </c>
      <c r="AG42" s="12">
        <v>26.521913399999999</v>
      </c>
    </row>
    <row r="43" spans="1:33" s="11" customFormat="1" hidden="1" outlineLevel="1" x14ac:dyDescent="0.3">
      <c r="A43" s="11" t="s">
        <v>49</v>
      </c>
      <c r="B43" s="12">
        <v>3.1476855000000001</v>
      </c>
      <c r="C43" s="12">
        <v>86.6</v>
      </c>
      <c r="D43" s="12">
        <v>2.0344042999999998</v>
      </c>
      <c r="E43" s="17">
        <v>4</v>
      </c>
      <c r="F43" s="13">
        <v>74.953333299999997</v>
      </c>
      <c r="G43" s="12">
        <v>5.9417733000000004</v>
      </c>
      <c r="H43" s="12">
        <v>18.833150499999999</v>
      </c>
      <c r="I43" s="12">
        <v>3.9130270999999999</v>
      </c>
      <c r="J43" s="12">
        <v>5.4434750000000003</v>
      </c>
      <c r="K43" s="12">
        <v>3.7791522</v>
      </c>
      <c r="L43" s="12">
        <v>-1.5189423</v>
      </c>
      <c r="M43" s="12">
        <v>18.341917500000001</v>
      </c>
      <c r="N43" s="12">
        <v>11.418908999999999</v>
      </c>
      <c r="O43" s="12">
        <v>15.0178634</v>
      </c>
      <c r="P43" s="7">
        <v>4941.8999999999996</v>
      </c>
      <c r="Q43" s="7">
        <v>266.89999999999998</v>
      </c>
      <c r="R43" s="7">
        <v>5.0999999999999996</v>
      </c>
      <c r="S43" s="12">
        <v>7.3348873000000001</v>
      </c>
      <c r="T43" s="12">
        <v>3.25</v>
      </c>
      <c r="U43" s="12">
        <v>85.966666700000005</v>
      </c>
      <c r="V43" s="12">
        <v>27.9306667</v>
      </c>
      <c r="W43" s="12">
        <v>9.5024470000000001</v>
      </c>
      <c r="X43" s="7" t="s">
        <v>107</v>
      </c>
      <c r="Y43" s="7" t="s">
        <v>107</v>
      </c>
      <c r="Z43" s="12">
        <v>-6.7667457999999998</v>
      </c>
      <c r="AA43" s="12">
        <v>46.322682100000002</v>
      </c>
      <c r="AB43" s="12">
        <v>17.865690000000001</v>
      </c>
      <c r="AC43" s="12">
        <v>34.6017048</v>
      </c>
      <c r="AD43" s="12">
        <v>63.298220200000003</v>
      </c>
      <c r="AE43" s="12">
        <v>62.088297099999998</v>
      </c>
      <c r="AF43" s="12">
        <v>31.8365291</v>
      </c>
      <c r="AG43" s="12">
        <v>26.0020837</v>
      </c>
    </row>
    <row r="44" spans="1:33" s="11" customFormat="1" hidden="1" outlineLevel="1" x14ac:dyDescent="0.3">
      <c r="A44" s="11" t="s">
        <v>50</v>
      </c>
      <c r="B44" s="12">
        <v>2.7223932</v>
      </c>
      <c r="C44" s="12">
        <v>87.72</v>
      </c>
      <c r="D44" s="12">
        <v>2.998043</v>
      </c>
      <c r="E44" s="17">
        <v>4</v>
      </c>
      <c r="F44" s="13">
        <v>88.56</v>
      </c>
      <c r="G44" s="12">
        <v>11.5219112</v>
      </c>
      <c r="H44" s="12">
        <v>12.625118799999999</v>
      </c>
      <c r="I44" s="12">
        <v>-2.9687708000000002</v>
      </c>
      <c r="J44" s="12">
        <v>5.7029420999999996</v>
      </c>
      <c r="K44" s="12">
        <v>3.3767092000000001</v>
      </c>
      <c r="L44" s="12">
        <v>3.9249402999999998</v>
      </c>
      <c r="M44" s="12">
        <v>7.8183999000000002</v>
      </c>
      <c r="N44" s="12">
        <v>11.983790000000001</v>
      </c>
      <c r="O44" s="12">
        <v>10.861148999999999</v>
      </c>
      <c r="P44" s="7">
        <v>4967.2</v>
      </c>
      <c r="Q44" s="7">
        <v>252.8</v>
      </c>
      <c r="R44" s="7">
        <v>4.9000000000000004</v>
      </c>
      <c r="S44" s="12">
        <v>6.4507028999999996</v>
      </c>
      <c r="T44" s="12">
        <v>3.5</v>
      </c>
      <c r="U44" s="12">
        <v>87.066666699999999</v>
      </c>
      <c r="V44" s="12">
        <v>26.795000000000002</v>
      </c>
      <c r="W44" s="12">
        <v>8.7712938999999999</v>
      </c>
      <c r="X44" s="7" t="s">
        <v>107</v>
      </c>
      <c r="Y44" s="7" t="s">
        <v>107</v>
      </c>
      <c r="Z44" s="12">
        <v>-5.1603211</v>
      </c>
      <c r="AA44" s="12">
        <v>45.8089114</v>
      </c>
      <c r="AB44" s="12">
        <v>21.384161299999999</v>
      </c>
      <c r="AC44" s="12">
        <v>31.406378199999999</v>
      </c>
      <c r="AD44" s="12">
        <v>66.454650999999998</v>
      </c>
      <c r="AE44" s="12">
        <v>65.054101900000006</v>
      </c>
      <c r="AF44" s="12">
        <v>34.401217500000001</v>
      </c>
      <c r="AG44" s="12">
        <v>27.3254044</v>
      </c>
    </row>
    <row r="45" spans="1:33" s="11" customFormat="1" hidden="1" outlineLevel="1" x14ac:dyDescent="0.3">
      <c r="A45" s="11" t="s">
        <v>51</v>
      </c>
      <c r="B45" s="12">
        <v>1.9060995000000001</v>
      </c>
      <c r="C45" s="12">
        <v>88.42</v>
      </c>
      <c r="D45" s="12">
        <v>3.5484249000000001</v>
      </c>
      <c r="E45" s="17">
        <v>4</v>
      </c>
      <c r="F45" s="13">
        <v>96.936666700000004</v>
      </c>
      <c r="G45" s="12">
        <v>4.4330712999999999</v>
      </c>
      <c r="H45" s="12">
        <v>4.3526851000000004</v>
      </c>
      <c r="I45" s="12">
        <v>-2.9914735000000001</v>
      </c>
      <c r="J45" s="12">
        <v>3.7577295999999998</v>
      </c>
      <c r="K45" s="12">
        <v>1.9104661999999999</v>
      </c>
      <c r="L45" s="12">
        <v>-0.78910279999999999</v>
      </c>
      <c r="M45" s="12">
        <v>7.7808913000000004</v>
      </c>
      <c r="N45" s="12">
        <v>10.333728600000001</v>
      </c>
      <c r="O45" s="12">
        <v>9.9238151000000006</v>
      </c>
      <c r="P45" s="7">
        <v>4958.3999999999996</v>
      </c>
      <c r="Q45" s="7">
        <v>244.5</v>
      </c>
      <c r="R45" s="7">
        <v>4.7</v>
      </c>
      <c r="S45" s="12">
        <v>9.8796160000000004</v>
      </c>
      <c r="T45" s="12">
        <v>3.75</v>
      </c>
      <c r="U45" s="12">
        <v>90.5</v>
      </c>
      <c r="V45" s="12">
        <v>25.545000000000002</v>
      </c>
      <c r="W45" s="12">
        <v>2.0966596000000002</v>
      </c>
      <c r="X45" s="7" t="s">
        <v>107</v>
      </c>
      <c r="Y45" s="7" t="s">
        <v>107</v>
      </c>
      <c r="Z45" s="12">
        <v>3.0936018000000001</v>
      </c>
      <c r="AA45" s="12">
        <v>47.447320699999999</v>
      </c>
      <c r="AB45" s="12">
        <v>18.016085400000001</v>
      </c>
      <c r="AC45" s="12">
        <v>31.174689600000001</v>
      </c>
      <c r="AD45" s="12">
        <v>68.753590000000003</v>
      </c>
      <c r="AE45" s="12">
        <v>65.391685800000005</v>
      </c>
      <c r="AF45" s="12">
        <v>32.330980400000001</v>
      </c>
      <c r="AG45" s="12">
        <v>25.142300299999999</v>
      </c>
    </row>
    <row r="46" spans="1:33" s="11" customFormat="1" hidden="1" outlineLevel="1" x14ac:dyDescent="0.3">
      <c r="A46" s="11" t="s">
        <v>52</v>
      </c>
      <c r="B46" s="12">
        <v>1.9101475000000001</v>
      </c>
      <c r="C46" s="12">
        <v>89.906666700000002</v>
      </c>
      <c r="D46" s="12">
        <v>3.9383430000000001</v>
      </c>
      <c r="E46" s="17">
        <v>4</v>
      </c>
      <c r="F46" s="13">
        <v>121.3966667</v>
      </c>
      <c r="G46" s="12">
        <v>6.0596212999999999</v>
      </c>
      <c r="H46" s="12">
        <v>6.5600284999999996</v>
      </c>
      <c r="I46" s="12">
        <v>-0.46014949999999999</v>
      </c>
      <c r="J46" s="12">
        <v>4.3016885</v>
      </c>
      <c r="K46" s="12">
        <v>4.0964371000000002</v>
      </c>
      <c r="L46" s="12">
        <v>2.5169616000000001</v>
      </c>
      <c r="M46" s="12">
        <v>2.3141986000000001</v>
      </c>
      <c r="N46" s="12">
        <v>12.063657900000001</v>
      </c>
      <c r="O46" s="12">
        <v>10.623502800000001</v>
      </c>
      <c r="P46" s="7">
        <v>5003.3</v>
      </c>
      <c r="Q46" s="7">
        <v>220.1</v>
      </c>
      <c r="R46" s="7">
        <v>4.2</v>
      </c>
      <c r="S46" s="12">
        <v>7.2613307999999996</v>
      </c>
      <c r="T46" s="12">
        <v>3.75</v>
      </c>
      <c r="U46" s="12">
        <v>91.066666699999999</v>
      </c>
      <c r="V46" s="12">
        <v>24.826666700000001</v>
      </c>
      <c r="W46" s="12">
        <v>3.8366772</v>
      </c>
      <c r="X46" s="7" t="s">
        <v>107</v>
      </c>
      <c r="Y46" s="7" t="s">
        <v>107</v>
      </c>
      <c r="Z46" s="12">
        <v>-4.7198561999999997</v>
      </c>
      <c r="AA46" s="12">
        <v>46.730503499999998</v>
      </c>
      <c r="AB46" s="12">
        <v>18.3133847</v>
      </c>
      <c r="AC46" s="12">
        <v>31.432731199999999</v>
      </c>
      <c r="AD46" s="12">
        <v>65.5810879</v>
      </c>
      <c r="AE46" s="12">
        <v>62.057707399999998</v>
      </c>
      <c r="AF46" s="12">
        <v>29.6118679</v>
      </c>
      <c r="AG46" s="12">
        <v>26.720366299999998</v>
      </c>
    </row>
    <row r="47" spans="1:33" s="11" customFormat="1" hidden="1" outlineLevel="1" x14ac:dyDescent="0.3">
      <c r="A47" s="11" t="s">
        <v>53</v>
      </c>
      <c r="B47" s="12">
        <v>0.87131639999999999</v>
      </c>
      <c r="C47" s="12">
        <v>90.323333300000002</v>
      </c>
      <c r="D47" s="12">
        <v>4.2994611000000003</v>
      </c>
      <c r="E47" s="17">
        <v>4.25</v>
      </c>
      <c r="F47" s="13">
        <v>114.3966667</v>
      </c>
      <c r="G47" s="12">
        <v>9.9532276</v>
      </c>
      <c r="H47" s="12">
        <v>1.9599827000000001</v>
      </c>
      <c r="I47" s="12">
        <v>0.99704170000000003</v>
      </c>
      <c r="J47" s="12">
        <v>4.0264126999999998</v>
      </c>
      <c r="K47" s="12">
        <v>3.5956424</v>
      </c>
      <c r="L47" s="12">
        <v>3.4959381999999999</v>
      </c>
      <c r="M47" s="12">
        <v>1.0376422999999999</v>
      </c>
      <c r="N47" s="12">
        <v>6.4204781000000004</v>
      </c>
      <c r="O47" s="12">
        <v>4.2086467000000001</v>
      </c>
      <c r="P47" s="7">
        <v>5014.8</v>
      </c>
      <c r="Q47" s="7">
        <v>223.9</v>
      </c>
      <c r="R47" s="7">
        <v>4.3</v>
      </c>
      <c r="S47" s="12">
        <v>7.045992</v>
      </c>
      <c r="T47" s="12">
        <v>3.5</v>
      </c>
      <c r="U47" s="12">
        <v>91.5</v>
      </c>
      <c r="V47" s="12">
        <v>24.103999999999999</v>
      </c>
      <c r="W47" s="12">
        <v>0.81936679999999995</v>
      </c>
      <c r="X47" s="7" t="s">
        <v>107</v>
      </c>
      <c r="Y47" s="7" t="s">
        <v>107</v>
      </c>
      <c r="Z47" s="12">
        <v>-1.5385899999999999</v>
      </c>
      <c r="AA47" s="12">
        <v>47.254766099999998</v>
      </c>
      <c r="AB47" s="12">
        <v>17.880509799999999</v>
      </c>
      <c r="AC47" s="12">
        <v>32.815966400000001</v>
      </c>
      <c r="AD47" s="12">
        <v>59.573788800000003</v>
      </c>
      <c r="AE47" s="12">
        <v>57.525031200000001</v>
      </c>
      <c r="AF47" s="12">
        <v>27.2301462</v>
      </c>
      <c r="AG47" s="12">
        <v>26.864744300000002</v>
      </c>
    </row>
    <row r="48" spans="1:33" s="11" customFormat="1" hidden="1" outlineLevel="1" x14ac:dyDescent="0.3">
      <c r="A48" s="11" t="s">
        <v>54</v>
      </c>
      <c r="B48" s="12">
        <v>-1.9881508000000001</v>
      </c>
      <c r="C48" s="12">
        <v>90.23</v>
      </c>
      <c r="D48" s="12">
        <v>2.8613770999999999</v>
      </c>
      <c r="E48" s="17">
        <v>3.1666666999999999</v>
      </c>
      <c r="F48" s="13">
        <v>54.66</v>
      </c>
      <c r="G48" s="12">
        <v>3.5631748000000001</v>
      </c>
      <c r="H48" s="12">
        <v>-2.5779882000000001</v>
      </c>
      <c r="I48" s="12">
        <v>-5.5103048000000001</v>
      </c>
      <c r="J48" s="12">
        <v>-1.0761366999999999</v>
      </c>
      <c r="K48" s="12">
        <v>2.5399579000000001</v>
      </c>
      <c r="L48" s="12">
        <v>0.1456547</v>
      </c>
      <c r="M48" s="12">
        <v>-6.4101172000000002</v>
      </c>
      <c r="N48" s="12">
        <v>-10.200249400000001</v>
      </c>
      <c r="O48" s="12">
        <v>-10.048716499999999</v>
      </c>
      <c r="P48" s="7">
        <v>5033.5</v>
      </c>
      <c r="Q48" s="7">
        <v>230.7</v>
      </c>
      <c r="R48" s="7">
        <v>4.4000000000000004</v>
      </c>
      <c r="S48" s="12">
        <v>7.3671658000000004</v>
      </c>
      <c r="T48" s="12">
        <v>2.25</v>
      </c>
      <c r="U48" s="12">
        <v>90.9</v>
      </c>
      <c r="V48" s="12">
        <v>25.360333300000001</v>
      </c>
      <c r="W48" s="12">
        <v>-13.1622792</v>
      </c>
      <c r="X48" s="7" t="s">
        <v>107</v>
      </c>
      <c r="Y48" s="7" t="s">
        <v>107</v>
      </c>
      <c r="Z48" s="12">
        <v>-3.8594425000000001</v>
      </c>
      <c r="AA48" s="12">
        <v>48.079012200000001</v>
      </c>
      <c r="AB48" s="12">
        <v>22.2085638</v>
      </c>
      <c r="AC48" s="12">
        <v>29.872429799999999</v>
      </c>
      <c r="AD48" s="12">
        <v>58.510100999999999</v>
      </c>
      <c r="AE48" s="12">
        <v>58.6701069</v>
      </c>
      <c r="AF48" s="12">
        <v>21.147820400000001</v>
      </c>
      <c r="AG48" s="12">
        <v>28.1180649</v>
      </c>
    </row>
    <row r="49" spans="1:33" s="11" customFormat="1" hidden="1" outlineLevel="1" x14ac:dyDescent="0.3">
      <c r="A49" s="11" t="s">
        <v>55</v>
      </c>
      <c r="B49" s="12">
        <v>-5.4359460999999998</v>
      </c>
      <c r="C49" s="12">
        <v>89.88</v>
      </c>
      <c r="D49" s="12">
        <v>1.6512100999999999</v>
      </c>
      <c r="E49" s="17">
        <v>1.8333333000000001</v>
      </c>
      <c r="F49" s="13">
        <v>44.433333300000001</v>
      </c>
      <c r="G49" s="12">
        <v>7.7902487000000002</v>
      </c>
      <c r="H49" s="12">
        <v>2.4730503000000001</v>
      </c>
      <c r="I49" s="12">
        <v>-5.2439793000000003</v>
      </c>
      <c r="J49" s="12">
        <v>-4.3760770999999998</v>
      </c>
      <c r="K49" s="12">
        <v>2.0168666000000002</v>
      </c>
      <c r="L49" s="12">
        <v>3.6019239999999999</v>
      </c>
      <c r="M49" s="12">
        <v>-16.219210400000001</v>
      </c>
      <c r="N49" s="12">
        <v>-17.083557200000001</v>
      </c>
      <c r="O49" s="12">
        <v>-16.778544</v>
      </c>
      <c r="P49" s="7">
        <v>4946.8</v>
      </c>
      <c r="Q49" s="7">
        <v>302.8</v>
      </c>
      <c r="R49" s="7">
        <v>5.8</v>
      </c>
      <c r="S49" s="12">
        <v>2.2004437999999999</v>
      </c>
      <c r="T49" s="12">
        <v>1.75</v>
      </c>
      <c r="U49" s="12">
        <v>91.866666699999996</v>
      </c>
      <c r="V49" s="12">
        <v>27.620333299999999</v>
      </c>
      <c r="W49" s="12">
        <v>-18.134354399999999</v>
      </c>
      <c r="X49" s="12">
        <v>-19.393061899999999</v>
      </c>
      <c r="Y49" s="12">
        <v>-21.149830600000001</v>
      </c>
      <c r="Z49" s="12">
        <v>1.2512349</v>
      </c>
      <c r="AA49" s="12">
        <v>49.211867400000003</v>
      </c>
      <c r="AB49" s="12">
        <v>19.261444999999998</v>
      </c>
      <c r="AC49" s="12">
        <v>27.266580900000001</v>
      </c>
      <c r="AD49" s="12">
        <v>59.921746599999999</v>
      </c>
      <c r="AE49" s="12">
        <v>55.661639999999998</v>
      </c>
      <c r="AF49" s="12">
        <v>19.768870199999999</v>
      </c>
      <c r="AG49" s="12">
        <v>28.9909517</v>
      </c>
    </row>
    <row r="50" spans="1:33" s="11" customFormat="1" hidden="1" outlineLevel="1" x14ac:dyDescent="0.3">
      <c r="A50" s="11" t="s">
        <v>56</v>
      </c>
      <c r="B50" s="12">
        <v>-5.8020649999999998</v>
      </c>
      <c r="C50" s="12">
        <v>90.723333299999993</v>
      </c>
      <c r="D50" s="12">
        <v>0.90834930000000003</v>
      </c>
      <c r="E50" s="17">
        <v>1.0833333000000001</v>
      </c>
      <c r="F50" s="13">
        <v>58.696666700000002</v>
      </c>
      <c r="G50" s="12">
        <v>6.4361588000000003</v>
      </c>
      <c r="H50" s="12">
        <v>0.54907479999999997</v>
      </c>
      <c r="I50" s="12">
        <v>-2.9162921000000002</v>
      </c>
      <c r="J50" s="12">
        <v>-5.5509915000000003</v>
      </c>
      <c r="K50" s="12">
        <v>-0.2450127</v>
      </c>
      <c r="L50" s="12">
        <v>1.9476844</v>
      </c>
      <c r="M50" s="12">
        <v>-19.133813100000001</v>
      </c>
      <c r="N50" s="12">
        <v>-16.482336</v>
      </c>
      <c r="O50" s="12">
        <v>-17.867907899999999</v>
      </c>
      <c r="P50" s="7">
        <v>4941.3</v>
      </c>
      <c r="Q50" s="7">
        <v>333.9</v>
      </c>
      <c r="R50" s="7">
        <v>6.3</v>
      </c>
      <c r="S50" s="12">
        <v>2.4723546000000001</v>
      </c>
      <c r="T50" s="12">
        <v>1.5</v>
      </c>
      <c r="U50" s="12">
        <v>91.966666700000005</v>
      </c>
      <c r="V50" s="12">
        <v>26.683333300000001</v>
      </c>
      <c r="W50" s="12">
        <v>-19.186440600000001</v>
      </c>
      <c r="X50" s="12">
        <v>-21.459119300000001</v>
      </c>
      <c r="Y50" s="12">
        <v>-23.273288000000001</v>
      </c>
      <c r="Z50" s="12">
        <v>-4.9238901999999998</v>
      </c>
      <c r="AA50" s="12">
        <v>48.658445200000003</v>
      </c>
      <c r="AB50" s="12">
        <v>19.925006799999998</v>
      </c>
      <c r="AC50" s="12">
        <v>26.954842800000002</v>
      </c>
      <c r="AD50" s="12">
        <v>57.139272599999998</v>
      </c>
      <c r="AE50" s="12">
        <v>52.6775673</v>
      </c>
      <c r="AF50" s="12">
        <v>16.6831265</v>
      </c>
      <c r="AG50" s="12">
        <v>32.158171299999999</v>
      </c>
    </row>
    <row r="51" spans="1:33" s="11" customFormat="1" hidden="1" outlineLevel="1" x14ac:dyDescent="0.3">
      <c r="A51" s="11" t="s">
        <v>57</v>
      </c>
      <c r="B51" s="12">
        <v>-4.1677857999999999</v>
      </c>
      <c r="C51" s="12">
        <v>90.663333300000005</v>
      </c>
      <c r="D51" s="12">
        <v>0.37642540000000002</v>
      </c>
      <c r="E51" s="17">
        <v>1</v>
      </c>
      <c r="F51" s="13">
        <v>68.2</v>
      </c>
      <c r="G51" s="12">
        <v>6.1464939000000003</v>
      </c>
      <c r="H51" s="12">
        <v>-12.0703099</v>
      </c>
      <c r="I51" s="12">
        <v>-6.3358661999999999</v>
      </c>
      <c r="J51" s="12">
        <v>-5.6848321999999998</v>
      </c>
      <c r="K51" s="12">
        <v>-2.2050765000000001</v>
      </c>
      <c r="L51" s="12">
        <v>3.4874865000000002</v>
      </c>
      <c r="M51" s="12">
        <v>-19.205130499999999</v>
      </c>
      <c r="N51" s="12">
        <v>-8.2651593000000005</v>
      </c>
      <c r="O51" s="12">
        <v>-10.270100899999999</v>
      </c>
      <c r="P51" s="7">
        <v>4921.7</v>
      </c>
      <c r="Q51" s="7">
        <v>387</v>
      </c>
      <c r="R51" s="7">
        <v>7.3</v>
      </c>
      <c r="S51" s="12">
        <v>4.1026103000000003</v>
      </c>
      <c r="T51" s="12">
        <v>1.25</v>
      </c>
      <c r="U51" s="12">
        <v>91.366666699999996</v>
      </c>
      <c r="V51" s="12">
        <v>25.594999999999999</v>
      </c>
      <c r="W51" s="12">
        <v>-13.705208600000001</v>
      </c>
      <c r="X51" s="12">
        <v>-15.050659100000001</v>
      </c>
      <c r="Y51" s="12">
        <v>-17.368812999999999</v>
      </c>
      <c r="Z51" s="12">
        <v>-3.5380189</v>
      </c>
      <c r="AA51" s="12">
        <v>48.729245800000001</v>
      </c>
      <c r="AB51" s="12">
        <v>20.021144</v>
      </c>
      <c r="AC51" s="12">
        <v>27.7005917</v>
      </c>
      <c r="AD51" s="12">
        <v>56.659464399999997</v>
      </c>
      <c r="AE51" s="12">
        <v>53.110445900000002</v>
      </c>
      <c r="AF51" s="12">
        <v>13.7279023</v>
      </c>
      <c r="AG51" s="12">
        <v>32.893923600000001</v>
      </c>
    </row>
    <row r="52" spans="1:33" s="11" customFormat="1" hidden="1" outlineLevel="1" x14ac:dyDescent="0.3">
      <c r="A52" s="11" t="s">
        <v>58</v>
      </c>
      <c r="B52" s="12">
        <v>-1.8288317999999999</v>
      </c>
      <c r="C52" s="12">
        <v>91.146666699999997</v>
      </c>
      <c r="D52" s="12">
        <v>1.0159222999999999</v>
      </c>
      <c r="E52" s="17">
        <v>1</v>
      </c>
      <c r="F52" s="13">
        <v>74.63</v>
      </c>
      <c r="G52" s="12">
        <v>4.5672002999999997</v>
      </c>
      <c r="H52" s="12">
        <v>1.2976117</v>
      </c>
      <c r="I52" s="12">
        <v>-7.0750903000000003</v>
      </c>
      <c r="J52" s="12">
        <v>-2.9863963</v>
      </c>
      <c r="K52" s="12">
        <v>-1.3079984</v>
      </c>
      <c r="L52" s="12">
        <v>2.6484608999999999</v>
      </c>
      <c r="M52" s="12">
        <v>-15.7722552</v>
      </c>
      <c r="N52" s="12">
        <v>3.8509220000000002</v>
      </c>
      <c r="O52" s="12">
        <v>1.3760915</v>
      </c>
      <c r="P52" s="7">
        <v>4927.3</v>
      </c>
      <c r="Q52" s="7">
        <v>385</v>
      </c>
      <c r="R52" s="7">
        <v>7.3</v>
      </c>
      <c r="S52" s="12">
        <v>4.5620963000000003</v>
      </c>
      <c r="T52" s="12">
        <v>1</v>
      </c>
      <c r="U52" s="12">
        <v>90.933333300000001</v>
      </c>
      <c r="V52" s="12">
        <v>25.920666700000002</v>
      </c>
      <c r="W52" s="12">
        <v>-2.3023791</v>
      </c>
      <c r="X52" s="12">
        <v>-0.96292789999999995</v>
      </c>
      <c r="Y52" s="12">
        <v>-6.5707648000000001</v>
      </c>
      <c r="Z52" s="12">
        <v>-1.6401296999999999</v>
      </c>
      <c r="AA52" s="12">
        <v>47.993072599999998</v>
      </c>
      <c r="AB52" s="12">
        <v>23.301656999999999</v>
      </c>
      <c r="AC52" s="12">
        <v>25.359986899999999</v>
      </c>
      <c r="AD52" s="12">
        <v>59.699526400000003</v>
      </c>
      <c r="AE52" s="12">
        <v>56.354242800000002</v>
      </c>
      <c r="AF52" s="12">
        <v>11.6075143</v>
      </c>
      <c r="AG52" s="12">
        <v>33.355975200000003</v>
      </c>
    </row>
    <row r="53" spans="1:33" s="11" customFormat="1" hidden="1" outlineLevel="1" x14ac:dyDescent="0.3">
      <c r="A53" s="11" t="s">
        <v>59</v>
      </c>
      <c r="B53" s="12">
        <v>1.1991562</v>
      </c>
      <c r="C53" s="12">
        <v>91.416666699999993</v>
      </c>
      <c r="D53" s="12">
        <v>1.709687</v>
      </c>
      <c r="E53" s="17">
        <v>1</v>
      </c>
      <c r="F53" s="13">
        <v>76.25</v>
      </c>
      <c r="G53" s="12">
        <v>-1.2660522999999999</v>
      </c>
      <c r="H53" s="12">
        <v>0.33493070000000003</v>
      </c>
      <c r="I53" s="12">
        <v>-4.6241466999999998</v>
      </c>
      <c r="J53" s="12">
        <v>0.70809739999999999</v>
      </c>
      <c r="K53" s="12">
        <v>1.2247136999999999</v>
      </c>
      <c r="L53" s="12">
        <v>1.5137767</v>
      </c>
      <c r="M53" s="12">
        <v>-10.905547200000001</v>
      </c>
      <c r="N53" s="12">
        <v>12.801053599999999</v>
      </c>
      <c r="O53" s="12">
        <v>8.5081392999999998</v>
      </c>
      <c r="P53" s="7">
        <v>4829.2</v>
      </c>
      <c r="Q53" s="7">
        <v>422.5</v>
      </c>
      <c r="R53" s="7">
        <v>8.1</v>
      </c>
      <c r="S53" s="12">
        <v>2.8496472000000002</v>
      </c>
      <c r="T53" s="12">
        <v>1</v>
      </c>
      <c r="U53" s="12">
        <v>92.133333300000004</v>
      </c>
      <c r="V53" s="12">
        <v>25.884333300000002</v>
      </c>
      <c r="W53" s="12">
        <v>4.7193877999999998</v>
      </c>
      <c r="X53" s="12">
        <v>13.1600705</v>
      </c>
      <c r="Y53" s="12">
        <v>11.274089999999999</v>
      </c>
      <c r="Z53" s="12">
        <v>2.9254229999999999</v>
      </c>
      <c r="AA53" s="12">
        <v>50.299435600000002</v>
      </c>
      <c r="AB53" s="12">
        <v>19.9946305</v>
      </c>
      <c r="AC53" s="12">
        <v>24.182939300000001</v>
      </c>
      <c r="AD53" s="12">
        <v>64.478780799999996</v>
      </c>
      <c r="AE53" s="12">
        <v>58.955786199999999</v>
      </c>
      <c r="AF53" s="12">
        <v>9.3942446000000004</v>
      </c>
      <c r="AG53" s="12">
        <v>33.895618900000002</v>
      </c>
    </row>
    <row r="54" spans="1:33" s="11" customFormat="1" hidden="1" outlineLevel="1" x14ac:dyDescent="0.3">
      <c r="A54" s="11" t="s">
        <v>60</v>
      </c>
      <c r="B54" s="12">
        <v>2.6157658000000001</v>
      </c>
      <c r="C54" s="12">
        <v>92.57</v>
      </c>
      <c r="D54" s="12">
        <v>2.0354926</v>
      </c>
      <c r="E54" s="17">
        <v>1</v>
      </c>
      <c r="F54" s="13">
        <v>78.510000000000005</v>
      </c>
      <c r="G54" s="12">
        <v>-0.27394819999999998</v>
      </c>
      <c r="H54" s="12">
        <v>2.2261422</v>
      </c>
      <c r="I54" s="12">
        <v>-1.841207</v>
      </c>
      <c r="J54" s="12">
        <v>3.0619386999999998</v>
      </c>
      <c r="K54" s="12">
        <v>1.2649444999999999</v>
      </c>
      <c r="L54" s="12">
        <v>2.0751377</v>
      </c>
      <c r="M54" s="12">
        <v>4.6160202000000004</v>
      </c>
      <c r="N54" s="12">
        <v>17.300970100000001</v>
      </c>
      <c r="O54" s="12">
        <v>17.192067900000001</v>
      </c>
      <c r="P54" s="7">
        <v>4880.8999999999996</v>
      </c>
      <c r="Q54" s="7">
        <v>374.5</v>
      </c>
      <c r="R54" s="7">
        <v>7.1</v>
      </c>
      <c r="S54" s="12">
        <v>3.1058080000000001</v>
      </c>
      <c r="T54" s="12">
        <v>0.75</v>
      </c>
      <c r="U54" s="12">
        <v>92.8</v>
      </c>
      <c r="V54" s="12">
        <v>25.583666699999998</v>
      </c>
      <c r="W54" s="12">
        <v>9.6057047000000004</v>
      </c>
      <c r="X54" s="12">
        <v>22.271976599999999</v>
      </c>
      <c r="Y54" s="12">
        <v>23.015520800000001</v>
      </c>
      <c r="Z54" s="12">
        <v>-2.5659774</v>
      </c>
      <c r="AA54" s="12">
        <v>48.359190499999997</v>
      </c>
      <c r="AB54" s="12">
        <v>19.7028508</v>
      </c>
      <c r="AC54" s="12">
        <v>27.3269412</v>
      </c>
      <c r="AD54" s="12">
        <v>65.592678599999999</v>
      </c>
      <c r="AE54" s="12">
        <v>60.981661000000003</v>
      </c>
      <c r="AF54" s="12">
        <v>8.0866579000000005</v>
      </c>
      <c r="AG54" s="12">
        <v>34.577985300000002</v>
      </c>
    </row>
    <row r="55" spans="1:33" s="11" customFormat="1" hidden="1" outlineLevel="1" x14ac:dyDescent="0.3">
      <c r="A55" s="11" t="s">
        <v>61</v>
      </c>
      <c r="B55" s="12">
        <v>2.4618717000000001</v>
      </c>
      <c r="C55" s="12">
        <v>92.583333300000007</v>
      </c>
      <c r="D55" s="12">
        <v>2.1177248999999998</v>
      </c>
      <c r="E55" s="17">
        <v>1</v>
      </c>
      <c r="F55" s="13">
        <v>76.819999999999993</v>
      </c>
      <c r="G55" s="12">
        <v>-1.0093730999999999</v>
      </c>
      <c r="H55" s="12">
        <v>3.3971892000000001</v>
      </c>
      <c r="I55" s="12">
        <v>-4.5911248999999996</v>
      </c>
      <c r="J55" s="12">
        <v>2.4353606999999999</v>
      </c>
      <c r="K55" s="12">
        <v>1.1788988</v>
      </c>
      <c r="L55" s="12">
        <v>0.95112640000000004</v>
      </c>
      <c r="M55" s="12">
        <v>13.0250614</v>
      </c>
      <c r="N55" s="12">
        <v>14.040839200000001</v>
      </c>
      <c r="O55" s="12">
        <v>18.670285</v>
      </c>
      <c r="P55" s="7">
        <v>4912.1000000000004</v>
      </c>
      <c r="Q55" s="7">
        <v>374.1</v>
      </c>
      <c r="R55" s="7">
        <v>7.1</v>
      </c>
      <c r="S55" s="12">
        <v>2.2043219999999999</v>
      </c>
      <c r="T55" s="12">
        <v>0.75</v>
      </c>
      <c r="U55" s="12">
        <v>92.9</v>
      </c>
      <c r="V55" s="12">
        <v>24.928333299999998</v>
      </c>
      <c r="W55" s="12">
        <v>9.7174657</v>
      </c>
      <c r="X55" s="12">
        <v>19.006942899999999</v>
      </c>
      <c r="Y55" s="12">
        <v>25.3951487</v>
      </c>
      <c r="Z55" s="12">
        <v>-10.514315</v>
      </c>
      <c r="AA55" s="12">
        <v>48.722536400000003</v>
      </c>
      <c r="AB55" s="12">
        <v>19.566592400000001</v>
      </c>
      <c r="AC55" s="12">
        <v>31.042877699999998</v>
      </c>
      <c r="AD55" s="12">
        <v>64.262448500000005</v>
      </c>
      <c r="AE55" s="12">
        <v>63.594455099999998</v>
      </c>
      <c r="AF55" s="12">
        <v>8.0884350000000005</v>
      </c>
      <c r="AG55" s="12">
        <v>37.8405007</v>
      </c>
    </row>
    <row r="56" spans="1:33" s="11" customFormat="1" hidden="1" outlineLevel="1" x14ac:dyDescent="0.3">
      <c r="A56" s="11" t="s">
        <v>62</v>
      </c>
      <c r="B56" s="12">
        <v>2.3931737000000002</v>
      </c>
      <c r="C56" s="12">
        <v>93.383333300000004</v>
      </c>
      <c r="D56" s="12">
        <v>2.4539203000000001</v>
      </c>
      <c r="E56" s="17">
        <v>1</v>
      </c>
      <c r="F56" s="13">
        <v>86.466666700000005</v>
      </c>
      <c r="G56" s="12">
        <v>-0.26214599999999999</v>
      </c>
      <c r="H56" s="12">
        <v>3.3689802000000002</v>
      </c>
      <c r="I56" s="12">
        <v>-5.5515021999999998</v>
      </c>
      <c r="J56" s="12">
        <v>3.4013422000000002</v>
      </c>
      <c r="K56" s="12">
        <v>1.8923707999999999</v>
      </c>
      <c r="L56" s="12">
        <v>-1.0769261999999999</v>
      </c>
      <c r="M56" s="12">
        <v>8.8567715000000007</v>
      </c>
      <c r="N56" s="12">
        <v>14.4484934</v>
      </c>
      <c r="O56" s="12">
        <v>14.5623413</v>
      </c>
      <c r="P56" s="7">
        <v>4918.8</v>
      </c>
      <c r="Q56" s="7">
        <v>362.9</v>
      </c>
      <c r="R56" s="7">
        <v>6.9</v>
      </c>
      <c r="S56" s="12">
        <v>0.68062</v>
      </c>
      <c r="T56" s="12">
        <v>0.75</v>
      </c>
      <c r="U56" s="12">
        <v>92.7</v>
      </c>
      <c r="V56" s="12">
        <v>24.779333300000001</v>
      </c>
      <c r="W56" s="12">
        <v>10.3299292</v>
      </c>
      <c r="X56" s="12">
        <v>20.0421227</v>
      </c>
      <c r="Y56" s="12">
        <v>23.7200062</v>
      </c>
      <c r="Z56" s="12">
        <v>-3.4618997999999999</v>
      </c>
      <c r="AA56" s="12">
        <v>48.9299812</v>
      </c>
      <c r="AB56" s="12">
        <v>22.761658300000001</v>
      </c>
      <c r="AC56" s="12">
        <v>26.620484099999999</v>
      </c>
      <c r="AD56" s="12">
        <v>67.6862213</v>
      </c>
      <c r="AE56" s="12">
        <v>65.998345</v>
      </c>
      <c r="AF56" s="12">
        <v>7.1112425000000004</v>
      </c>
      <c r="AG56" s="12">
        <v>37.068499600000003</v>
      </c>
    </row>
    <row r="57" spans="1:33" s="11" customFormat="1" hidden="1" outlineLevel="1" x14ac:dyDescent="0.3">
      <c r="A57" s="11" t="s">
        <v>63</v>
      </c>
      <c r="B57" s="12">
        <v>3.2110127999999998</v>
      </c>
      <c r="C57" s="12">
        <v>94.073333300000002</v>
      </c>
      <c r="D57" s="12">
        <v>2.9061075000000001</v>
      </c>
      <c r="E57" s="17">
        <v>1</v>
      </c>
      <c r="F57" s="13">
        <v>104.96</v>
      </c>
      <c r="G57" s="12">
        <v>1.0874222</v>
      </c>
      <c r="H57" s="12">
        <v>3.2052578999999999</v>
      </c>
      <c r="I57" s="12">
        <v>-3.7586160999999998</v>
      </c>
      <c r="J57" s="12">
        <v>3.2228891000000002</v>
      </c>
      <c r="K57" s="12">
        <v>0.59109420000000001</v>
      </c>
      <c r="L57" s="12">
        <v>-0.47919119999999998</v>
      </c>
      <c r="M57" s="12">
        <v>7.9895680000000002</v>
      </c>
      <c r="N57" s="12">
        <v>16.8547841</v>
      </c>
      <c r="O57" s="12">
        <v>16.6310638</v>
      </c>
      <c r="P57" s="7">
        <v>4864.3999999999996</v>
      </c>
      <c r="Q57" s="7">
        <v>376.1</v>
      </c>
      <c r="R57" s="7">
        <v>7.2</v>
      </c>
      <c r="S57" s="12">
        <v>2.7882839000000001</v>
      </c>
      <c r="T57" s="12">
        <v>0.75</v>
      </c>
      <c r="U57" s="12">
        <v>93.9</v>
      </c>
      <c r="V57" s="12">
        <v>24.373000000000001</v>
      </c>
      <c r="W57" s="12">
        <v>10.881039299999999</v>
      </c>
      <c r="X57" s="12">
        <v>24.6304455</v>
      </c>
      <c r="Y57" s="12">
        <v>27.119682699999998</v>
      </c>
      <c r="Z57" s="12">
        <v>3.7739196000000002</v>
      </c>
      <c r="AA57" s="12">
        <v>50.390256200000003</v>
      </c>
      <c r="AB57" s="12">
        <v>19.4953082</v>
      </c>
      <c r="AC57" s="12">
        <v>25.344590199999999</v>
      </c>
      <c r="AD57" s="12">
        <v>74.004417000000004</v>
      </c>
      <c r="AE57" s="12">
        <v>69.234571700000004</v>
      </c>
      <c r="AF57" s="12">
        <v>6.6749149000000001</v>
      </c>
      <c r="AG57" s="12">
        <v>37.243567300000002</v>
      </c>
    </row>
    <row r="58" spans="1:33" s="11" customFormat="1" hidden="1" outlineLevel="1" x14ac:dyDescent="0.3">
      <c r="A58" s="11" t="s">
        <v>64</v>
      </c>
      <c r="B58" s="12">
        <v>2.1036085</v>
      </c>
      <c r="C58" s="12">
        <v>95.516666700000002</v>
      </c>
      <c r="D58" s="12">
        <v>3.1831767000000002</v>
      </c>
      <c r="E58" s="17">
        <v>1.25</v>
      </c>
      <c r="F58" s="13">
        <v>117.36</v>
      </c>
      <c r="G58" s="12">
        <v>0.79523449999999996</v>
      </c>
      <c r="H58" s="12">
        <v>2.8769866999999998</v>
      </c>
      <c r="I58" s="12">
        <v>-0.98406309999999997</v>
      </c>
      <c r="J58" s="12">
        <v>2.1838156999999998</v>
      </c>
      <c r="K58" s="12">
        <v>0.33024690000000001</v>
      </c>
      <c r="L58" s="12">
        <v>-2.9041496000000002</v>
      </c>
      <c r="M58" s="12">
        <v>3.0496734000000001</v>
      </c>
      <c r="N58" s="12">
        <v>10.545408</v>
      </c>
      <c r="O58" s="12">
        <v>8.4415317999999999</v>
      </c>
      <c r="P58" s="7">
        <v>4908.3999999999996</v>
      </c>
      <c r="Q58" s="7">
        <v>354.6</v>
      </c>
      <c r="R58" s="7">
        <v>6.7</v>
      </c>
      <c r="S58" s="12">
        <v>2.6038120999999999</v>
      </c>
      <c r="T58" s="12">
        <v>0.75</v>
      </c>
      <c r="U58" s="12">
        <v>94.533333299999995</v>
      </c>
      <c r="V58" s="12">
        <v>24.322666699999999</v>
      </c>
      <c r="W58" s="12">
        <v>8.1898201000000004</v>
      </c>
      <c r="X58" s="12">
        <v>15.0904369</v>
      </c>
      <c r="Y58" s="12">
        <v>14.9463271</v>
      </c>
      <c r="Z58" s="12">
        <v>-8.0774825999999997</v>
      </c>
      <c r="AA58" s="12">
        <v>48.754124699999998</v>
      </c>
      <c r="AB58" s="12">
        <v>19.115805900000002</v>
      </c>
      <c r="AC58" s="12">
        <v>27.246905099999999</v>
      </c>
      <c r="AD58" s="12">
        <v>70.676538500000007</v>
      </c>
      <c r="AE58" s="12">
        <v>65.793374099999994</v>
      </c>
      <c r="AF58" s="12">
        <v>6.3209710000000001</v>
      </c>
      <c r="AG58" s="12">
        <v>37.476931299999997</v>
      </c>
    </row>
    <row r="59" spans="1:33" s="11" customFormat="1" hidden="1" outlineLevel="1" x14ac:dyDescent="0.3">
      <c r="A59" s="11" t="s">
        <v>65</v>
      </c>
      <c r="B59" s="12">
        <v>1.8176159000000001</v>
      </c>
      <c r="C59" s="12">
        <v>95.433333300000001</v>
      </c>
      <c r="D59" s="12">
        <v>3.0783078000000001</v>
      </c>
      <c r="E59" s="17">
        <v>1.5</v>
      </c>
      <c r="F59" s="13">
        <v>113.34</v>
      </c>
      <c r="G59" s="12">
        <v>1.7245895</v>
      </c>
      <c r="H59" s="12">
        <v>9.5095992000000003</v>
      </c>
      <c r="I59" s="12">
        <v>-1.8090056000000001</v>
      </c>
      <c r="J59" s="12">
        <v>1.1253831999999999</v>
      </c>
      <c r="K59" s="12">
        <v>0.45839590000000002</v>
      </c>
      <c r="L59" s="12">
        <v>-5.1737827999999997</v>
      </c>
      <c r="M59" s="12">
        <v>-2.7347901000000001</v>
      </c>
      <c r="N59" s="12">
        <v>7.2115350999999999</v>
      </c>
      <c r="O59" s="12">
        <v>2.8638693000000002</v>
      </c>
      <c r="P59" s="7">
        <v>4927.8999999999996</v>
      </c>
      <c r="Q59" s="7">
        <v>345.7</v>
      </c>
      <c r="R59" s="7">
        <v>6.5</v>
      </c>
      <c r="S59" s="12">
        <v>2.1483051</v>
      </c>
      <c r="T59" s="12">
        <v>0.75</v>
      </c>
      <c r="U59" s="12">
        <v>94.8</v>
      </c>
      <c r="V59" s="12">
        <v>24.388000000000002</v>
      </c>
      <c r="W59" s="12">
        <v>2.3019899000000001</v>
      </c>
      <c r="X59" s="12">
        <v>10.2321753</v>
      </c>
      <c r="Y59" s="12">
        <v>7.3863548999999997</v>
      </c>
      <c r="Z59" s="12">
        <v>-2.3700296000000001</v>
      </c>
      <c r="AA59" s="12">
        <v>49.0324229</v>
      </c>
      <c r="AB59" s="12">
        <v>18.770715200000001</v>
      </c>
      <c r="AC59" s="12">
        <v>29.8166425</v>
      </c>
      <c r="AD59" s="12">
        <v>68.231888299999994</v>
      </c>
      <c r="AE59" s="12">
        <v>65.851668900000007</v>
      </c>
      <c r="AF59" s="12">
        <v>5.0119924999999999</v>
      </c>
      <c r="AG59" s="12">
        <v>38.5669726</v>
      </c>
    </row>
    <row r="60" spans="1:33" s="11" customFormat="1" hidden="1" outlineLevel="1" x14ac:dyDescent="0.3">
      <c r="A60" s="11" t="s">
        <v>66</v>
      </c>
      <c r="B60" s="12">
        <v>0.47384009999999999</v>
      </c>
      <c r="C60" s="12">
        <v>96.41</v>
      </c>
      <c r="D60" s="12">
        <v>3.2411208999999999</v>
      </c>
      <c r="E60" s="17">
        <v>1.25</v>
      </c>
      <c r="F60" s="13">
        <v>109.3966667</v>
      </c>
      <c r="G60" s="12">
        <v>-0.57349609999999995</v>
      </c>
      <c r="H60" s="12">
        <v>2.251573</v>
      </c>
      <c r="I60" s="12">
        <v>-4.2791319999999997</v>
      </c>
      <c r="J60" s="12">
        <v>0.67089849999999995</v>
      </c>
      <c r="K60" s="12">
        <v>0.16634689999999999</v>
      </c>
      <c r="L60" s="12">
        <v>-5.0618375999999996</v>
      </c>
      <c r="M60" s="12">
        <v>0.60825419999999997</v>
      </c>
      <c r="N60" s="12">
        <v>3.1586940999999999</v>
      </c>
      <c r="O60" s="12">
        <v>0.81685830000000004</v>
      </c>
      <c r="P60" s="7">
        <v>4915.5</v>
      </c>
      <c r="Q60" s="7">
        <v>337.9</v>
      </c>
      <c r="R60" s="7">
        <v>6.4</v>
      </c>
      <c r="S60" s="12">
        <v>2.4227267000000001</v>
      </c>
      <c r="T60" s="12">
        <v>0.75</v>
      </c>
      <c r="U60" s="12">
        <v>95.3</v>
      </c>
      <c r="V60" s="12">
        <v>25.273</v>
      </c>
      <c r="W60" s="12">
        <v>2.6699893000000001</v>
      </c>
      <c r="X60" s="12">
        <v>4.8822937</v>
      </c>
      <c r="Y60" s="12">
        <v>2.4337968000000001</v>
      </c>
      <c r="Z60" s="12">
        <v>-1.2340536</v>
      </c>
      <c r="AA60" s="12">
        <v>48.857401099999997</v>
      </c>
      <c r="AB60" s="12">
        <v>21.712573599999999</v>
      </c>
      <c r="AC60" s="12">
        <v>26.2319511</v>
      </c>
      <c r="AD60" s="12">
        <v>70.648803799999996</v>
      </c>
      <c r="AE60" s="12">
        <v>67.450729499999994</v>
      </c>
      <c r="AF60" s="12">
        <v>5.1820198</v>
      </c>
      <c r="AG60" s="12">
        <v>39.722346100000003</v>
      </c>
    </row>
    <row r="61" spans="1:33" s="11" customFormat="1" hidden="1" outlineLevel="1" x14ac:dyDescent="0.3">
      <c r="A61" s="11" t="s">
        <v>67</v>
      </c>
      <c r="B61" s="12">
        <v>3.7986600000000002E-2</v>
      </c>
      <c r="C61" s="12">
        <v>96.803333300000006</v>
      </c>
      <c r="D61" s="12">
        <v>2.9019914</v>
      </c>
      <c r="E61" s="17">
        <v>1</v>
      </c>
      <c r="F61" s="13">
        <v>118.49</v>
      </c>
      <c r="G61" s="12">
        <v>1.3300042999999999</v>
      </c>
      <c r="H61" s="12">
        <v>2.0752427999999998</v>
      </c>
      <c r="I61" s="12">
        <v>-3.4338126</v>
      </c>
      <c r="J61" s="12">
        <v>0.30802230000000003</v>
      </c>
      <c r="K61" s="12">
        <v>-0.7153467</v>
      </c>
      <c r="L61" s="12">
        <v>-2.0652043999999998</v>
      </c>
      <c r="M61" s="12">
        <v>-4.7224484000000002</v>
      </c>
      <c r="N61" s="12">
        <v>8.2978325000000002</v>
      </c>
      <c r="O61" s="12">
        <v>5.6678544000000004</v>
      </c>
      <c r="P61" s="7">
        <v>4834.8</v>
      </c>
      <c r="Q61" s="7">
        <v>369.2</v>
      </c>
      <c r="R61" s="7">
        <v>7.1</v>
      </c>
      <c r="S61" s="12">
        <v>3.2474756</v>
      </c>
      <c r="T61" s="12">
        <v>0.75</v>
      </c>
      <c r="U61" s="12">
        <v>97.633333300000004</v>
      </c>
      <c r="V61" s="12">
        <v>25.082999999999998</v>
      </c>
      <c r="W61" s="12">
        <v>2.5997802999999999</v>
      </c>
      <c r="X61" s="12">
        <v>9.4373529999999999</v>
      </c>
      <c r="Y61" s="12">
        <v>7.2490901000000001</v>
      </c>
      <c r="Z61" s="12">
        <v>2.6377101999999999</v>
      </c>
      <c r="AA61" s="12">
        <v>50.2679829</v>
      </c>
      <c r="AB61" s="12">
        <v>18.979828399999999</v>
      </c>
      <c r="AC61" s="12">
        <v>24.0335754</v>
      </c>
      <c r="AD61" s="12">
        <v>81.457660799999999</v>
      </c>
      <c r="AE61" s="12">
        <v>74.739047499999998</v>
      </c>
      <c r="AF61" s="12">
        <v>4.8960138999999998</v>
      </c>
      <c r="AG61" s="12">
        <v>41.972143199999998</v>
      </c>
    </row>
    <row r="62" spans="1:33" s="11" customFormat="1" hidden="1" outlineLevel="1" x14ac:dyDescent="0.3">
      <c r="A62" s="11" t="s">
        <v>68</v>
      </c>
      <c r="B62" s="12">
        <v>-0.91019320000000004</v>
      </c>
      <c r="C62" s="12">
        <v>97.993333300000003</v>
      </c>
      <c r="D62" s="12">
        <v>2.5929156999999998</v>
      </c>
      <c r="E62" s="17">
        <v>1</v>
      </c>
      <c r="F62" s="13">
        <v>108.41666669999999</v>
      </c>
      <c r="G62" s="12">
        <v>0.1959331</v>
      </c>
      <c r="H62" s="12">
        <v>0.27823399999999998</v>
      </c>
      <c r="I62" s="12">
        <v>-0.94741359999999997</v>
      </c>
      <c r="J62" s="12">
        <v>-1.2926975000000001</v>
      </c>
      <c r="K62" s="12">
        <v>-1.5952641999999999</v>
      </c>
      <c r="L62" s="12">
        <v>-2.8478542999999998</v>
      </c>
      <c r="M62" s="12">
        <v>-2.2129520999999999</v>
      </c>
      <c r="N62" s="12">
        <v>2.6901169999999999</v>
      </c>
      <c r="O62" s="12">
        <v>1.9457517</v>
      </c>
      <c r="P62" s="7">
        <v>4888</v>
      </c>
      <c r="Q62" s="7">
        <v>350.9</v>
      </c>
      <c r="R62" s="7">
        <v>6.7</v>
      </c>
      <c r="S62" s="12">
        <v>2.1189252000000001</v>
      </c>
      <c r="T62" s="12">
        <v>0.5</v>
      </c>
      <c r="U62" s="12">
        <v>98.1</v>
      </c>
      <c r="V62" s="12">
        <v>25.254000000000001</v>
      </c>
      <c r="W62" s="12">
        <v>-0.8489565</v>
      </c>
      <c r="X62" s="12">
        <v>3.3316009000000002</v>
      </c>
      <c r="Y62" s="12">
        <v>3.0057966</v>
      </c>
      <c r="Z62" s="12">
        <v>-0.50607939999999996</v>
      </c>
      <c r="AA62" s="12">
        <v>48.8149078</v>
      </c>
      <c r="AB62" s="12">
        <v>18.6985539</v>
      </c>
      <c r="AC62" s="12">
        <v>27.131874799999999</v>
      </c>
      <c r="AD62" s="12">
        <v>75.442103700000004</v>
      </c>
      <c r="AE62" s="12">
        <v>70.087440099999995</v>
      </c>
      <c r="AF62" s="12">
        <v>4.3438482</v>
      </c>
      <c r="AG62" s="12">
        <v>42.586169599999998</v>
      </c>
    </row>
    <row r="63" spans="1:33" s="11" customFormat="1" hidden="1" outlineLevel="1" x14ac:dyDescent="0.3">
      <c r="A63" s="11" t="s">
        <v>69</v>
      </c>
      <c r="B63" s="12">
        <v>-1.0352741000000001</v>
      </c>
      <c r="C63" s="12">
        <v>97.9566667</v>
      </c>
      <c r="D63" s="12">
        <v>2.6440796999999998</v>
      </c>
      <c r="E63" s="17">
        <v>0.75</v>
      </c>
      <c r="F63" s="13">
        <v>109.61333329999999</v>
      </c>
      <c r="G63" s="12">
        <v>2.1488309999999999</v>
      </c>
      <c r="H63" s="12">
        <v>2.3761936000000001</v>
      </c>
      <c r="I63" s="12">
        <v>-1.7577442000000001</v>
      </c>
      <c r="J63" s="12">
        <v>-1.2006133000000001</v>
      </c>
      <c r="K63" s="12">
        <v>-1.0327396</v>
      </c>
      <c r="L63" s="12">
        <v>-1.2305778999999999</v>
      </c>
      <c r="M63" s="12">
        <v>-8.7012094999999992</v>
      </c>
      <c r="N63" s="12">
        <v>3.1551388999999999</v>
      </c>
      <c r="O63" s="12">
        <v>-2.3724000000000002E-3</v>
      </c>
      <c r="P63" s="7">
        <v>4920.5</v>
      </c>
      <c r="Q63" s="7">
        <v>367.9</v>
      </c>
      <c r="R63" s="7">
        <v>7</v>
      </c>
      <c r="S63" s="12">
        <v>1.3771933000000001</v>
      </c>
      <c r="T63" s="12">
        <v>0.5</v>
      </c>
      <c r="U63" s="12">
        <v>98.066666699999999</v>
      </c>
      <c r="V63" s="12">
        <v>25.073333300000002</v>
      </c>
      <c r="W63" s="12">
        <v>-0.83905410000000002</v>
      </c>
      <c r="X63" s="12">
        <v>4.0214756999999999</v>
      </c>
      <c r="Y63" s="12">
        <v>1.5282311</v>
      </c>
      <c r="Z63" s="12">
        <v>-4.7862042000000002</v>
      </c>
      <c r="AA63" s="12">
        <v>49.5116406</v>
      </c>
      <c r="AB63" s="12">
        <v>18.640844699999999</v>
      </c>
      <c r="AC63" s="12">
        <v>27.682821700000002</v>
      </c>
      <c r="AD63" s="12">
        <v>72.8897944</v>
      </c>
      <c r="AE63" s="12">
        <v>68.725101499999994</v>
      </c>
      <c r="AF63" s="12">
        <v>3.7837092000000001</v>
      </c>
      <c r="AG63" s="12">
        <v>44.007476799999999</v>
      </c>
    </row>
    <row r="64" spans="1:33" s="11" customFormat="1" hidden="1" outlineLevel="1" x14ac:dyDescent="0.3">
      <c r="A64" s="11" t="s">
        <v>70</v>
      </c>
      <c r="B64" s="12">
        <v>-0.98067590000000004</v>
      </c>
      <c r="C64" s="12">
        <v>98.773333300000004</v>
      </c>
      <c r="D64" s="12">
        <v>2.4513362999999999</v>
      </c>
      <c r="E64" s="17">
        <v>0.75</v>
      </c>
      <c r="F64" s="13">
        <v>110.08666669999999</v>
      </c>
      <c r="G64" s="12">
        <v>11.8897338</v>
      </c>
      <c r="H64" s="12">
        <v>0.92531810000000003</v>
      </c>
      <c r="I64" s="12">
        <v>-9.2379481000000006</v>
      </c>
      <c r="J64" s="12">
        <v>-0.87517820000000002</v>
      </c>
      <c r="K64" s="12">
        <v>-1.0571906</v>
      </c>
      <c r="L64" s="12">
        <v>-1.6129791</v>
      </c>
      <c r="M64" s="12">
        <v>-0.70114589999999999</v>
      </c>
      <c r="N64" s="12">
        <v>3.0785741999999998</v>
      </c>
      <c r="O64" s="12">
        <v>3.0224840999999998</v>
      </c>
      <c r="P64" s="7">
        <v>4916.6000000000004</v>
      </c>
      <c r="Q64" s="7">
        <v>379.3</v>
      </c>
      <c r="R64" s="7">
        <v>7.2</v>
      </c>
      <c r="S64" s="12">
        <v>3.2200221</v>
      </c>
      <c r="T64" s="12">
        <v>0.05</v>
      </c>
      <c r="U64" s="12">
        <v>98.1</v>
      </c>
      <c r="V64" s="12">
        <v>25.172666700000001</v>
      </c>
      <c r="W64" s="12">
        <v>-4.0915394999999997</v>
      </c>
      <c r="X64" s="12">
        <v>4.3523681999999999</v>
      </c>
      <c r="Y64" s="12">
        <v>4.6811373999999999</v>
      </c>
      <c r="Z64" s="12">
        <v>-3.2109724000000002</v>
      </c>
      <c r="AA64" s="12">
        <v>49.164902400000003</v>
      </c>
      <c r="AB64" s="12">
        <v>21.394536599999999</v>
      </c>
      <c r="AC64" s="12">
        <v>26.438453299999999</v>
      </c>
      <c r="AD64" s="12">
        <v>73.251430600000006</v>
      </c>
      <c r="AE64" s="12">
        <v>70.249322800000002</v>
      </c>
      <c r="AF64" s="12">
        <v>3.3103205</v>
      </c>
      <c r="AG64" s="12">
        <v>44.151280300000003</v>
      </c>
    </row>
    <row r="65" spans="1:33" s="11" customFormat="1" hidden="1" outlineLevel="1" x14ac:dyDescent="0.3">
      <c r="A65" s="11" t="s">
        <v>71</v>
      </c>
      <c r="B65" s="12">
        <v>-1.6415721999999999</v>
      </c>
      <c r="C65" s="12">
        <v>98.726666699999996</v>
      </c>
      <c r="D65" s="12">
        <v>1.9868463000000001</v>
      </c>
      <c r="E65" s="17">
        <v>0.75</v>
      </c>
      <c r="F65" s="13">
        <v>112.4933333</v>
      </c>
      <c r="G65" s="12">
        <v>0.89359330000000003</v>
      </c>
      <c r="H65" s="12">
        <v>1.4146243000000001</v>
      </c>
      <c r="I65" s="12">
        <v>-3.2827033000000001</v>
      </c>
      <c r="J65" s="12">
        <v>-2.0201832</v>
      </c>
      <c r="K65" s="12">
        <v>-0.23797489999999999</v>
      </c>
      <c r="L65" s="12">
        <v>1.2242902</v>
      </c>
      <c r="M65" s="12">
        <v>-8.0003001999999999</v>
      </c>
      <c r="N65" s="12">
        <v>-6.2924389999999999</v>
      </c>
      <c r="O65" s="12">
        <v>-6.5101608000000004</v>
      </c>
      <c r="P65" s="7">
        <v>4884</v>
      </c>
      <c r="Q65" s="7">
        <v>392.7</v>
      </c>
      <c r="R65" s="7">
        <v>7.4</v>
      </c>
      <c r="S65" s="12">
        <v>-0.60503090000000004</v>
      </c>
      <c r="T65" s="12">
        <v>0.05</v>
      </c>
      <c r="U65" s="12">
        <v>99.333333300000007</v>
      </c>
      <c r="V65" s="12">
        <v>25.565666700000001</v>
      </c>
      <c r="W65" s="12">
        <v>-5.8529622000000003</v>
      </c>
      <c r="X65" s="12">
        <v>-6.9979816000000001</v>
      </c>
      <c r="Y65" s="12">
        <v>-7.9218131999999999</v>
      </c>
      <c r="Z65" s="12">
        <v>1.7258829</v>
      </c>
      <c r="AA65" s="12">
        <v>50.962402599999997</v>
      </c>
      <c r="AB65" s="12">
        <v>19.370554500000001</v>
      </c>
      <c r="AC65" s="12">
        <v>22.349143000000002</v>
      </c>
      <c r="AD65" s="12">
        <v>78.008639099999996</v>
      </c>
      <c r="AE65" s="12">
        <v>70.690739199999996</v>
      </c>
      <c r="AF65" s="12">
        <v>2.9903795999999998</v>
      </c>
      <c r="AG65" s="12">
        <v>44.5726102</v>
      </c>
    </row>
    <row r="66" spans="1:33" s="11" customFormat="1" hidden="1" outlineLevel="1" x14ac:dyDescent="0.3">
      <c r="A66" s="11" t="s">
        <v>72</v>
      </c>
      <c r="B66" s="12">
        <v>-0.1331087</v>
      </c>
      <c r="C66" s="12">
        <v>99.533333299999995</v>
      </c>
      <c r="D66" s="12">
        <v>1.5715355</v>
      </c>
      <c r="E66" s="17">
        <v>0.58333330000000005</v>
      </c>
      <c r="F66" s="13">
        <v>102.5766667</v>
      </c>
      <c r="G66" s="12">
        <v>-9.528E-3</v>
      </c>
      <c r="H66" s="12">
        <v>0.2804779</v>
      </c>
      <c r="I66" s="12">
        <v>-0.8220674</v>
      </c>
      <c r="J66" s="12">
        <v>-0.56236379999999997</v>
      </c>
      <c r="K66" s="12">
        <v>1.1916541</v>
      </c>
      <c r="L66" s="12">
        <v>1.4774951000000001</v>
      </c>
      <c r="M66" s="12">
        <v>-11.1948115</v>
      </c>
      <c r="N66" s="12">
        <v>0.41651939999999998</v>
      </c>
      <c r="O66" s="12">
        <v>-1.7910451999999999</v>
      </c>
      <c r="P66" s="7">
        <v>4953</v>
      </c>
      <c r="Q66" s="7">
        <v>358</v>
      </c>
      <c r="R66" s="7">
        <v>6.8</v>
      </c>
      <c r="S66" s="12">
        <v>1.0151460000000001</v>
      </c>
      <c r="T66" s="12">
        <v>0.05</v>
      </c>
      <c r="U66" s="12">
        <v>99.566666699999999</v>
      </c>
      <c r="V66" s="12">
        <v>25.829333299999998</v>
      </c>
      <c r="W66" s="12">
        <v>-2.7470566999999999</v>
      </c>
      <c r="X66" s="12">
        <v>-1.2032281</v>
      </c>
      <c r="Y66" s="12">
        <v>-3.9399223999999999</v>
      </c>
      <c r="Z66" s="12">
        <v>-0.38313570000000002</v>
      </c>
      <c r="AA66" s="12">
        <v>49.528328299999998</v>
      </c>
      <c r="AB66" s="12">
        <v>18.9776098</v>
      </c>
      <c r="AC66" s="12">
        <v>24.025395499999998</v>
      </c>
      <c r="AD66" s="12">
        <v>76.032198500000007</v>
      </c>
      <c r="AE66" s="12">
        <v>68.563532199999997</v>
      </c>
      <c r="AF66" s="12">
        <v>3.2598709000000001</v>
      </c>
      <c r="AG66" s="12">
        <v>43.782398000000001</v>
      </c>
    </row>
    <row r="67" spans="1:33" s="11" customFormat="1" hidden="1" outlineLevel="1" x14ac:dyDescent="0.3">
      <c r="A67" s="11" t="s">
        <v>73</v>
      </c>
      <c r="B67" s="12">
        <v>0.53477319999999995</v>
      </c>
      <c r="C67" s="12">
        <v>99.423333299999996</v>
      </c>
      <c r="D67" s="12">
        <v>1.4972605999999999</v>
      </c>
      <c r="E67" s="17">
        <v>0.5</v>
      </c>
      <c r="F67" s="13">
        <v>110.27</v>
      </c>
      <c r="G67" s="12">
        <v>-0.63862600000000003</v>
      </c>
      <c r="H67" s="12">
        <v>3.0191876</v>
      </c>
      <c r="I67" s="12">
        <v>-0.26940219999999998</v>
      </c>
      <c r="J67" s="12">
        <v>0.95234660000000004</v>
      </c>
      <c r="K67" s="12">
        <v>1.4511339000000001</v>
      </c>
      <c r="L67" s="12">
        <v>3.3986117999999998</v>
      </c>
      <c r="M67" s="12">
        <v>0.47525260000000003</v>
      </c>
      <c r="N67" s="12">
        <v>2.5138465000000001</v>
      </c>
      <c r="O67" s="12">
        <v>3.5027905000000001</v>
      </c>
      <c r="P67" s="7">
        <v>4953.6000000000004</v>
      </c>
      <c r="Q67" s="7">
        <v>369.6</v>
      </c>
      <c r="R67" s="7">
        <v>7</v>
      </c>
      <c r="S67" s="12">
        <v>1.2111788999999999</v>
      </c>
      <c r="T67" s="12">
        <v>0.05</v>
      </c>
      <c r="U67" s="12">
        <v>99.266666700000002</v>
      </c>
      <c r="V67" s="12">
        <v>25.850333299999999</v>
      </c>
      <c r="W67" s="12">
        <v>3.6538461</v>
      </c>
      <c r="X67" s="12">
        <v>0.3602262</v>
      </c>
      <c r="Y67" s="12">
        <v>0.2197413</v>
      </c>
      <c r="Z67" s="12">
        <v>-2.7620722</v>
      </c>
      <c r="AA67" s="12">
        <v>49.515266099999998</v>
      </c>
      <c r="AB67" s="12">
        <v>18.878013599999999</v>
      </c>
      <c r="AC67" s="12">
        <v>27.262265599999999</v>
      </c>
      <c r="AD67" s="12">
        <v>73.841285499999998</v>
      </c>
      <c r="AE67" s="12">
        <v>69.496830799999998</v>
      </c>
      <c r="AF67" s="12">
        <v>3.6482378</v>
      </c>
      <c r="AG67" s="12">
        <v>43.259950799999999</v>
      </c>
    </row>
    <row r="68" spans="1:33" s="11" customFormat="1" hidden="1" outlineLevel="1" x14ac:dyDescent="0.3">
      <c r="A68" s="11" t="s">
        <v>74</v>
      </c>
      <c r="B68" s="12">
        <v>0.83200640000000003</v>
      </c>
      <c r="C68" s="12">
        <v>99.72</v>
      </c>
      <c r="D68" s="12">
        <v>0.95842340000000004</v>
      </c>
      <c r="E68" s="17">
        <v>0.3333333</v>
      </c>
      <c r="F68" s="13">
        <v>109.21</v>
      </c>
      <c r="G68" s="12">
        <v>-11.353954999999999</v>
      </c>
      <c r="H68" s="12">
        <v>6.2252210999999997</v>
      </c>
      <c r="I68" s="12">
        <v>-0.95184230000000003</v>
      </c>
      <c r="J68" s="12">
        <v>1.3039122000000001</v>
      </c>
      <c r="K68" s="12">
        <v>0.95233009999999996</v>
      </c>
      <c r="L68" s="12">
        <v>3.3965673999999999</v>
      </c>
      <c r="M68" s="12">
        <v>0.94614220000000004</v>
      </c>
      <c r="N68" s="12">
        <v>4.5533885999999999</v>
      </c>
      <c r="O68" s="12">
        <v>4.8969583999999999</v>
      </c>
      <c r="P68" s="7">
        <v>4957.7</v>
      </c>
      <c r="Q68" s="7">
        <v>355.4</v>
      </c>
      <c r="R68" s="7">
        <v>6.7</v>
      </c>
      <c r="S68" s="12">
        <v>-1.9589725</v>
      </c>
      <c r="T68" s="12">
        <v>0.05</v>
      </c>
      <c r="U68" s="12">
        <v>99.2</v>
      </c>
      <c r="V68" s="12">
        <v>26.703333300000001</v>
      </c>
      <c r="W68" s="12">
        <v>4.9891540000000001</v>
      </c>
      <c r="X68" s="12">
        <v>1.6185053</v>
      </c>
      <c r="Y68" s="12">
        <v>0.76756639999999998</v>
      </c>
      <c r="Z68" s="12">
        <v>-0.47809309999999999</v>
      </c>
      <c r="AA68" s="12">
        <v>48.448846199999998</v>
      </c>
      <c r="AB68" s="12">
        <v>21.539751299999999</v>
      </c>
      <c r="AC68" s="12">
        <v>26.106103000000001</v>
      </c>
      <c r="AD68" s="12">
        <v>76.509371999999999</v>
      </c>
      <c r="AE68" s="12">
        <v>72.604072500000001</v>
      </c>
      <c r="AF68" s="12">
        <v>4.2553330000000003</v>
      </c>
      <c r="AG68" s="12">
        <v>44.420249900000002</v>
      </c>
    </row>
    <row r="69" spans="1:33" s="11" customFormat="1" hidden="1" outlineLevel="1" x14ac:dyDescent="0.3">
      <c r="A69" s="11" t="s">
        <v>75</v>
      </c>
      <c r="B69" s="12">
        <v>1.8456245</v>
      </c>
      <c r="C69" s="12">
        <v>99.49</v>
      </c>
      <c r="D69" s="12">
        <v>0.77317840000000004</v>
      </c>
      <c r="E69" s="17">
        <v>0.25</v>
      </c>
      <c r="F69" s="13">
        <v>108.16666669999999</v>
      </c>
      <c r="G69" s="12">
        <v>6.2184659</v>
      </c>
      <c r="H69" s="12">
        <v>3.2890377000000002</v>
      </c>
      <c r="I69" s="12">
        <v>-4.4869938999999999</v>
      </c>
      <c r="J69" s="12">
        <v>2.0043712999999999</v>
      </c>
      <c r="K69" s="12">
        <v>1.1169064</v>
      </c>
      <c r="L69" s="12">
        <v>0.48721560000000003</v>
      </c>
      <c r="M69" s="12">
        <v>2.6446011</v>
      </c>
      <c r="N69" s="12">
        <v>11.756011300000001</v>
      </c>
      <c r="O69" s="12">
        <v>11.988550500000001</v>
      </c>
      <c r="P69" s="7">
        <v>4923</v>
      </c>
      <c r="Q69" s="7">
        <v>357.8</v>
      </c>
      <c r="R69" s="7">
        <v>6.8</v>
      </c>
      <c r="S69" s="12">
        <v>3.9441316999999998</v>
      </c>
      <c r="T69" s="12">
        <v>0.05</v>
      </c>
      <c r="U69" s="12">
        <v>99.633333300000004</v>
      </c>
      <c r="V69" s="12">
        <v>27.4413333</v>
      </c>
      <c r="W69" s="12">
        <v>6.8612586000000002</v>
      </c>
      <c r="X69" s="12">
        <v>8.5630433999999997</v>
      </c>
      <c r="Y69" s="12">
        <v>7.2358089999999997</v>
      </c>
      <c r="Z69" s="12">
        <v>8.2042065999999991</v>
      </c>
      <c r="AA69" s="12">
        <v>49.700736800000001</v>
      </c>
      <c r="AB69" s="12">
        <v>18.7879966</v>
      </c>
      <c r="AC69" s="12">
        <v>22.382862500000002</v>
      </c>
      <c r="AD69" s="12">
        <v>87.087642599999995</v>
      </c>
      <c r="AE69" s="12">
        <v>77.959238499999998</v>
      </c>
      <c r="AF69" s="12">
        <v>4.5787788999999997</v>
      </c>
      <c r="AG69" s="12">
        <v>42.294891200000002</v>
      </c>
    </row>
    <row r="70" spans="1:33" s="11" customFormat="1" hidden="1" outlineLevel="1" x14ac:dyDescent="0.3">
      <c r="A70" s="11" t="s">
        <v>76</v>
      </c>
      <c r="B70" s="12">
        <v>1.1953549000000001</v>
      </c>
      <c r="C70" s="12">
        <v>100.22333329999999</v>
      </c>
      <c r="D70" s="12">
        <v>0.69323509999999999</v>
      </c>
      <c r="E70" s="17">
        <v>0.21666669999999999</v>
      </c>
      <c r="F70" s="13">
        <v>109.7</v>
      </c>
      <c r="G70" s="12">
        <v>3.2479819000000001</v>
      </c>
      <c r="H70" s="12">
        <v>3.9043720999999998</v>
      </c>
      <c r="I70" s="12">
        <v>-0.54617899999999997</v>
      </c>
      <c r="J70" s="12">
        <v>2.3438181999999999</v>
      </c>
      <c r="K70" s="12">
        <v>0.90702280000000002</v>
      </c>
      <c r="L70" s="12">
        <v>1.7493164000000001</v>
      </c>
      <c r="M70" s="12">
        <v>12.617359</v>
      </c>
      <c r="N70" s="12">
        <v>8.6885221999999995</v>
      </c>
      <c r="O70" s="12">
        <v>11.8219724</v>
      </c>
      <c r="P70" s="7">
        <v>4962.2</v>
      </c>
      <c r="Q70" s="7">
        <v>318.60000000000002</v>
      </c>
      <c r="R70" s="7">
        <v>6</v>
      </c>
      <c r="S70" s="12">
        <v>2.7816858999999998</v>
      </c>
      <c r="T70" s="12">
        <v>0.05</v>
      </c>
      <c r="U70" s="12">
        <v>99.766666700000002</v>
      </c>
      <c r="V70" s="12">
        <v>27.4456667</v>
      </c>
      <c r="W70" s="12">
        <v>6.0528246000000001</v>
      </c>
      <c r="X70" s="12">
        <v>6.4434759000000001</v>
      </c>
      <c r="Y70" s="12">
        <v>7.4491547999999996</v>
      </c>
      <c r="Z70" s="12">
        <v>-3.4528496</v>
      </c>
      <c r="AA70" s="12">
        <v>47.924684999999997</v>
      </c>
      <c r="AB70" s="12">
        <v>18.601869799999999</v>
      </c>
      <c r="AC70" s="12">
        <v>26.088454200000001</v>
      </c>
      <c r="AD70" s="12">
        <v>81.720271100000005</v>
      </c>
      <c r="AE70" s="12">
        <v>74.335280100000006</v>
      </c>
      <c r="AF70" s="12">
        <v>4.5705616999999998</v>
      </c>
      <c r="AG70" s="12">
        <v>41.833476500000003</v>
      </c>
    </row>
    <row r="71" spans="1:33" s="11" customFormat="1" hidden="1" outlineLevel="1" x14ac:dyDescent="0.3">
      <c r="A71" s="11" t="s">
        <v>77</v>
      </c>
      <c r="B71" s="12">
        <v>1.5779679</v>
      </c>
      <c r="C71" s="12">
        <v>99.91</v>
      </c>
      <c r="D71" s="12">
        <v>0.48948940000000002</v>
      </c>
      <c r="E71" s="17">
        <v>0.1166667</v>
      </c>
      <c r="F71" s="13">
        <v>101.8233333</v>
      </c>
      <c r="G71" s="12">
        <v>4.2966613999999996</v>
      </c>
      <c r="H71" s="12">
        <v>5.1373408999999999</v>
      </c>
      <c r="I71" s="12">
        <v>5.66054E-2</v>
      </c>
      <c r="J71" s="12">
        <v>3.1516218999999999</v>
      </c>
      <c r="K71" s="12">
        <v>1.6613758000000001</v>
      </c>
      <c r="L71" s="12">
        <v>-0.47709240000000003</v>
      </c>
      <c r="M71" s="12">
        <v>9.0653603</v>
      </c>
      <c r="N71" s="12">
        <v>8.2307270999999993</v>
      </c>
      <c r="O71" s="12">
        <v>8.8007421000000008</v>
      </c>
      <c r="P71" s="7">
        <v>4995</v>
      </c>
      <c r="Q71" s="7">
        <v>312.7</v>
      </c>
      <c r="R71" s="7">
        <v>5.9</v>
      </c>
      <c r="S71" s="12">
        <v>2.1993127000000001</v>
      </c>
      <c r="T71" s="12">
        <v>0.05</v>
      </c>
      <c r="U71" s="12">
        <v>99.933333300000001</v>
      </c>
      <c r="V71" s="12">
        <v>27.6243333</v>
      </c>
      <c r="W71" s="12">
        <v>4.1929499000000003</v>
      </c>
      <c r="X71" s="12">
        <v>6.4411718999999996</v>
      </c>
      <c r="Y71" s="12">
        <v>5.3906001000000003</v>
      </c>
      <c r="Z71" s="12">
        <v>-3.4485231999999999</v>
      </c>
      <c r="AA71" s="12">
        <v>47.992702199999997</v>
      </c>
      <c r="AB71" s="12">
        <v>17.993714300000001</v>
      </c>
      <c r="AC71" s="12">
        <v>28.573194300000001</v>
      </c>
      <c r="AD71" s="12">
        <v>79.174940300000003</v>
      </c>
      <c r="AE71" s="12">
        <v>73.734551100000004</v>
      </c>
      <c r="AF71" s="12">
        <v>4.6786006000000002</v>
      </c>
      <c r="AG71" s="12">
        <v>41.995588300000001</v>
      </c>
    </row>
    <row r="72" spans="1:33" s="11" customFormat="1" hidden="1" outlineLevel="1" x14ac:dyDescent="0.3">
      <c r="A72" s="11" t="s">
        <v>78</v>
      </c>
      <c r="B72" s="12">
        <v>1.7505474000000001</v>
      </c>
      <c r="C72" s="12">
        <v>99.97</v>
      </c>
      <c r="D72" s="12">
        <v>0.25070199999999998</v>
      </c>
      <c r="E72" s="17">
        <v>0.05</v>
      </c>
      <c r="F72" s="13">
        <v>76.4033333</v>
      </c>
      <c r="G72" s="12">
        <v>5.5469691000000001</v>
      </c>
      <c r="H72" s="12">
        <v>-0.71778019999999998</v>
      </c>
      <c r="I72" s="12">
        <v>-3.5097054000000001</v>
      </c>
      <c r="J72" s="12">
        <v>1.5477628000000001</v>
      </c>
      <c r="K72" s="12">
        <v>1.7914699999999999</v>
      </c>
      <c r="L72" s="12">
        <v>2.0800597999999999</v>
      </c>
      <c r="M72" s="12">
        <v>3.8362772000000001</v>
      </c>
      <c r="N72" s="12">
        <v>6.4420406000000003</v>
      </c>
      <c r="O72" s="12">
        <v>7.8470963999999999</v>
      </c>
      <c r="P72" s="7">
        <v>5017.1000000000004</v>
      </c>
      <c r="Q72" s="7">
        <v>305.3</v>
      </c>
      <c r="R72" s="7">
        <v>5.7</v>
      </c>
      <c r="S72" s="12">
        <v>2.7747408</v>
      </c>
      <c r="T72" s="12">
        <v>0.05</v>
      </c>
      <c r="U72" s="12">
        <v>99.666666699999993</v>
      </c>
      <c r="V72" s="12">
        <v>27.6316667</v>
      </c>
      <c r="W72" s="12">
        <v>2.8925619999999999</v>
      </c>
      <c r="X72" s="12">
        <v>5.3097232999999999</v>
      </c>
      <c r="Y72" s="12">
        <v>5.8005570000000004</v>
      </c>
      <c r="Z72" s="12">
        <v>0.18281500000000001</v>
      </c>
      <c r="AA72" s="12">
        <v>47.825949999999999</v>
      </c>
      <c r="AB72" s="12">
        <v>21.811387499999999</v>
      </c>
      <c r="AC72" s="12">
        <v>26.598988299999998</v>
      </c>
      <c r="AD72" s="12">
        <v>80.409658199999996</v>
      </c>
      <c r="AE72" s="12">
        <v>76.645983900000004</v>
      </c>
      <c r="AF72" s="12">
        <v>4.0257949999999996</v>
      </c>
      <c r="AG72" s="12">
        <v>41.8542554</v>
      </c>
    </row>
    <row r="73" spans="1:33" s="11" customFormat="1" hidden="1" outlineLevel="1" x14ac:dyDescent="0.3">
      <c r="A73" s="11" t="s">
        <v>79</v>
      </c>
      <c r="B73" s="12">
        <v>2.0633189000000001</v>
      </c>
      <c r="C73" s="12">
        <v>99.203333299999997</v>
      </c>
      <c r="D73" s="12">
        <v>-0.28813620000000001</v>
      </c>
      <c r="E73" s="17">
        <v>0.05</v>
      </c>
      <c r="F73" s="13">
        <v>53.9166667</v>
      </c>
      <c r="G73" s="12">
        <v>-1.4406330000000001</v>
      </c>
      <c r="H73" s="12">
        <v>5.2733156000000001</v>
      </c>
      <c r="I73" s="12">
        <v>-1.596975</v>
      </c>
      <c r="J73" s="12">
        <v>5.2368594000000002</v>
      </c>
      <c r="K73" s="12">
        <v>3.6064538000000002</v>
      </c>
      <c r="L73" s="12">
        <v>1.2316677</v>
      </c>
      <c r="M73" s="12">
        <v>15.4596666</v>
      </c>
      <c r="N73" s="12">
        <v>5.7898756000000002</v>
      </c>
      <c r="O73" s="12">
        <v>6.8201894999999997</v>
      </c>
      <c r="P73" s="7">
        <v>4987.1000000000004</v>
      </c>
      <c r="Q73" s="7">
        <v>316.2</v>
      </c>
      <c r="R73" s="7">
        <v>6</v>
      </c>
      <c r="S73" s="12">
        <v>2.2702659000000001</v>
      </c>
      <c r="T73" s="12">
        <v>0.05</v>
      </c>
      <c r="U73" s="12">
        <v>99.633333300000004</v>
      </c>
      <c r="V73" s="12">
        <v>27.6273333</v>
      </c>
      <c r="W73" s="12">
        <v>5.0372472000000004</v>
      </c>
      <c r="X73" s="12">
        <v>5.0652460000000001</v>
      </c>
      <c r="Y73" s="12">
        <v>5.2662222999999999</v>
      </c>
      <c r="Z73" s="12">
        <v>8.9032946000000006</v>
      </c>
      <c r="AA73" s="12">
        <v>48.261216400000002</v>
      </c>
      <c r="AB73" s="12">
        <v>18.2665325</v>
      </c>
      <c r="AC73" s="12">
        <v>24.5613311</v>
      </c>
      <c r="AD73" s="12">
        <v>86.170738400000005</v>
      </c>
      <c r="AE73" s="12">
        <v>77.259818499999994</v>
      </c>
      <c r="AF73" s="12">
        <v>4.464874</v>
      </c>
      <c r="AG73" s="12">
        <v>39.660477499999999</v>
      </c>
    </row>
    <row r="74" spans="1:33" s="11" customFormat="1" hidden="1" outlineLevel="1" x14ac:dyDescent="0.3">
      <c r="A74" s="11" t="s">
        <v>80</v>
      </c>
      <c r="B74" s="12">
        <v>2.2703967</v>
      </c>
      <c r="C74" s="12">
        <v>100.5233333</v>
      </c>
      <c r="D74" s="12">
        <v>0.29933149999999997</v>
      </c>
      <c r="E74" s="17">
        <v>0.05</v>
      </c>
      <c r="F74" s="13">
        <v>61.693333299999999</v>
      </c>
      <c r="G74" s="12">
        <v>5.6488721000000002</v>
      </c>
      <c r="H74" s="12">
        <v>9.3668733</v>
      </c>
      <c r="I74" s="12">
        <v>0.89544979999999996</v>
      </c>
      <c r="J74" s="12">
        <v>5.7759482000000002</v>
      </c>
      <c r="K74" s="12">
        <v>3.8032545</v>
      </c>
      <c r="L74" s="12">
        <v>1.4366787000000001</v>
      </c>
      <c r="M74" s="12">
        <v>18.343107</v>
      </c>
      <c r="N74" s="12">
        <v>6.0528491999999998</v>
      </c>
      <c r="O74" s="12">
        <v>8.1250931000000008</v>
      </c>
      <c r="P74" s="7">
        <v>5044.3</v>
      </c>
      <c r="Q74" s="7">
        <v>261.8</v>
      </c>
      <c r="R74" s="7">
        <v>4.9000000000000004</v>
      </c>
      <c r="S74" s="12">
        <v>3.2813172000000002</v>
      </c>
      <c r="T74" s="12">
        <v>0.05</v>
      </c>
      <c r="U74" s="12">
        <v>100.4666667</v>
      </c>
      <c r="V74" s="12">
        <v>27.381</v>
      </c>
      <c r="W74" s="12">
        <v>5.3960566999999999</v>
      </c>
      <c r="X74" s="12">
        <v>6.1679025000000003</v>
      </c>
      <c r="Y74" s="12">
        <v>8.3111957000000007</v>
      </c>
      <c r="Z74" s="12">
        <v>-3.8868711999999999</v>
      </c>
      <c r="AA74" s="12">
        <v>46.710294500000003</v>
      </c>
      <c r="AB74" s="12">
        <v>18.105672899999998</v>
      </c>
      <c r="AC74" s="12">
        <v>29.330729300000002</v>
      </c>
      <c r="AD74" s="12">
        <v>80.987530599999999</v>
      </c>
      <c r="AE74" s="12">
        <v>75.134227199999998</v>
      </c>
      <c r="AF74" s="12">
        <v>6.6747817999999999</v>
      </c>
      <c r="AG74" s="12">
        <v>39.522023900000001</v>
      </c>
    </row>
    <row r="75" spans="1:33" s="11" customFormat="1" hidden="1" outlineLevel="1" x14ac:dyDescent="0.3">
      <c r="A75" s="11" t="s">
        <v>81</v>
      </c>
      <c r="B75" s="12">
        <v>2.2457793000000001</v>
      </c>
      <c r="C75" s="12">
        <v>100.1533333</v>
      </c>
      <c r="D75" s="12">
        <v>0.24355250000000001</v>
      </c>
      <c r="E75" s="17">
        <v>0.05</v>
      </c>
      <c r="F75" s="13">
        <v>50.233333299999998</v>
      </c>
      <c r="G75" s="12">
        <v>4.3392020999999996</v>
      </c>
      <c r="H75" s="12">
        <v>6.1507269000000004</v>
      </c>
      <c r="I75" s="12">
        <v>0.74230209999999996</v>
      </c>
      <c r="J75" s="12">
        <v>5.2440474000000004</v>
      </c>
      <c r="K75" s="12">
        <v>3.5176938</v>
      </c>
      <c r="L75" s="12">
        <v>2.8391790000000001</v>
      </c>
      <c r="M75" s="12">
        <v>12.568015300000001</v>
      </c>
      <c r="N75" s="12">
        <v>4.7343821000000004</v>
      </c>
      <c r="O75" s="12">
        <v>5.7591162000000002</v>
      </c>
      <c r="P75" s="7">
        <v>5060.3</v>
      </c>
      <c r="Q75" s="7">
        <v>257</v>
      </c>
      <c r="R75" s="7">
        <v>4.8</v>
      </c>
      <c r="S75" s="12">
        <v>3.4969738000000001</v>
      </c>
      <c r="T75" s="12">
        <v>0.05</v>
      </c>
      <c r="U75" s="12">
        <v>100.2666667</v>
      </c>
      <c r="V75" s="12">
        <v>27.074666700000002</v>
      </c>
      <c r="W75" s="12">
        <v>3.6680910999999998</v>
      </c>
      <c r="X75" s="12">
        <v>4.4040803000000004</v>
      </c>
      <c r="Y75" s="12">
        <v>5.2484288000000001</v>
      </c>
      <c r="Z75" s="12">
        <v>-3.9024519999999998</v>
      </c>
      <c r="AA75" s="12">
        <v>46.701526999999999</v>
      </c>
      <c r="AB75" s="12">
        <v>18.005935000000001</v>
      </c>
      <c r="AC75" s="12">
        <v>30.613247900000001</v>
      </c>
      <c r="AD75" s="12">
        <v>76.394371000000007</v>
      </c>
      <c r="AE75" s="12">
        <v>71.715080999999998</v>
      </c>
      <c r="AF75" s="12">
        <v>7.0196065000000001</v>
      </c>
      <c r="AG75" s="12">
        <v>39.515624500000001</v>
      </c>
    </row>
    <row r="76" spans="1:33" s="11" customFormat="1" hidden="1" outlineLevel="1" x14ac:dyDescent="0.3">
      <c r="A76" s="11" t="s">
        <v>82</v>
      </c>
      <c r="B76" s="12">
        <v>2.5478125</v>
      </c>
      <c r="C76" s="12">
        <v>100.1233333</v>
      </c>
      <c r="D76" s="12">
        <v>0.1533793</v>
      </c>
      <c r="E76" s="17">
        <v>0.05</v>
      </c>
      <c r="F76" s="13">
        <v>43.57</v>
      </c>
      <c r="G76" s="12">
        <v>9.7213954000000005</v>
      </c>
      <c r="H76" s="12">
        <v>12.3382603</v>
      </c>
      <c r="I76" s="12">
        <v>-2.6378683000000001</v>
      </c>
      <c r="J76" s="12">
        <v>5.2920452999999998</v>
      </c>
      <c r="K76" s="12">
        <v>4.6043937000000001</v>
      </c>
      <c r="L76" s="12">
        <v>1.5837151</v>
      </c>
      <c r="M76" s="12">
        <v>7.0388761999999998</v>
      </c>
      <c r="N76" s="12">
        <v>7.4874939999999999</v>
      </c>
      <c r="O76" s="12">
        <v>6.7079541000000003</v>
      </c>
      <c r="P76" s="7">
        <v>5075.8999999999996</v>
      </c>
      <c r="Q76" s="7">
        <v>236.7</v>
      </c>
      <c r="R76" s="7">
        <v>4.5</v>
      </c>
      <c r="S76" s="12">
        <v>3.6572393000000001</v>
      </c>
      <c r="T76" s="12">
        <v>0.05</v>
      </c>
      <c r="U76" s="12">
        <v>99.666666699999993</v>
      </c>
      <c r="V76" s="12">
        <v>27.056999999999999</v>
      </c>
      <c r="W76" s="12">
        <v>3.1793841999999999</v>
      </c>
      <c r="X76" s="12">
        <v>6.7478425</v>
      </c>
      <c r="Y76" s="12">
        <v>5.4632855999999999</v>
      </c>
      <c r="Z76" s="12">
        <v>1.4217378000000001</v>
      </c>
      <c r="AA76" s="12">
        <v>47.068938899999999</v>
      </c>
      <c r="AB76" s="12">
        <v>21.152892000000001</v>
      </c>
      <c r="AC76" s="12">
        <v>27.131168599999999</v>
      </c>
      <c r="AD76" s="12">
        <v>79.276639799999998</v>
      </c>
      <c r="AE76" s="12">
        <v>74.629639299999994</v>
      </c>
      <c r="AF76" s="12">
        <v>7.5776914</v>
      </c>
      <c r="AG76" s="12">
        <v>39.695069199999999</v>
      </c>
    </row>
    <row r="77" spans="1:33" s="11" customFormat="1" hidden="1" outlineLevel="1" x14ac:dyDescent="0.3">
      <c r="A77" s="11" t="s">
        <v>83</v>
      </c>
      <c r="B77" s="12">
        <v>1.9366078</v>
      </c>
      <c r="C77" s="12">
        <v>99.246666700000006</v>
      </c>
      <c r="D77" s="12">
        <v>4.3681400000000002E-2</v>
      </c>
      <c r="E77" s="17">
        <v>3.3333300000000003E-2</v>
      </c>
      <c r="F77" s="13">
        <v>33.696666700000002</v>
      </c>
      <c r="G77" s="12">
        <v>1.8744031999999999</v>
      </c>
      <c r="H77" s="12">
        <v>5.2663906999999996</v>
      </c>
      <c r="I77" s="12">
        <v>-0.26359670000000002</v>
      </c>
      <c r="J77" s="12">
        <v>3.0444456999999998</v>
      </c>
      <c r="K77" s="12">
        <v>4.1748186</v>
      </c>
      <c r="L77" s="12">
        <v>2.5110461000000002</v>
      </c>
      <c r="M77" s="12">
        <v>-4.8177999999999999E-2</v>
      </c>
      <c r="N77" s="12">
        <v>5.7720342999999996</v>
      </c>
      <c r="O77" s="12">
        <v>5.6299099000000004</v>
      </c>
      <c r="P77" s="7">
        <v>5086.7</v>
      </c>
      <c r="Q77" s="7">
        <v>231.2</v>
      </c>
      <c r="R77" s="7">
        <v>4.4000000000000004</v>
      </c>
      <c r="S77" s="12">
        <v>4.6515275999999997</v>
      </c>
      <c r="T77" s="12">
        <v>0.05</v>
      </c>
      <c r="U77" s="12">
        <v>100.0666667</v>
      </c>
      <c r="V77" s="12">
        <v>27.039333299999999</v>
      </c>
      <c r="W77" s="12">
        <v>3.1408307999999998</v>
      </c>
      <c r="X77" s="12">
        <v>4.2625650999999998</v>
      </c>
      <c r="Y77" s="12">
        <v>2.4826106999999999</v>
      </c>
      <c r="Z77" s="12">
        <v>10.911662</v>
      </c>
      <c r="AA77" s="12">
        <v>48.110472100000003</v>
      </c>
      <c r="AB77" s="12">
        <v>18.271491099999999</v>
      </c>
      <c r="AC77" s="12">
        <v>23.646028900000001</v>
      </c>
      <c r="AD77" s="12">
        <v>84.110116899999994</v>
      </c>
      <c r="AE77" s="12">
        <v>74.138108900000006</v>
      </c>
      <c r="AF77" s="12">
        <v>7.5124696000000002</v>
      </c>
      <c r="AG77" s="12">
        <v>38.718661099999998</v>
      </c>
    </row>
    <row r="78" spans="1:33" s="11" customFormat="1" hidden="1" outlineLevel="1" x14ac:dyDescent="0.3">
      <c r="A78" s="11" t="s">
        <v>84</v>
      </c>
      <c r="B78" s="12">
        <v>2.4666936000000002</v>
      </c>
      <c r="C78" s="12">
        <v>100.42</v>
      </c>
      <c r="D78" s="12">
        <v>-0.10279530000000001</v>
      </c>
      <c r="E78" s="17">
        <v>0</v>
      </c>
      <c r="F78" s="13">
        <v>45.523333299999997</v>
      </c>
      <c r="G78" s="12">
        <v>-2.2373639999999999</v>
      </c>
      <c r="H78" s="12">
        <v>1.8090170000000001</v>
      </c>
      <c r="I78" s="12">
        <v>2.4739214</v>
      </c>
      <c r="J78" s="12">
        <v>3.322317</v>
      </c>
      <c r="K78" s="12">
        <v>4.0344878</v>
      </c>
      <c r="L78" s="12">
        <v>3.3210836000000001</v>
      </c>
      <c r="M78" s="12">
        <v>-5.9343067999999999</v>
      </c>
      <c r="N78" s="12">
        <v>7.9965590000000004</v>
      </c>
      <c r="O78" s="12">
        <v>5.2057434000000002</v>
      </c>
      <c r="P78" s="7">
        <v>5128.5</v>
      </c>
      <c r="Q78" s="7">
        <v>209.7</v>
      </c>
      <c r="R78" s="7">
        <v>3.9</v>
      </c>
      <c r="S78" s="12">
        <v>3.9533475</v>
      </c>
      <c r="T78" s="12">
        <v>0.05</v>
      </c>
      <c r="U78" s="12">
        <v>100.6</v>
      </c>
      <c r="V78" s="12">
        <v>27.039333299999999</v>
      </c>
      <c r="W78" s="12">
        <v>6.0715456999999997</v>
      </c>
      <c r="X78" s="12">
        <v>5.4823145999999996</v>
      </c>
      <c r="Y78" s="12">
        <v>1.0336920999999999</v>
      </c>
      <c r="Z78" s="12">
        <v>-0.66425869999999998</v>
      </c>
      <c r="AA78" s="12">
        <v>46.517622299999999</v>
      </c>
      <c r="AB78" s="12">
        <v>18.115424999999998</v>
      </c>
      <c r="AC78" s="12">
        <v>26.355739400000001</v>
      </c>
      <c r="AD78" s="12">
        <v>80.7716396</v>
      </c>
      <c r="AE78" s="12">
        <v>71.760426300000006</v>
      </c>
      <c r="AF78" s="12">
        <v>6.4081967999999998</v>
      </c>
      <c r="AG78" s="12">
        <v>38.575213499999997</v>
      </c>
    </row>
    <row r="79" spans="1:33" s="11" customFormat="1" hidden="1" outlineLevel="1" x14ac:dyDescent="0.3">
      <c r="A79" s="11" t="s">
        <v>85</v>
      </c>
      <c r="B79" s="12">
        <v>1.6225508</v>
      </c>
      <c r="C79" s="12">
        <v>100.42</v>
      </c>
      <c r="D79" s="12">
        <v>0.26625840000000001</v>
      </c>
      <c r="E79" s="17">
        <v>0</v>
      </c>
      <c r="F79" s="13">
        <v>45.786666699999998</v>
      </c>
      <c r="G79" s="12">
        <v>-1.7688782999999999</v>
      </c>
      <c r="H79" s="12">
        <v>1.882749</v>
      </c>
      <c r="I79" s="12">
        <v>2.1390989999999999</v>
      </c>
      <c r="J79" s="12">
        <v>1.7597833000000001</v>
      </c>
      <c r="K79" s="12">
        <v>3.4865447000000001</v>
      </c>
      <c r="L79" s="12">
        <v>2.3354086999999999</v>
      </c>
      <c r="M79" s="12">
        <v>-4.7710647000000002</v>
      </c>
      <c r="N79" s="12">
        <v>1.6034206</v>
      </c>
      <c r="O79" s="12">
        <v>0.14401510000000001</v>
      </c>
      <c r="P79" s="7">
        <v>5151.7</v>
      </c>
      <c r="Q79" s="7">
        <v>213</v>
      </c>
      <c r="R79" s="7">
        <v>4</v>
      </c>
      <c r="S79" s="12">
        <v>4.7127622999999996</v>
      </c>
      <c r="T79" s="12">
        <v>0.05</v>
      </c>
      <c r="U79" s="12">
        <v>100.8</v>
      </c>
      <c r="V79" s="12">
        <v>27.0296667</v>
      </c>
      <c r="W79" s="12">
        <v>0.79010650000000004</v>
      </c>
      <c r="X79" s="12">
        <v>-0.17691009999999999</v>
      </c>
      <c r="Y79" s="12">
        <v>-2.674922</v>
      </c>
      <c r="Z79" s="12">
        <v>-1.3426423000000001</v>
      </c>
      <c r="AA79" s="12">
        <v>47.244406300000001</v>
      </c>
      <c r="AB79" s="12">
        <v>18.072477299999999</v>
      </c>
      <c r="AC79" s="12">
        <v>28.3780663</v>
      </c>
      <c r="AD79" s="12">
        <v>74.081585200000006</v>
      </c>
      <c r="AE79" s="12">
        <v>67.776535199999998</v>
      </c>
      <c r="AF79" s="12">
        <v>6.8923300999999997</v>
      </c>
      <c r="AG79" s="12">
        <v>37.773941499999999</v>
      </c>
    </row>
    <row r="80" spans="1:33" s="11" customFormat="1" hidden="1" outlineLevel="1" x14ac:dyDescent="0.3">
      <c r="A80" s="11" t="s">
        <v>86</v>
      </c>
      <c r="B80" s="12">
        <v>1.866331</v>
      </c>
      <c r="C80" s="12">
        <v>100.89333329999999</v>
      </c>
      <c r="D80" s="12">
        <v>0.7690515</v>
      </c>
      <c r="E80" s="17">
        <v>0</v>
      </c>
      <c r="F80" s="13">
        <v>49.186666700000004</v>
      </c>
      <c r="G80" s="12">
        <v>-4.0167289000000004</v>
      </c>
      <c r="H80" s="12">
        <v>-1.7626987999999999</v>
      </c>
      <c r="I80" s="12">
        <v>-1.5209509000000001</v>
      </c>
      <c r="J80" s="12">
        <v>2.0890957999999999</v>
      </c>
      <c r="K80" s="12">
        <v>3.1905247999999999</v>
      </c>
      <c r="L80" s="12">
        <v>2.0545252999999999</v>
      </c>
      <c r="M80" s="12">
        <v>-4.1984336999999998</v>
      </c>
      <c r="N80" s="12">
        <v>2.0600071</v>
      </c>
      <c r="O80" s="12">
        <v>0.60259790000000002</v>
      </c>
      <c r="P80" s="7">
        <v>5187.3999999999996</v>
      </c>
      <c r="Q80" s="7">
        <v>191.6</v>
      </c>
      <c r="R80" s="7">
        <v>3.6</v>
      </c>
      <c r="S80" s="12">
        <v>4.3633661000000004</v>
      </c>
      <c r="T80" s="12">
        <v>0.05</v>
      </c>
      <c r="U80" s="12">
        <v>101.16666669999999</v>
      </c>
      <c r="V80" s="12">
        <v>27.028666699999999</v>
      </c>
      <c r="W80" s="12">
        <v>3.5030814000000001</v>
      </c>
      <c r="X80" s="12">
        <v>1.5289675</v>
      </c>
      <c r="Y80" s="12">
        <v>0.26636100000000001</v>
      </c>
      <c r="Z80" s="12">
        <v>-0.96620850000000003</v>
      </c>
      <c r="AA80" s="12">
        <v>47.721614000000002</v>
      </c>
      <c r="AB80" s="12">
        <v>21.267789799999999</v>
      </c>
      <c r="AC80" s="12">
        <v>25.530612600000001</v>
      </c>
      <c r="AD80" s="12">
        <v>77.919009599999995</v>
      </c>
      <c r="AE80" s="12">
        <v>72.439025999999998</v>
      </c>
      <c r="AF80" s="12">
        <v>7.2674415999999997</v>
      </c>
      <c r="AG80" s="12">
        <v>36.580851699999997</v>
      </c>
    </row>
    <row r="81" spans="1:33" s="11" customFormat="1" hidden="1" outlineLevel="1" x14ac:dyDescent="0.3">
      <c r="A81" s="11" t="s">
        <v>87</v>
      </c>
      <c r="B81" s="12">
        <v>3.0351661999999999</v>
      </c>
      <c r="C81" s="12">
        <v>101</v>
      </c>
      <c r="D81" s="12">
        <v>1.766642</v>
      </c>
      <c r="E81" s="17">
        <v>0</v>
      </c>
      <c r="F81" s="13">
        <v>53.68</v>
      </c>
      <c r="G81" s="12">
        <v>4.5318253999999998</v>
      </c>
      <c r="H81" s="12">
        <v>5.6280026999999997</v>
      </c>
      <c r="I81" s="12">
        <v>0.1566776</v>
      </c>
      <c r="J81" s="12">
        <v>4.5096723000000001</v>
      </c>
      <c r="K81" s="12">
        <v>3.6553070999999999</v>
      </c>
      <c r="L81" s="12">
        <v>3.3337838</v>
      </c>
      <c r="M81" s="12">
        <v>-2.0852780000000002</v>
      </c>
      <c r="N81" s="12">
        <v>8.1450698999999993</v>
      </c>
      <c r="O81" s="12">
        <v>5.7207213000000001</v>
      </c>
      <c r="P81" s="7">
        <v>5169.2</v>
      </c>
      <c r="Q81" s="7">
        <v>184.4</v>
      </c>
      <c r="R81" s="7">
        <v>3.5</v>
      </c>
      <c r="S81" s="12">
        <v>5.0631487999999996</v>
      </c>
      <c r="T81" s="12">
        <v>0.05</v>
      </c>
      <c r="U81" s="12">
        <v>102.5666667</v>
      </c>
      <c r="V81" s="12">
        <v>27.021000000000001</v>
      </c>
      <c r="W81" s="12">
        <v>8.4151931999999992</v>
      </c>
      <c r="X81" s="12">
        <v>9.9957332000000001</v>
      </c>
      <c r="Y81" s="12">
        <v>9.7693648999999994</v>
      </c>
      <c r="Z81" s="12">
        <v>9.3497254000000005</v>
      </c>
      <c r="AA81" s="12">
        <v>48.642527000000001</v>
      </c>
      <c r="AB81" s="12">
        <v>18.383901999999999</v>
      </c>
      <c r="AC81" s="12">
        <v>22.326597899999999</v>
      </c>
      <c r="AD81" s="12">
        <v>88.231040800000002</v>
      </c>
      <c r="AE81" s="12">
        <v>77.584067700000006</v>
      </c>
      <c r="AF81" s="12">
        <v>8.2094611000000004</v>
      </c>
      <c r="AG81" s="12">
        <v>37.648557199999999</v>
      </c>
    </row>
    <row r="82" spans="1:33" s="11" customFormat="1" hidden="1" outlineLevel="1" x14ac:dyDescent="0.3">
      <c r="A82" s="11" t="s">
        <v>88</v>
      </c>
      <c r="B82" s="12">
        <v>2.3084487</v>
      </c>
      <c r="C82" s="12">
        <v>102.11333329999999</v>
      </c>
      <c r="D82" s="12">
        <v>1.6862509999999999</v>
      </c>
      <c r="E82" s="17">
        <v>0</v>
      </c>
      <c r="F82" s="13">
        <v>49.67</v>
      </c>
      <c r="G82" s="12">
        <v>5.2432600000000003</v>
      </c>
      <c r="H82" s="12">
        <v>7.2152723999999999</v>
      </c>
      <c r="I82" s="12">
        <v>3.2286725999999999</v>
      </c>
      <c r="J82" s="12">
        <v>4.7373294000000001</v>
      </c>
      <c r="K82" s="12">
        <v>3.6734019</v>
      </c>
      <c r="L82" s="12">
        <v>2.2269888999999998</v>
      </c>
      <c r="M82" s="12">
        <v>4.6040212</v>
      </c>
      <c r="N82" s="12">
        <v>4.7741156</v>
      </c>
      <c r="O82" s="12">
        <v>3.4388209000000001</v>
      </c>
      <c r="P82" s="7">
        <v>5197.3</v>
      </c>
      <c r="Q82" s="7">
        <v>158.69999999999999</v>
      </c>
      <c r="R82" s="7">
        <v>3</v>
      </c>
      <c r="S82" s="12">
        <v>7.2125892</v>
      </c>
      <c r="T82" s="12">
        <v>0.05</v>
      </c>
      <c r="U82" s="12">
        <v>102.9333333</v>
      </c>
      <c r="V82" s="12">
        <v>26.553000000000001</v>
      </c>
      <c r="W82" s="12">
        <v>4.2698020000000003</v>
      </c>
      <c r="X82" s="12">
        <v>7.2729676999999997</v>
      </c>
      <c r="Y82" s="12">
        <v>7.7558410999999996</v>
      </c>
      <c r="Z82" s="12">
        <v>-0.24109120000000001</v>
      </c>
      <c r="AA82" s="12">
        <v>46.670338899999997</v>
      </c>
      <c r="AB82" s="12">
        <v>17.990641799999999</v>
      </c>
      <c r="AC82" s="12">
        <v>26.703031800000002</v>
      </c>
      <c r="AD82" s="12">
        <v>80.383895999999993</v>
      </c>
      <c r="AE82" s="12">
        <v>71.747908699999996</v>
      </c>
      <c r="AF82" s="12">
        <v>8.3286838000000003</v>
      </c>
      <c r="AG82" s="12">
        <v>37.639086900000002</v>
      </c>
    </row>
    <row r="83" spans="1:33" s="11" customFormat="1" hidden="1" outlineLevel="1" x14ac:dyDescent="0.3">
      <c r="A83" s="11" t="s">
        <v>89</v>
      </c>
      <c r="B83" s="12">
        <v>3.0333996999999999</v>
      </c>
      <c r="C83" s="12">
        <v>102.1166667</v>
      </c>
      <c r="D83" s="12">
        <v>1.6895705000000001</v>
      </c>
      <c r="E83" s="17">
        <v>0</v>
      </c>
      <c r="F83" s="13">
        <v>52.11</v>
      </c>
      <c r="G83" s="12">
        <v>4.4093093000000003</v>
      </c>
      <c r="H83" s="12">
        <v>5.5339812000000004</v>
      </c>
      <c r="I83" s="12">
        <v>2.5009923000000001</v>
      </c>
      <c r="J83" s="12">
        <v>5.5173962999999997</v>
      </c>
      <c r="K83" s="12">
        <v>4.1661203000000002</v>
      </c>
      <c r="L83" s="12">
        <v>1.1293823000000001</v>
      </c>
      <c r="M83" s="12">
        <v>8.7626247999999993</v>
      </c>
      <c r="N83" s="12">
        <v>7.1313993</v>
      </c>
      <c r="O83" s="12">
        <v>6.6031135000000001</v>
      </c>
      <c r="P83" s="7">
        <v>5257.3</v>
      </c>
      <c r="Q83" s="7">
        <v>149.69999999999999</v>
      </c>
      <c r="R83" s="7">
        <v>2.8</v>
      </c>
      <c r="S83" s="12">
        <v>6.7090085999999998</v>
      </c>
      <c r="T83" s="12">
        <v>0.25</v>
      </c>
      <c r="U83" s="12">
        <v>103.2333333</v>
      </c>
      <c r="V83" s="12">
        <v>26.085000000000001</v>
      </c>
      <c r="W83" s="12">
        <v>5.4533060000000004</v>
      </c>
      <c r="X83" s="12">
        <v>8.9967223999999995</v>
      </c>
      <c r="Y83" s="12">
        <v>9.3306121999999991</v>
      </c>
      <c r="Z83" s="12">
        <v>-2.3853515000000001</v>
      </c>
      <c r="AA83" s="12">
        <v>47.048141000000001</v>
      </c>
      <c r="AB83" s="12">
        <v>17.659891399999999</v>
      </c>
      <c r="AC83" s="12">
        <v>29.340434999999999</v>
      </c>
      <c r="AD83" s="12">
        <v>72.659577200000001</v>
      </c>
      <c r="AE83" s="12">
        <v>66.708044599999994</v>
      </c>
      <c r="AF83" s="12">
        <v>7.9867217999999998</v>
      </c>
      <c r="AG83" s="12">
        <v>34.0347382</v>
      </c>
    </row>
    <row r="84" spans="1:33" s="11" customFormat="1" hidden="1" outlineLevel="1" x14ac:dyDescent="0.3">
      <c r="A84" s="11" t="s">
        <v>90</v>
      </c>
      <c r="B84" s="12">
        <v>2.9900169999999999</v>
      </c>
      <c r="C84" s="12">
        <v>102.6233333</v>
      </c>
      <c r="D84" s="12">
        <v>1.7146821999999999</v>
      </c>
      <c r="E84" s="17">
        <v>0</v>
      </c>
      <c r="F84" s="13">
        <v>61.53</v>
      </c>
      <c r="G84" s="12">
        <v>3.8056252000000002</v>
      </c>
      <c r="H84" s="12">
        <v>7.8395063</v>
      </c>
      <c r="I84" s="12">
        <v>5.6592799999999999E-2</v>
      </c>
      <c r="J84" s="12">
        <v>5.8448358999999996</v>
      </c>
      <c r="K84" s="12">
        <v>4.1935772</v>
      </c>
      <c r="L84" s="12">
        <v>0.75865850000000001</v>
      </c>
      <c r="M84" s="12">
        <v>12.9784319</v>
      </c>
      <c r="N84" s="12">
        <v>8.8028683000000001</v>
      </c>
      <c r="O84" s="12">
        <v>9.1842368000000008</v>
      </c>
      <c r="P84" s="7">
        <v>5262.7</v>
      </c>
      <c r="Q84" s="7">
        <v>128.69999999999999</v>
      </c>
      <c r="R84" s="7">
        <v>2.4</v>
      </c>
      <c r="S84" s="12">
        <v>7.8362889999999998</v>
      </c>
      <c r="T84" s="12">
        <v>0.5</v>
      </c>
      <c r="U84" s="12">
        <v>103.66666669999999</v>
      </c>
      <c r="V84" s="12">
        <v>25.649666700000001</v>
      </c>
      <c r="W84" s="12">
        <v>7.8345345999999996</v>
      </c>
      <c r="X84" s="12">
        <v>11.047276500000001</v>
      </c>
      <c r="Y84" s="12">
        <v>11.118042600000001</v>
      </c>
      <c r="Z84" s="12">
        <v>0.29961480000000001</v>
      </c>
      <c r="AA84" s="12">
        <v>47.1644808</v>
      </c>
      <c r="AB84" s="12">
        <v>20.872223900000002</v>
      </c>
      <c r="AC84" s="12">
        <v>26.6873705</v>
      </c>
      <c r="AD84" s="12">
        <v>75.927510999999996</v>
      </c>
      <c r="AE84" s="12">
        <v>70.651586100000003</v>
      </c>
      <c r="AF84" s="12">
        <v>7.7495276000000004</v>
      </c>
      <c r="AG84" s="12">
        <v>34.235276599999999</v>
      </c>
    </row>
    <row r="85" spans="1:33" s="11" customFormat="1" hidden="1" outlineLevel="1" x14ac:dyDescent="0.3">
      <c r="A85" s="11" t="s">
        <v>91</v>
      </c>
      <c r="B85" s="12">
        <v>2.2828298</v>
      </c>
      <c r="C85" s="12">
        <v>102.5466667</v>
      </c>
      <c r="D85" s="12">
        <v>1.5313532000000001</v>
      </c>
      <c r="E85" s="17">
        <v>0</v>
      </c>
      <c r="F85" s="13">
        <v>66.806666699999994</v>
      </c>
      <c r="G85" s="12">
        <v>8.3993778999999993</v>
      </c>
      <c r="H85" s="12">
        <v>8.3996334000000008</v>
      </c>
      <c r="I85" s="12">
        <v>0.1591282</v>
      </c>
      <c r="J85" s="12">
        <v>4.1864385999999998</v>
      </c>
      <c r="K85" s="12">
        <v>4.1533511000000001</v>
      </c>
      <c r="L85" s="12">
        <v>3.6302658999999999</v>
      </c>
      <c r="M85" s="12">
        <v>14.236988800000001</v>
      </c>
      <c r="N85" s="12">
        <v>3.3553237999999999</v>
      </c>
      <c r="O85" s="12">
        <v>6.0518757000000001</v>
      </c>
      <c r="P85" s="7">
        <v>5258.2</v>
      </c>
      <c r="Q85" s="7">
        <v>129.80000000000001</v>
      </c>
      <c r="R85" s="7">
        <v>2.4</v>
      </c>
      <c r="S85" s="12">
        <v>8.5360633999999997</v>
      </c>
      <c r="T85" s="12">
        <v>0.75</v>
      </c>
      <c r="U85" s="12">
        <v>104.33333330000001</v>
      </c>
      <c r="V85" s="12">
        <v>25.4</v>
      </c>
      <c r="W85" s="12">
        <v>2.2349743000000002</v>
      </c>
      <c r="X85" s="12">
        <v>5.3713895999999997</v>
      </c>
      <c r="Y85" s="12">
        <v>6.8569198</v>
      </c>
      <c r="Z85" s="12">
        <v>4.6992187999999997</v>
      </c>
      <c r="AA85" s="12">
        <v>48.394855900000003</v>
      </c>
      <c r="AB85" s="12">
        <v>18.921277199999999</v>
      </c>
      <c r="AC85" s="12">
        <v>23.8188374</v>
      </c>
      <c r="AD85" s="12">
        <v>81.844237000000007</v>
      </c>
      <c r="AE85" s="12">
        <v>72.979207599999995</v>
      </c>
      <c r="AF85" s="12">
        <v>7.6133866000000001</v>
      </c>
      <c r="AG85" s="12">
        <v>33.887784000000003</v>
      </c>
    </row>
    <row r="86" spans="1:33" s="11" customFormat="1" hidden="1" outlineLevel="1" x14ac:dyDescent="0.3">
      <c r="A86" s="11" t="s">
        <v>92</v>
      </c>
      <c r="B86" s="12">
        <v>2.5023559999999998</v>
      </c>
      <c r="C86" s="12">
        <v>104.0133333</v>
      </c>
      <c r="D86" s="12">
        <v>1.8606777000000001</v>
      </c>
      <c r="E86" s="17">
        <v>0</v>
      </c>
      <c r="F86" s="13">
        <v>74.5</v>
      </c>
      <c r="G86" s="12">
        <v>9.0560103000000005</v>
      </c>
      <c r="H86" s="12">
        <v>8.3183661999999998</v>
      </c>
      <c r="I86" s="12">
        <v>3.0385361999999998</v>
      </c>
      <c r="J86" s="12">
        <v>3.1399769000000002</v>
      </c>
      <c r="K86" s="12">
        <v>3.7433961999999998</v>
      </c>
      <c r="L86" s="12">
        <v>3.1772760999999998</v>
      </c>
      <c r="M86" s="12">
        <v>6.9432159999999996</v>
      </c>
      <c r="N86" s="12">
        <v>3.9214777000000001</v>
      </c>
      <c r="O86" s="12">
        <v>5.9210127000000004</v>
      </c>
      <c r="P86" s="7">
        <v>5289.2</v>
      </c>
      <c r="Q86" s="7">
        <v>118.2</v>
      </c>
      <c r="R86" s="7">
        <v>2.2000000000000002</v>
      </c>
      <c r="S86" s="12">
        <v>8.7353901</v>
      </c>
      <c r="T86" s="12">
        <v>1</v>
      </c>
      <c r="U86" s="12">
        <v>105.0666667</v>
      </c>
      <c r="V86" s="12">
        <v>25.594333299999999</v>
      </c>
      <c r="W86" s="12">
        <v>3.2047477999999998</v>
      </c>
      <c r="X86" s="12">
        <v>5.7437282999999999</v>
      </c>
      <c r="Y86" s="12">
        <v>7.2128553000000002</v>
      </c>
      <c r="Z86" s="12">
        <v>0.32274419999999998</v>
      </c>
      <c r="AA86" s="12">
        <v>47.025911600000001</v>
      </c>
      <c r="AB86" s="12">
        <v>18.5171125</v>
      </c>
      <c r="AC86" s="12">
        <v>27.128101000000001</v>
      </c>
      <c r="AD86" s="12">
        <v>77.508607799999993</v>
      </c>
      <c r="AE86" s="12">
        <v>70.179732799999996</v>
      </c>
      <c r="AF86" s="12">
        <v>7.4851076000000001</v>
      </c>
      <c r="AG86" s="12">
        <v>33.818403699999998</v>
      </c>
    </row>
    <row r="87" spans="1:33" s="11" customFormat="1" hidden="1" outlineLevel="1" x14ac:dyDescent="0.3">
      <c r="A87" s="11" t="s">
        <v>93</v>
      </c>
      <c r="B87" s="12">
        <v>1.7229988000000001</v>
      </c>
      <c r="C87" s="12">
        <v>104.3666667</v>
      </c>
      <c r="D87" s="12">
        <v>2.2033621999999999</v>
      </c>
      <c r="E87" s="17">
        <v>0</v>
      </c>
      <c r="F87" s="13">
        <v>75.223333299999993</v>
      </c>
      <c r="G87" s="12">
        <v>12.5212667</v>
      </c>
      <c r="H87" s="12">
        <v>8.4780669</v>
      </c>
      <c r="I87" s="12">
        <v>1.1646570999999999</v>
      </c>
      <c r="J87" s="12">
        <v>2.7358345000000002</v>
      </c>
      <c r="K87" s="12">
        <v>2.9434429999999998</v>
      </c>
      <c r="L87" s="12">
        <v>4.7142436999999999</v>
      </c>
      <c r="M87" s="12">
        <v>8.3007434</v>
      </c>
      <c r="N87" s="12">
        <v>3.2527693000000002</v>
      </c>
      <c r="O87" s="12">
        <v>6.5858581999999997</v>
      </c>
      <c r="P87" s="7">
        <v>5301.4</v>
      </c>
      <c r="Q87" s="7">
        <v>127.1</v>
      </c>
      <c r="R87" s="7">
        <v>2.2999999999999998</v>
      </c>
      <c r="S87" s="12">
        <v>8.3840733000000007</v>
      </c>
      <c r="T87" s="12">
        <v>1.5</v>
      </c>
      <c r="U87" s="12">
        <v>105.5666667</v>
      </c>
      <c r="V87" s="12">
        <v>25.715</v>
      </c>
      <c r="W87" s="12">
        <v>3.5552682999999998</v>
      </c>
      <c r="X87" s="12">
        <v>5.8250957999999997</v>
      </c>
      <c r="Y87" s="12">
        <v>10.259268199999999</v>
      </c>
      <c r="Z87" s="12">
        <v>-4.2410205999999997</v>
      </c>
      <c r="AA87" s="12">
        <v>47.430430800000003</v>
      </c>
      <c r="AB87" s="12">
        <v>18.672768000000001</v>
      </c>
      <c r="AC87" s="12">
        <v>30.7599217</v>
      </c>
      <c r="AD87" s="12">
        <v>71.965320700000007</v>
      </c>
      <c r="AE87" s="12">
        <v>68.828441100000006</v>
      </c>
      <c r="AF87" s="12">
        <v>7.6378931000000003</v>
      </c>
      <c r="AG87" s="12">
        <v>32.877371599999996</v>
      </c>
    </row>
    <row r="88" spans="1:33" s="11" customFormat="1" hidden="1" outlineLevel="1" x14ac:dyDescent="0.3">
      <c r="A88" s="11" t="s">
        <v>94</v>
      </c>
      <c r="B88" s="12">
        <v>1.7730376000000001</v>
      </c>
      <c r="C88" s="12">
        <v>104.64</v>
      </c>
      <c r="D88" s="12">
        <v>1.9651152000000001</v>
      </c>
      <c r="E88" s="17">
        <v>0</v>
      </c>
      <c r="F88" s="13">
        <v>67.713333300000002</v>
      </c>
      <c r="G88" s="12">
        <v>10.9500776</v>
      </c>
      <c r="H88" s="12">
        <v>8.7862276000000001</v>
      </c>
      <c r="I88" s="12">
        <v>-0.7706826</v>
      </c>
      <c r="J88" s="12">
        <v>2.9114315999999998</v>
      </c>
      <c r="K88" s="12">
        <v>2.5353827999999998</v>
      </c>
      <c r="L88" s="12">
        <v>4.1638593999999998</v>
      </c>
      <c r="M88" s="12">
        <v>3.0251418000000001</v>
      </c>
      <c r="N88" s="12">
        <v>4.2517829999999996</v>
      </c>
      <c r="O88" s="12">
        <v>4.6880655000000004</v>
      </c>
      <c r="P88" s="7">
        <v>5326.3</v>
      </c>
      <c r="Q88" s="7">
        <v>110.8</v>
      </c>
      <c r="R88" s="7">
        <v>2</v>
      </c>
      <c r="S88" s="12">
        <v>7.0907489999999997</v>
      </c>
      <c r="T88" s="12">
        <v>1.75</v>
      </c>
      <c r="U88" s="12">
        <v>105.5</v>
      </c>
      <c r="V88" s="12">
        <v>25.863</v>
      </c>
      <c r="W88" s="12">
        <v>3.2258065</v>
      </c>
      <c r="X88" s="12">
        <v>6.1553072999999996</v>
      </c>
      <c r="Y88" s="12">
        <v>7.0644771999999998</v>
      </c>
      <c r="Z88" s="12">
        <v>1.3566327</v>
      </c>
      <c r="AA88" s="12">
        <v>47.081780899999998</v>
      </c>
      <c r="AB88" s="12">
        <v>21.378478000000001</v>
      </c>
      <c r="AC88" s="12">
        <v>26.7838967</v>
      </c>
      <c r="AD88" s="12">
        <v>76.916135699999998</v>
      </c>
      <c r="AE88" s="12">
        <v>72.160291299999997</v>
      </c>
      <c r="AF88" s="12">
        <v>7.5795766999999996</v>
      </c>
      <c r="AG88" s="12">
        <v>32.058374000000001</v>
      </c>
    </row>
    <row r="89" spans="1:33" s="11" customFormat="1" hidden="1" outlineLevel="1" x14ac:dyDescent="0.3">
      <c r="A89" s="11" t="s">
        <v>95</v>
      </c>
      <c r="B89" s="12">
        <v>1.9308453999999999</v>
      </c>
      <c r="C89" s="12">
        <v>104.17</v>
      </c>
      <c r="D89" s="12">
        <v>1.5830191</v>
      </c>
      <c r="E89" s="17">
        <v>0</v>
      </c>
      <c r="F89" s="13">
        <v>63.17</v>
      </c>
      <c r="G89" s="12">
        <v>9.2362786999999997</v>
      </c>
      <c r="H89" s="12">
        <v>8.4225797</v>
      </c>
      <c r="I89" s="12">
        <v>-0.14977280000000001</v>
      </c>
      <c r="J89" s="12">
        <v>3.0827415999999999</v>
      </c>
      <c r="K89" s="12">
        <v>2.3292771999999999</v>
      </c>
      <c r="L89" s="12">
        <v>2.7801190999999998</v>
      </c>
      <c r="M89" s="12">
        <v>8.4482187</v>
      </c>
      <c r="N89" s="12">
        <v>1.1483561</v>
      </c>
      <c r="O89" s="12">
        <v>2.0835919999999999</v>
      </c>
      <c r="P89" s="7">
        <v>5305.5</v>
      </c>
      <c r="Q89" s="7">
        <v>109.7</v>
      </c>
      <c r="R89" s="7">
        <v>2</v>
      </c>
      <c r="S89" s="12">
        <v>8.2952641000000007</v>
      </c>
      <c r="T89" s="12">
        <v>1.75</v>
      </c>
      <c r="U89" s="12">
        <v>106.7666667</v>
      </c>
      <c r="V89" s="12">
        <v>25.684000000000001</v>
      </c>
      <c r="W89" s="12">
        <v>0.85672090000000001</v>
      </c>
      <c r="X89" s="12">
        <v>2.9499993</v>
      </c>
      <c r="Y89" s="12">
        <v>3.8084323000000002</v>
      </c>
      <c r="Z89" s="12">
        <v>3.8300133000000001</v>
      </c>
      <c r="AA89" s="12">
        <v>47.795124700000002</v>
      </c>
      <c r="AB89" s="12">
        <v>19.0347078</v>
      </c>
      <c r="AC89" s="12">
        <v>25.140758699999999</v>
      </c>
      <c r="AD89" s="12">
        <v>79.703992700000001</v>
      </c>
      <c r="AE89" s="12">
        <v>71.674583799999994</v>
      </c>
      <c r="AF89" s="12">
        <v>7.1735217999999996</v>
      </c>
      <c r="AG89" s="12">
        <v>31.695685600000001</v>
      </c>
    </row>
    <row r="90" spans="1:33" s="11" customFormat="1" hidden="1" outlineLevel="1" x14ac:dyDescent="0.3">
      <c r="A90" s="11" t="s">
        <v>96</v>
      </c>
      <c r="B90" s="12">
        <v>1.5959346999999999</v>
      </c>
      <c r="C90" s="12">
        <v>105.7566667</v>
      </c>
      <c r="D90" s="12">
        <v>1.6760672000000001</v>
      </c>
      <c r="E90" s="17">
        <v>0</v>
      </c>
      <c r="F90" s="13">
        <v>68.923333299999996</v>
      </c>
      <c r="G90" s="12">
        <v>9.1259093999999994</v>
      </c>
      <c r="H90" s="12">
        <v>6.0100623999999998</v>
      </c>
      <c r="I90" s="12">
        <v>1.8588169999999999</v>
      </c>
      <c r="J90" s="12">
        <v>2.7314516000000002</v>
      </c>
      <c r="K90" s="12">
        <v>2.7426460000000001</v>
      </c>
      <c r="L90" s="12">
        <v>2.9878973000000002</v>
      </c>
      <c r="M90" s="12">
        <v>-7.1568800000000002E-2</v>
      </c>
      <c r="N90" s="12">
        <v>1.8108139000000001</v>
      </c>
      <c r="O90" s="12">
        <v>0.66538609999999998</v>
      </c>
      <c r="P90" s="7">
        <v>5295.9</v>
      </c>
      <c r="Q90" s="7">
        <v>102.4</v>
      </c>
      <c r="R90" s="7">
        <v>1.9</v>
      </c>
      <c r="S90" s="12">
        <v>8.0398712999999997</v>
      </c>
      <c r="T90" s="12">
        <v>2</v>
      </c>
      <c r="U90" s="12">
        <v>107.6333333</v>
      </c>
      <c r="V90" s="12">
        <v>25.683333300000001</v>
      </c>
      <c r="W90" s="12">
        <v>5.7504300000000001E-2</v>
      </c>
      <c r="X90" s="12">
        <v>3.3401265000000002</v>
      </c>
      <c r="Y90" s="12">
        <v>1.9187985999999999</v>
      </c>
      <c r="Z90" s="12">
        <v>2.3266781000000001</v>
      </c>
      <c r="AA90" s="12">
        <v>46.518870100000001</v>
      </c>
      <c r="AB90" s="12">
        <v>18.882215200000001</v>
      </c>
      <c r="AC90" s="12">
        <v>26.500512000000001</v>
      </c>
      <c r="AD90" s="12">
        <v>75.327984000000001</v>
      </c>
      <c r="AE90" s="12">
        <v>67.229581199999998</v>
      </c>
      <c r="AF90" s="12">
        <v>6.7163608999999997</v>
      </c>
      <c r="AG90" s="12">
        <v>31.366962399999998</v>
      </c>
    </row>
    <row r="91" spans="1:33" s="11" customFormat="1" hidden="1" outlineLevel="1" x14ac:dyDescent="0.3">
      <c r="A91" s="11" t="s">
        <v>97</v>
      </c>
      <c r="B91" s="12">
        <v>2.3612953000000001</v>
      </c>
      <c r="C91" s="12">
        <v>105.74</v>
      </c>
      <c r="D91" s="12">
        <v>1.3158734999999999</v>
      </c>
      <c r="E91" s="17">
        <v>0</v>
      </c>
      <c r="F91" s="13">
        <v>61.93</v>
      </c>
      <c r="G91" s="12">
        <v>7.9765934999999999</v>
      </c>
      <c r="H91" s="12">
        <v>7.7632794000000001</v>
      </c>
      <c r="I91" s="12">
        <v>1.0859444</v>
      </c>
      <c r="J91" s="12">
        <v>3.8011659999999998</v>
      </c>
      <c r="K91" s="12">
        <v>2.8822511</v>
      </c>
      <c r="L91" s="12">
        <v>3.3200904000000002</v>
      </c>
      <c r="M91" s="12">
        <v>0.75993650000000001</v>
      </c>
      <c r="N91" s="12">
        <v>4.4332155999999996</v>
      </c>
      <c r="O91" s="12">
        <v>2.3882568000000002</v>
      </c>
      <c r="P91" s="7">
        <v>5306.3</v>
      </c>
      <c r="Q91" s="7">
        <v>114.9</v>
      </c>
      <c r="R91" s="7">
        <v>2.1</v>
      </c>
      <c r="S91" s="12">
        <v>7.7071168999999999</v>
      </c>
      <c r="T91" s="12">
        <v>2</v>
      </c>
      <c r="U91" s="12">
        <v>108.3</v>
      </c>
      <c r="V91" s="12">
        <v>25.739333299999998</v>
      </c>
      <c r="W91" s="12">
        <v>1.7166041999999999</v>
      </c>
      <c r="X91" s="12">
        <v>5.0819961999999999</v>
      </c>
      <c r="Y91" s="12">
        <v>2.3530723</v>
      </c>
      <c r="Z91" s="12">
        <v>-3.4657342999999998</v>
      </c>
      <c r="AA91" s="12">
        <v>46.5063484</v>
      </c>
      <c r="AB91" s="12">
        <v>18.8654692</v>
      </c>
      <c r="AC91" s="12">
        <v>29.818633899999998</v>
      </c>
      <c r="AD91" s="12">
        <v>70.170038700000006</v>
      </c>
      <c r="AE91" s="12">
        <v>65.360490299999995</v>
      </c>
      <c r="AF91" s="12">
        <v>6.4101900000000001</v>
      </c>
      <c r="AG91" s="12">
        <v>30.819124899999998</v>
      </c>
    </row>
    <row r="92" spans="1:33" s="11" customFormat="1" hidden="1" outlineLevel="1" x14ac:dyDescent="0.3">
      <c r="A92" s="11" t="s">
        <v>98</v>
      </c>
      <c r="B92" s="12">
        <v>1.3592039</v>
      </c>
      <c r="C92" s="12">
        <v>106.0066667</v>
      </c>
      <c r="D92" s="12">
        <v>1.3060653</v>
      </c>
      <c r="E92" s="17">
        <v>0</v>
      </c>
      <c r="F92" s="13">
        <v>63.41</v>
      </c>
      <c r="G92" s="12">
        <v>6.8775313000000002</v>
      </c>
      <c r="H92" s="12">
        <v>4.7627914000000002</v>
      </c>
      <c r="I92" s="12">
        <v>-1.6001118999999999</v>
      </c>
      <c r="J92" s="12">
        <v>2.5170062</v>
      </c>
      <c r="K92" s="12">
        <v>2.5233902000000001</v>
      </c>
      <c r="L92" s="12">
        <v>1.2077724000000001</v>
      </c>
      <c r="M92" s="12">
        <v>10.0118788</v>
      </c>
      <c r="N92" s="12">
        <v>-1.2080865000000001</v>
      </c>
      <c r="O92" s="12">
        <v>1.1062251000000001</v>
      </c>
      <c r="P92" s="7">
        <v>5304.7</v>
      </c>
      <c r="Q92" s="7">
        <v>109</v>
      </c>
      <c r="R92" s="7">
        <v>2</v>
      </c>
      <c r="S92" s="12">
        <v>7.5667264000000003</v>
      </c>
      <c r="T92" s="12">
        <v>2</v>
      </c>
      <c r="U92" s="12">
        <v>108.6333333</v>
      </c>
      <c r="V92" s="12">
        <v>25.5723333</v>
      </c>
      <c r="W92" s="12">
        <v>-3.2094594999999999</v>
      </c>
      <c r="X92" s="12">
        <v>-0.46004830000000002</v>
      </c>
      <c r="Y92" s="12">
        <v>1.1052010999999999</v>
      </c>
      <c r="Z92" s="12">
        <v>-0.93948410000000004</v>
      </c>
      <c r="AA92" s="12">
        <v>46.5426869</v>
      </c>
      <c r="AB92" s="12">
        <v>21.4504801</v>
      </c>
      <c r="AC92" s="12">
        <v>28.667757300000002</v>
      </c>
      <c r="AD92" s="12">
        <v>71.011406199999996</v>
      </c>
      <c r="AE92" s="12">
        <v>67.672330599999995</v>
      </c>
      <c r="AF92" s="12">
        <v>6.2117867000000002</v>
      </c>
      <c r="AG92" s="12">
        <v>30.048581599999999</v>
      </c>
    </row>
    <row r="93" spans="1:33" s="11" customFormat="1" hidden="1" outlineLevel="1" x14ac:dyDescent="0.3">
      <c r="A93" s="11" t="s">
        <v>99</v>
      </c>
      <c r="B93" s="12">
        <v>-2.2061226999999999</v>
      </c>
      <c r="C93" s="12">
        <v>105.74666670000001</v>
      </c>
      <c r="D93" s="12">
        <v>1.5135516</v>
      </c>
      <c r="E93" s="17">
        <v>0</v>
      </c>
      <c r="F93" s="13">
        <v>50.44</v>
      </c>
      <c r="G93" s="12">
        <v>9.2771498999999995</v>
      </c>
      <c r="H93" s="12">
        <v>0.61606780000000005</v>
      </c>
      <c r="I93" s="12">
        <v>-3.6700957999999999</v>
      </c>
      <c r="J93" s="12">
        <v>-1.0683298000000001</v>
      </c>
      <c r="K93" s="12">
        <v>-2.9931505999999999</v>
      </c>
      <c r="L93" s="12">
        <v>4.7564126</v>
      </c>
      <c r="M93" s="12">
        <v>2.6805800000000001E-2</v>
      </c>
      <c r="N93" s="12">
        <v>-3.596768</v>
      </c>
      <c r="O93" s="12">
        <v>-3.1163704000000001</v>
      </c>
      <c r="P93" s="7">
        <v>5277.4</v>
      </c>
      <c r="Q93" s="7">
        <v>106.1</v>
      </c>
      <c r="R93" s="7">
        <v>2</v>
      </c>
      <c r="S93" s="12">
        <v>5.4930047999999996</v>
      </c>
      <c r="T93" s="12">
        <v>1</v>
      </c>
      <c r="U93" s="12">
        <v>110.7</v>
      </c>
      <c r="V93" s="12">
        <v>25.614000000000001</v>
      </c>
      <c r="W93" s="12">
        <v>-3.4856474</v>
      </c>
      <c r="X93" s="12">
        <v>-3.339744</v>
      </c>
      <c r="Y93" s="12">
        <v>-3.1010917</v>
      </c>
      <c r="Z93" s="12">
        <v>5.0936810000000001</v>
      </c>
      <c r="AA93" s="12">
        <v>46.967342299999999</v>
      </c>
      <c r="AB93" s="12">
        <v>20.4265598</v>
      </c>
      <c r="AC93" s="12">
        <v>25.225539600000001</v>
      </c>
      <c r="AD93" s="12">
        <v>74.869282299999995</v>
      </c>
      <c r="AE93" s="12">
        <v>67.488723899999997</v>
      </c>
      <c r="AF93" s="12">
        <v>6.3778318000000001</v>
      </c>
      <c r="AG93" s="12">
        <v>33.091218300000001</v>
      </c>
    </row>
    <row r="94" spans="1:33" s="11" customFormat="1" hidden="1" outlineLevel="1" x14ac:dyDescent="0.3">
      <c r="A94" s="11" t="s">
        <v>100</v>
      </c>
      <c r="B94" s="12">
        <v>-13.380244299999999</v>
      </c>
      <c r="C94" s="12">
        <v>106.50333329999999</v>
      </c>
      <c r="D94" s="12">
        <v>0.70602319999999996</v>
      </c>
      <c r="E94" s="17">
        <v>0</v>
      </c>
      <c r="F94" s="13">
        <v>29.343333300000001</v>
      </c>
      <c r="G94" s="12">
        <v>14.6234035</v>
      </c>
      <c r="H94" s="12">
        <v>-6.3831756999999998</v>
      </c>
      <c r="I94" s="12">
        <v>-7.2871066999999998</v>
      </c>
      <c r="J94" s="12">
        <v>-10.6288731</v>
      </c>
      <c r="K94" s="12">
        <v>-10.7052315</v>
      </c>
      <c r="L94" s="12">
        <v>2.4911853000000002</v>
      </c>
      <c r="M94" s="12">
        <v>-3.6581967</v>
      </c>
      <c r="N94" s="12">
        <v>-24.9868457</v>
      </c>
      <c r="O94" s="12">
        <v>-20.1888252</v>
      </c>
      <c r="P94" s="7">
        <v>5212.6000000000004</v>
      </c>
      <c r="Q94" s="7">
        <v>126.3</v>
      </c>
      <c r="R94" s="7">
        <v>2.4</v>
      </c>
      <c r="S94" s="12">
        <v>0.86476169999999997</v>
      </c>
      <c r="T94" s="12">
        <v>0.25</v>
      </c>
      <c r="U94" s="12">
        <v>111.1333333</v>
      </c>
      <c r="V94" s="12">
        <v>27.0706667</v>
      </c>
      <c r="W94" s="12">
        <v>-22.816092000000001</v>
      </c>
      <c r="X94" s="12">
        <v>-27.0189591</v>
      </c>
      <c r="Y94" s="12">
        <v>-23.706682000000001</v>
      </c>
      <c r="Z94" s="12">
        <v>-0.72280060000000002</v>
      </c>
      <c r="AA94" s="12">
        <v>46.189661000000001</v>
      </c>
      <c r="AB94" s="12">
        <v>21.4956876</v>
      </c>
      <c r="AC94" s="12">
        <v>28.1375691</v>
      </c>
      <c r="AD94" s="12">
        <v>62.228996500000001</v>
      </c>
      <c r="AE94" s="12">
        <v>58.051914199999999</v>
      </c>
      <c r="AF94" s="12">
        <v>6.1094206</v>
      </c>
      <c r="AG94" s="12">
        <v>39.674269199999998</v>
      </c>
    </row>
    <row r="95" spans="1:33" s="11" customFormat="1" hidden="1" outlineLevel="1" x14ac:dyDescent="0.3">
      <c r="A95" s="11" t="s">
        <v>101</v>
      </c>
      <c r="B95" s="12">
        <v>-3.6984297000000002</v>
      </c>
      <c r="C95" s="12">
        <v>106.27</v>
      </c>
      <c r="D95" s="12">
        <v>0.50122940000000005</v>
      </c>
      <c r="E95" s="17">
        <v>0</v>
      </c>
      <c r="F95" s="13">
        <v>42.963333300000002</v>
      </c>
      <c r="G95" s="12">
        <v>9.0697702000000007</v>
      </c>
      <c r="H95" s="12">
        <v>-1.0478714</v>
      </c>
      <c r="I95" s="12">
        <v>-2.9381574000000001</v>
      </c>
      <c r="J95" s="12">
        <v>-5.3870804000000003</v>
      </c>
      <c r="K95" s="12">
        <v>-5.2459547999999998</v>
      </c>
      <c r="L95" s="12">
        <v>1.2255281</v>
      </c>
      <c r="M95" s="12">
        <v>-14.451219800000001</v>
      </c>
      <c r="N95" s="12">
        <v>-5.6538485999999999</v>
      </c>
      <c r="O95" s="12">
        <v>-7.7246402999999999</v>
      </c>
      <c r="P95" s="7">
        <v>5233.3</v>
      </c>
      <c r="Q95" s="7">
        <v>153.9</v>
      </c>
      <c r="R95" s="7">
        <v>2.9</v>
      </c>
      <c r="S95" s="12">
        <v>5.4150672000000002</v>
      </c>
      <c r="T95" s="12">
        <v>0.25</v>
      </c>
      <c r="U95" s="12">
        <v>112.0666667</v>
      </c>
      <c r="V95" s="12">
        <v>26.474</v>
      </c>
      <c r="W95" s="12">
        <v>-3.6514267999999999</v>
      </c>
      <c r="X95" s="12">
        <v>-7.4935675000000002</v>
      </c>
      <c r="Y95" s="12">
        <v>-11.4855859</v>
      </c>
      <c r="Z95" s="12">
        <v>4.8295233</v>
      </c>
      <c r="AA95" s="12">
        <v>45.866357299999997</v>
      </c>
      <c r="AB95" s="12">
        <v>20.148447900000001</v>
      </c>
      <c r="AC95" s="12">
        <v>26.636010899999999</v>
      </c>
      <c r="AD95" s="12">
        <v>67.640042399999999</v>
      </c>
      <c r="AE95" s="12">
        <v>60.290858499999999</v>
      </c>
      <c r="AF95" s="12">
        <v>6.3478341</v>
      </c>
      <c r="AG95" s="12">
        <v>38.0643569</v>
      </c>
    </row>
    <row r="96" spans="1:33" s="11" customFormat="1" hidden="1" outlineLevel="1" x14ac:dyDescent="0.3">
      <c r="A96" s="11" t="s">
        <v>102</v>
      </c>
      <c r="B96" s="12">
        <v>-3.2236577</v>
      </c>
      <c r="C96" s="12">
        <v>106.2833333</v>
      </c>
      <c r="D96" s="12">
        <v>0.26098979999999999</v>
      </c>
      <c r="E96" s="17">
        <v>0</v>
      </c>
      <c r="F96" s="13">
        <v>44.29</v>
      </c>
      <c r="G96" s="12">
        <v>19.6490103</v>
      </c>
      <c r="H96" s="12">
        <v>2.3017124999999998</v>
      </c>
      <c r="I96" s="12">
        <v>-9.0198309000000005</v>
      </c>
      <c r="J96" s="12">
        <v>-4.6374535999999997</v>
      </c>
      <c r="K96" s="12">
        <v>-10.4332127</v>
      </c>
      <c r="L96" s="12">
        <v>7.7428204000000003</v>
      </c>
      <c r="M96" s="12">
        <v>-16.318559</v>
      </c>
      <c r="N96" s="12">
        <v>2.3779724</v>
      </c>
      <c r="O96" s="12">
        <v>-2.0733980000000001</v>
      </c>
      <c r="P96" s="7">
        <v>5217.2</v>
      </c>
      <c r="Q96" s="7">
        <v>161.6</v>
      </c>
      <c r="R96" s="7">
        <v>3</v>
      </c>
      <c r="S96" s="12">
        <v>6.7096140000000002</v>
      </c>
      <c r="T96" s="12">
        <v>0.25</v>
      </c>
      <c r="U96" s="12">
        <v>111.5666667</v>
      </c>
      <c r="V96" s="12">
        <v>26.663333300000001</v>
      </c>
      <c r="W96" s="12">
        <v>1.6870273</v>
      </c>
      <c r="X96" s="12">
        <v>0.81010629999999995</v>
      </c>
      <c r="Y96" s="12">
        <v>-5.3579005999999998</v>
      </c>
      <c r="Z96" s="12">
        <v>-1.1230690999999999</v>
      </c>
      <c r="AA96" s="12">
        <v>42.590366000000003</v>
      </c>
      <c r="AB96" s="12">
        <v>24.7589772</v>
      </c>
      <c r="AC96" s="12">
        <v>24.7663242</v>
      </c>
      <c r="AD96" s="12">
        <v>74.5836015</v>
      </c>
      <c r="AE96" s="12">
        <v>66.699268799999999</v>
      </c>
      <c r="AF96" s="12">
        <v>6.5409763999999999</v>
      </c>
      <c r="AG96" s="12">
        <v>37.655853399999998</v>
      </c>
    </row>
    <row r="97" spans="1:33" s="11" customFormat="1" hidden="1" outlineLevel="1" x14ac:dyDescent="0.3">
      <c r="A97" s="11" t="s">
        <v>103</v>
      </c>
      <c r="B97" s="12">
        <v>-0.1765746</v>
      </c>
      <c r="C97" s="12">
        <v>107.21</v>
      </c>
      <c r="D97" s="12">
        <v>1.3838102999999999</v>
      </c>
      <c r="E97" s="17">
        <v>0</v>
      </c>
      <c r="F97" s="13">
        <v>60.82</v>
      </c>
      <c r="G97" s="12">
        <v>12.988612399999999</v>
      </c>
      <c r="H97" s="12">
        <v>-0.299257</v>
      </c>
      <c r="I97" s="12">
        <v>-9.4722568999999996</v>
      </c>
      <c r="J97" s="12">
        <v>-2.2729916999999999</v>
      </c>
      <c r="K97" s="12">
        <v>-6.2241979000000001</v>
      </c>
      <c r="L97" s="12">
        <v>-0.47137620000000002</v>
      </c>
      <c r="M97" s="12">
        <v>5.2746075000000001</v>
      </c>
      <c r="N97" s="12">
        <v>3.9854044000000002</v>
      </c>
      <c r="O97" s="12">
        <v>5.5773992000000003</v>
      </c>
      <c r="P97" s="7">
        <v>5165.6000000000004</v>
      </c>
      <c r="Q97" s="7">
        <v>179.3</v>
      </c>
      <c r="R97" s="7">
        <v>3.4</v>
      </c>
      <c r="S97" s="12">
        <v>3.0004890999999998</v>
      </c>
      <c r="T97" s="12">
        <v>0.25</v>
      </c>
      <c r="U97" s="12">
        <v>113.1</v>
      </c>
      <c r="V97" s="12">
        <v>26.065000000000001</v>
      </c>
      <c r="W97" s="12">
        <v>3.6115327000000002</v>
      </c>
      <c r="X97" s="12">
        <v>5.4570314</v>
      </c>
      <c r="Y97" s="12">
        <v>4.9934573999999996</v>
      </c>
      <c r="Z97" s="12">
        <v>3.0947988999999998</v>
      </c>
      <c r="AA97" s="12">
        <v>44.169122999999999</v>
      </c>
      <c r="AB97" s="12">
        <v>20.564519000000001</v>
      </c>
      <c r="AC97" s="12">
        <v>27.022205799999998</v>
      </c>
      <c r="AD97" s="12">
        <v>79.226158900000001</v>
      </c>
      <c r="AE97" s="12">
        <v>70.982006699999999</v>
      </c>
      <c r="AF97" s="12">
        <v>6.8817988000000003</v>
      </c>
      <c r="AG97" s="12">
        <v>41.130289699999999</v>
      </c>
    </row>
    <row r="98" spans="1:33" s="11" customFormat="1" hidden="1" outlineLevel="1" x14ac:dyDescent="0.3">
      <c r="A98" s="11" t="s">
        <v>104</v>
      </c>
      <c r="B98" s="12">
        <v>14.630134099999999</v>
      </c>
      <c r="C98" s="12">
        <v>108.82</v>
      </c>
      <c r="D98" s="12">
        <v>2.1752058000000001</v>
      </c>
      <c r="E98" s="17">
        <v>0</v>
      </c>
      <c r="F98" s="13">
        <v>68.833333300000007</v>
      </c>
      <c r="G98" s="12">
        <v>5.6458545000000004</v>
      </c>
      <c r="H98" s="12">
        <v>16.721057800000001</v>
      </c>
      <c r="I98" s="12">
        <v>-2.6116028</v>
      </c>
      <c r="J98" s="12">
        <v>9.6002693000000008</v>
      </c>
      <c r="K98" s="12">
        <v>9.6327909999999992</v>
      </c>
      <c r="L98" s="12">
        <v>0.25075370000000002</v>
      </c>
      <c r="M98" s="12">
        <v>16.11693</v>
      </c>
      <c r="N98" s="12">
        <v>34.824848600000003</v>
      </c>
      <c r="O98" s="12">
        <v>36.021188100000003</v>
      </c>
      <c r="P98" s="7">
        <v>5171.3</v>
      </c>
      <c r="Q98" s="7">
        <v>158.6</v>
      </c>
      <c r="R98" s="7">
        <v>3</v>
      </c>
      <c r="S98" s="12">
        <v>11.1684588</v>
      </c>
      <c r="T98" s="12">
        <v>0.5</v>
      </c>
      <c r="U98" s="12">
        <v>114.2</v>
      </c>
      <c r="V98" s="12">
        <v>25.645333300000001</v>
      </c>
      <c r="W98" s="12">
        <v>30.454207</v>
      </c>
      <c r="X98" s="12">
        <v>45.2565606</v>
      </c>
      <c r="Y98" s="12">
        <v>45.964051300000001</v>
      </c>
      <c r="Z98" s="12">
        <v>-0.71337439999999996</v>
      </c>
      <c r="AA98" s="12">
        <v>45.362348799999999</v>
      </c>
      <c r="AB98" s="12">
        <v>20.496032799999998</v>
      </c>
      <c r="AC98" s="12">
        <v>29.405973599999999</v>
      </c>
      <c r="AD98" s="12">
        <v>75.004457200000004</v>
      </c>
      <c r="AE98" s="12">
        <v>70.268812400000002</v>
      </c>
      <c r="AF98" s="12">
        <v>8.1057874000000005</v>
      </c>
      <c r="AG98" s="12">
        <v>41.202317899999997</v>
      </c>
    </row>
    <row r="99" spans="1:33" s="11" customFormat="1" hidden="1" outlineLevel="1" x14ac:dyDescent="0.3">
      <c r="A99" s="11" t="s">
        <v>105</v>
      </c>
      <c r="B99" s="12">
        <v>4.8925850000000004</v>
      </c>
      <c r="C99" s="12">
        <v>109.55666669999999</v>
      </c>
      <c r="D99" s="12">
        <v>3.0927511999999999</v>
      </c>
      <c r="E99" s="17">
        <v>0</v>
      </c>
      <c r="F99" s="13">
        <v>73.47</v>
      </c>
      <c r="G99" s="12">
        <v>6.8945008999999997</v>
      </c>
      <c r="H99" s="12">
        <v>7.4534475999999996</v>
      </c>
      <c r="I99" s="12">
        <v>-2.7058868</v>
      </c>
      <c r="J99" s="12">
        <v>3.5317755000000002</v>
      </c>
      <c r="K99" s="12">
        <v>4.8052913999999998</v>
      </c>
      <c r="L99" s="12">
        <v>5.1341722000000001</v>
      </c>
      <c r="M99" s="12">
        <v>28.2665969</v>
      </c>
      <c r="N99" s="12">
        <v>-1.6836308</v>
      </c>
      <c r="O99" s="12">
        <v>9.8305816000000004</v>
      </c>
      <c r="P99" s="7">
        <v>5257.2</v>
      </c>
      <c r="Q99" s="7">
        <v>145.6</v>
      </c>
      <c r="R99" s="7">
        <v>2.7</v>
      </c>
      <c r="S99" s="12">
        <v>5.3398193000000003</v>
      </c>
      <c r="T99" s="12">
        <v>0.75</v>
      </c>
      <c r="U99" s="12">
        <v>115.7333333</v>
      </c>
      <c r="V99" s="12">
        <v>25.4993333</v>
      </c>
      <c r="W99" s="12">
        <v>-1.0509554000000001</v>
      </c>
      <c r="X99" s="12">
        <v>8.8981068000000008</v>
      </c>
      <c r="Y99" s="12">
        <v>22.5996293</v>
      </c>
      <c r="Z99" s="12">
        <v>-7.7755070999999996</v>
      </c>
      <c r="AA99" s="12">
        <v>46.105203400000001</v>
      </c>
      <c r="AB99" s="12">
        <v>20.633028500000002</v>
      </c>
      <c r="AC99" s="12">
        <v>33.413564100000002</v>
      </c>
      <c r="AD99" s="12">
        <v>65.605785699999998</v>
      </c>
      <c r="AE99" s="12">
        <v>65.757581700000003</v>
      </c>
      <c r="AF99" s="12">
        <v>9.0907958000000004</v>
      </c>
      <c r="AG99" s="12">
        <v>39.833176100000003</v>
      </c>
    </row>
    <row r="100" spans="1:33" s="11" customFormat="1" hidden="1" outlineLevel="1" x14ac:dyDescent="0.3">
      <c r="A100" s="11" t="s">
        <v>106</v>
      </c>
      <c r="B100" s="12">
        <v>5.3916862999999999</v>
      </c>
      <c r="C100" s="12">
        <v>111.5333333</v>
      </c>
      <c r="D100" s="12">
        <v>4.9396268000000001</v>
      </c>
      <c r="E100" s="17">
        <v>0</v>
      </c>
      <c r="F100" s="13">
        <v>79.586666699999995</v>
      </c>
      <c r="G100" s="12">
        <v>-2.0342292</v>
      </c>
      <c r="H100" s="12">
        <v>3.9036797000000001</v>
      </c>
      <c r="I100" s="12">
        <v>-6.0057023999999997</v>
      </c>
      <c r="J100" s="12">
        <v>3.5260722000000002</v>
      </c>
      <c r="K100" s="12">
        <v>8.3894363999999992</v>
      </c>
      <c r="L100" s="12">
        <v>0.63687859999999996</v>
      </c>
      <c r="M100" s="12">
        <v>25.5582809</v>
      </c>
      <c r="N100" s="12">
        <v>-3.3906396999999999</v>
      </c>
      <c r="O100" s="12">
        <v>6.1091134</v>
      </c>
      <c r="P100" s="7">
        <v>5259.4</v>
      </c>
      <c r="Q100" s="7">
        <v>118.5</v>
      </c>
      <c r="R100" s="7">
        <v>2.2000000000000002</v>
      </c>
      <c r="S100" s="12">
        <v>3.8601247999999999</v>
      </c>
      <c r="T100" s="12">
        <v>3.75</v>
      </c>
      <c r="U100" s="12">
        <v>117.16666669999999</v>
      </c>
      <c r="V100" s="12">
        <v>25.377666699999999</v>
      </c>
      <c r="W100" s="12">
        <v>-0.97253999999999996</v>
      </c>
      <c r="X100" s="12">
        <v>7.4998415999999999</v>
      </c>
      <c r="Y100" s="12">
        <v>20.817076799999999</v>
      </c>
      <c r="Z100" s="12">
        <v>-4.7956446000000001</v>
      </c>
      <c r="AA100" s="12">
        <v>45.700113999999999</v>
      </c>
      <c r="AB100" s="12">
        <v>23.911405500000001</v>
      </c>
      <c r="AC100" s="12">
        <v>30.607999199999998</v>
      </c>
      <c r="AD100" s="12">
        <v>71.949204699999996</v>
      </c>
      <c r="AE100" s="12">
        <v>72.168723499999999</v>
      </c>
      <c r="AF100" s="12">
        <v>9.8951762999999993</v>
      </c>
      <c r="AG100" s="12">
        <v>42.017513700000002</v>
      </c>
    </row>
    <row r="101" spans="1:33" s="11" customFormat="1" hidden="1" outlineLevel="1" x14ac:dyDescent="0.3">
      <c r="A101" s="11" t="s">
        <v>108</v>
      </c>
      <c r="B101" s="12">
        <v>5.7284746999999996</v>
      </c>
      <c r="C101" s="12">
        <v>114.2266667</v>
      </c>
      <c r="D101" s="12">
        <v>6.5447875</v>
      </c>
      <c r="E101" s="17">
        <v>0</v>
      </c>
      <c r="F101" s="12">
        <v>100.2966667</v>
      </c>
      <c r="G101" s="12">
        <v>-0.3460278</v>
      </c>
      <c r="H101" s="12">
        <v>11.644122100000001</v>
      </c>
      <c r="I101" s="12">
        <v>-4.1389841000000001</v>
      </c>
      <c r="J101" s="12">
        <v>4.9489428000000002</v>
      </c>
      <c r="K101" s="12">
        <v>8.4166597999999997</v>
      </c>
      <c r="L101" s="12">
        <v>1.5936976</v>
      </c>
      <c r="M101" s="12">
        <v>10.787637399999999</v>
      </c>
      <c r="N101" s="12">
        <v>2.8312599000000001</v>
      </c>
      <c r="O101" s="12">
        <v>5.9174189000000004</v>
      </c>
      <c r="P101" s="7">
        <v>5142.7</v>
      </c>
      <c r="Q101" s="7">
        <v>119.1</v>
      </c>
      <c r="R101" s="7">
        <v>2.2999999999999998</v>
      </c>
      <c r="S101" s="12">
        <v>6.1305999</v>
      </c>
      <c r="T101" s="12">
        <v>4.5</v>
      </c>
      <c r="U101" s="12">
        <v>124.66666669999999</v>
      </c>
      <c r="V101" s="12">
        <v>24.638000000000002</v>
      </c>
      <c r="W101" s="12">
        <v>1.0837726999999999</v>
      </c>
      <c r="X101" s="12">
        <v>13.9920787</v>
      </c>
      <c r="Y101" s="12">
        <v>23.7365469</v>
      </c>
      <c r="Z101" s="12">
        <v>-1.2459756</v>
      </c>
      <c r="AA101" s="12">
        <v>47.745438800000002</v>
      </c>
      <c r="AB101" s="12">
        <v>19.707885300000001</v>
      </c>
      <c r="AC101" s="12">
        <v>29.234956700000001</v>
      </c>
      <c r="AD101" s="12">
        <v>78.469446399999995</v>
      </c>
      <c r="AE101" s="12">
        <v>75.157727199999997</v>
      </c>
      <c r="AF101" s="12">
        <v>10.3089224</v>
      </c>
      <c r="AG101" s="12">
        <v>39.549595400000001</v>
      </c>
    </row>
    <row r="102" spans="1:33" s="11" customFormat="1" hidden="1" outlineLevel="1" x14ac:dyDescent="0.3">
      <c r="A102" s="11" t="s">
        <v>109</v>
      </c>
      <c r="B102" s="12">
        <v>4.2015890999999996</v>
      </c>
      <c r="C102" s="12">
        <v>118.4333333</v>
      </c>
      <c r="D102" s="12">
        <v>8.8341604</v>
      </c>
      <c r="E102" s="17">
        <v>0</v>
      </c>
      <c r="F102" s="12">
        <v>113.5433333</v>
      </c>
      <c r="G102" s="12">
        <v>4.5747334000000004</v>
      </c>
      <c r="H102" s="12">
        <v>11.1393696</v>
      </c>
      <c r="I102" s="12">
        <v>0.12921460000000001</v>
      </c>
      <c r="J102" s="12">
        <v>3.4034084999999998</v>
      </c>
      <c r="K102" s="12">
        <v>-0.35238069999999999</v>
      </c>
      <c r="L102" s="12">
        <v>1.568085</v>
      </c>
      <c r="M102" s="12">
        <v>11.5542225</v>
      </c>
      <c r="N102" s="12">
        <v>3.2175636000000001</v>
      </c>
      <c r="O102" s="12">
        <v>3.8180437999999999</v>
      </c>
      <c r="P102" s="7">
        <v>5162.2</v>
      </c>
      <c r="Q102" s="7">
        <v>116.1</v>
      </c>
      <c r="R102" s="7">
        <v>2.2000000000000002</v>
      </c>
      <c r="S102" s="12">
        <v>3.4124322999999999</v>
      </c>
      <c r="T102" s="12">
        <v>7</v>
      </c>
      <c r="U102" s="12">
        <v>131.3666667</v>
      </c>
      <c r="V102" s="12">
        <v>24.6346667</v>
      </c>
      <c r="W102" s="12">
        <v>0.88470320000000002</v>
      </c>
      <c r="X102" s="12">
        <v>16.2925434</v>
      </c>
      <c r="Y102" s="12">
        <v>24.674824099999999</v>
      </c>
      <c r="Z102" s="12">
        <v>-5.0230582999999998</v>
      </c>
      <c r="AA102" s="12">
        <v>47.209006299999999</v>
      </c>
      <c r="AB102" s="12">
        <v>19.170975299999998</v>
      </c>
      <c r="AC102" s="12">
        <v>33.203725800000001</v>
      </c>
      <c r="AD102" s="12">
        <v>77.375187400000002</v>
      </c>
      <c r="AE102" s="12">
        <v>76.958894799999996</v>
      </c>
      <c r="AF102" s="12">
        <v>8.2686422000000004</v>
      </c>
      <c r="AG102" s="12">
        <v>41.1631973</v>
      </c>
    </row>
    <row r="103" spans="1:33" s="11" customFormat="1" hidden="1" outlineLevel="1" x14ac:dyDescent="0.3">
      <c r="A103" s="11" t="s">
        <v>110</v>
      </c>
      <c r="B103" s="12">
        <v>2.5907767000000002</v>
      </c>
      <c r="C103" s="12">
        <v>120.83</v>
      </c>
      <c r="D103" s="12">
        <v>10.289956500000001</v>
      </c>
      <c r="E103" s="17">
        <v>0.75</v>
      </c>
      <c r="F103" s="12">
        <v>100.7133333</v>
      </c>
      <c r="G103" s="12">
        <v>11.657803400000001</v>
      </c>
      <c r="H103" s="12">
        <v>10.3297504</v>
      </c>
      <c r="I103" s="12">
        <v>-3.2003659999999998</v>
      </c>
      <c r="J103" s="12">
        <v>1.4240676000000001</v>
      </c>
      <c r="K103" s="12">
        <v>-4.4722384000000002</v>
      </c>
      <c r="L103" s="12">
        <v>-1.7794448</v>
      </c>
      <c r="M103" s="12">
        <v>1.3316641</v>
      </c>
      <c r="N103" s="12">
        <v>13.080290700000001</v>
      </c>
      <c r="O103" s="12">
        <v>7.9880152999999998</v>
      </c>
      <c r="P103" s="7">
        <v>5194.7</v>
      </c>
      <c r="Q103" s="7">
        <v>117.9</v>
      </c>
      <c r="R103" s="7">
        <v>2.2000000000000002</v>
      </c>
      <c r="S103" s="12">
        <v>5.1509394000000004</v>
      </c>
      <c r="T103" s="12">
        <v>7</v>
      </c>
      <c r="U103" s="12">
        <v>135.8666667</v>
      </c>
      <c r="V103" s="12">
        <v>24.579333299999998</v>
      </c>
      <c r="W103" s="12">
        <v>6.1474089999999997</v>
      </c>
      <c r="X103" s="12">
        <v>25.8068873</v>
      </c>
      <c r="Y103" s="12">
        <v>27.597435999999998</v>
      </c>
      <c r="Z103" s="12">
        <v>-12.9625618</v>
      </c>
      <c r="AA103" s="12">
        <v>46.427723999999998</v>
      </c>
      <c r="AB103" s="12">
        <v>18.868161300000001</v>
      </c>
      <c r="AC103" s="12">
        <v>34.373103399999998</v>
      </c>
      <c r="AD103" s="12">
        <v>73.918608699999993</v>
      </c>
      <c r="AE103" s="12">
        <v>73.587597400000007</v>
      </c>
      <c r="AF103" s="12">
        <v>6.5142169000000001</v>
      </c>
      <c r="AG103" s="12">
        <v>43.957439399999998</v>
      </c>
    </row>
    <row r="104" spans="1:33" s="11" customFormat="1" hidden="1" outlineLevel="1" x14ac:dyDescent="0.3">
      <c r="A104" s="11" t="s">
        <v>111</v>
      </c>
      <c r="B104" s="12">
        <v>1.4006327999999999</v>
      </c>
      <c r="C104" s="12">
        <v>123.8</v>
      </c>
      <c r="D104" s="12">
        <v>10.9982068</v>
      </c>
      <c r="E104" s="17">
        <v>1.9166666999999999</v>
      </c>
      <c r="F104" s="12">
        <v>88.556666699999994</v>
      </c>
      <c r="G104" s="12">
        <v>9.9634771000000004</v>
      </c>
      <c r="H104" s="12">
        <v>10.8968729</v>
      </c>
      <c r="I104" s="12">
        <v>-5.5808483000000004</v>
      </c>
      <c r="J104" s="12">
        <v>-6.6789600000000005E-2</v>
      </c>
      <c r="K104" s="12">
        <v>-5.4310299000000004</v>
      </c>
      <c r="L104" s="12">
        <v>5.9286400000000003E-2</v>
      </c>
      <c r="M104" s="12">
        <v>0.49939739999999999</v>
      </c>
      <c r="N104" s="12">
        <v>10.435984100000001</v>
      </c>
      <c r="O104" s="12">
        <v>7.4836850000000004</v>
      </c>
      <c r="P104" s="7">
        <v>5194.3999999999996</v>
      </c>
      <c r="Q104" s="7">
        <v>117.4</v>
      </c>
      <c r="R104" s="7">
        <v>2.2000000000000002</v>
      </c>
      <c r="S104" s="12">
        <v>6.5958966999999999</v>
      </c>
      <c r="T104" s="12">
        <v>7</v>
      </c>
      <c r="U104" s="12">
        <v>136.5</v>
      </c>
      <c r="V104" s="12">
        <v>24.388666700000002</v>
      </c>
      <c r="W104" s="12">
        <v>2.3396880000000002</v>
      </c>
      <c r="X104" s="12">
        <v>20.510766700000001</v>
      </c>
      <c r="Y104" s="12">
        <v>20.731720599999999</v>
      </c>
      <c r="Z104" s="12">
        <v>-4.6546031000000001</v>
      </c>
      <c r="AA104" s="12">
        <v>45.466883500000002</v>
      </c>
      <c r="AB104" s="12">
        <v>22.876955899999999</v>
      </c>
      <c r="AC104" s="12">
        <v>31.505796499999999</v>
      </c>
      <c r="AD104" s="12">
        <v>76.322438599999998</v>
      </c>
      <c r="AE104" s="12">
        <v>76.172074499999994</v>
      </c>
      <c r="AF104" s="12">
        <v>4.7556694999999998</v>
      </c>
      <c r="AG104" s="12">
        <v>44.168689499999999</v>
      </c>
    </row>
    <row r="105" spans="1:33" s="11" customFormat="1" collapsed="1" x14ac:dyDescent="0.3">
      <c r="A105" s="11" t="s">
        <v>112</v>
      </c>
      <c r="B105" s="12">
        <v>1.3448477999999999</v>
      </c>
      <c r="C105" s="12">
        <v>124.9666667</v>
      </c>
      <c r="D105" s="12">
        <v>9.4023579000000002</v>
      </c>
      <c r="E105" s="17">
        <v>3</v>
      </c>
      <c r="F105" s="12">
        <v>81.173333299999996</v>
      </c>
      <c r="G105" s="12">
        <v>15.5512356</v>
      </c>
      <c r="H105" s="12">
        <v>10.6887192</v>
      </c>
      <c r="I105" s="12">
        <v>-6.0591667999999999</v>
      </c>
      <c r="J105" s="12">
        <v>-4.3314499999999999E-2</v>
      </c>
      <c r="K105" s="12">
        <v>-5.3142616</v>
      </c>
      <c r="L105" s="12">
        <v>2.7945913</v>
      </c>
      <c r="M105" s="12">
        <v>-3.0740867999999999</v>
      </c>
      <c r="N105" s="12">
        <v>6.9776458000000003</v>
      </c>
      <c r="O105" s="12">
        <v>3.4376996000000002</v>
      </c>
      <c r="P105" s="7">
        <v>5012.1000000000004</v>
      </c>
      <c r="Q105" s="7">
        <v>134.69999999999999</v>
      </c>
      <c r="R105" s="7">
        <v>2.6</v>
      </c>
      <c r="S105" s="12">
        <v>8.7397036999999997</v>
      </c>
      <c r="T105" s="12">
        <v>7</v>
      </c>
      <c r="U105" s="12">
        <v>147.06666670000001</v>
      </c>
      <c r="V105" s="12">
        <v>23.7843333</v>
      </c>
      <c r="W105" s="12">
        <v>2.1443059999999998</v>
      </c>
      <c r="X105" s="12">
        <v>16.0663789</v>
      </c>
      <c r="Y105" s="12">
        <v>10.1662328</v>
      </c>
      <c r="Z105" s="12">
        <v>1.9864449</v>
      </c>
      <c r="AA105" s="12">
        <v>46.38935</v>
      </c>
      <c r="AB105" s="12">
        <v>19.8382653</v>
      </c>
      <c r="AC105" s="12">
        <v>27.925177300000001</v>
      </c>
      <c r="AD105" s="12">
        <v>78.096749500000001</v>
      </c>
      <c r="AE105" s="12">
        <v>72.249541899999997</v>
      </c>
      <c r="AF105" s="12">
        <v>3.5605045</v>
      </c>
      <c r="AG105" s="12">
        <v>40.856141000000001</v>
      </c>
    </row>
    <row r="106" spans="1:33" s="11" customFormat="1" x14ac:dyDescent="0.3">
      <c r="A106" s="11" t="s">
        <v>113</v>
      </c>
      <c r="B106" s="12">
        <v>0.20197219999999999</v>
      </c>
      <c r="C106" s="12">
        <v>126.9766667</v>
      </c>
      <c r="D106" s="12">
        <v>7.2136222999999999</v>
      </c>
      <c r="E106" s="17">
        <v>3.75</v>
      </c>
      <c r="F106" s="12">
        <v>78.316666699999999</v>
      </c>
      <c r="G106" s="12">
        <v>9.4813328000000006</v>
      </c>
      <c r="H106" s="12">
        <v>12.5640131</v>
      </c>
      <c r="I106" s="12">
        <v>1.3746259000000001</v>
      </c>
      <c r="J106" s="12">
        <v>-0.91716819999999999</v>
      </c>
      <c r="K106" s="12">
        <v>-4.4078252000000004</v>
      </c>
      <c r="L106" s="12">
        <v>3.3978925000000002</v>
      </c>
      <c r="M106" s="12">
        <v>-6.4341875999999996</v>
      </c>
      <c r="N106" s="12">
        <v>3.5081538000000001</v>
      </c>
      <c r="O106" s="12">
        <v>0.2128777</v>
      </c>
      <c r="P106" s="7">
        <v>5063.8999999999996</v>
      </c>
      <c r="Q106" s="7">
        <v>132.30000000000001</v>
      </c>
      <c r="R106" s="7">
        <v>2.6</v>
      </c>
      <c r="S106" s="12">
        <v>7.9939140999999996</v>
      </c>
      <c r="T106" s="12">
        <v>7</v>
      </c>
      <c r="U106" s="12">
        <v>147.93333329999999</v>
      </c>
      <c r="V106" s="12">
        <v>23.575666699999999</v>
      </c>
      <c r="W106" s="12">
        <v>-0.82036770000000003</v>
      </c>
      <c r="X106" s="12">
        <v>6.7387237999999998</v>
      </c>
      <c r="Y106" s="12">
        <v>-1.9964687000000001</v>
      </c>
      <c r="Z106" s="12">
        <v>-1.3725115000000001</v>
      </c>
      <c r="AA106" s="12">
        <v>45.600105900000003</v>
      </c>
      <c r="AB106" s="12">
        <v>19.362623800000001</v>
      </c>
      <c r="AC106" s="12">
        <v>29.562370999999999</v>
      </c>
      <c r="AD106" s="12">
        <v>71.817656400000004</v>
      </c>
      <c r="AE106" s="12">
        <v>66.3427571</v>
      </c>
      <c r="AF106" s="12">
        <v>5.0909222999999999</v>
      </c>
      <c r="AG106" s="12">
        <v>41.533054700000001</v>
      </c>
    </row>
    <row r="107" spans="1:33" s="11" customFormat="1" x14ac:dyDescent="0.3">
      <c r="A107" s="11" t="s">
        <v>114</v>
      </c>
      <c r="B107" s="12">
        <v>-0.19771859999999999</v>
      </c>
      <c r="C107" s="12">
        <v>127.6866667</v>
      </c>
      <c r="D107" s="12">
        <v>5.6746392999999999</v>
      </c>
      <c r="E107" s="17">
        <v>4.25</v>
      </c>
      <c r="F107" s="12">
        <v>86.66</v>
      </c>
      <c r="G107" s="12">
        <v>6.1850614999999998</v>
      </c>
      <c r="H107" s="12">
        <v>9.1384150000000002</v>
      </c>
      <c r="I107" s="12">
        <v>-2.0837526</v>
      </c>
      <c r="J107" s="12">
        <v>-1.0247358</v>
      </c>
      <c r="K107" s="12">
        <v>-2.5547297000000002</v>
      </c>
      <c r="L107" s="12">
        <v>3.9207759000000002</v>
      </c>
      <c r="M107" s="12">
        <v>-4.5083912000000002</v>
      </c>
      <c r="N107" s="12">
        <v>-1.1921713</v>
      </c>
      <c r="O107" s="12">
        <v>-2.1862659</v>
      </c>
      <c r="P107" s="7">
        <v>5079.8999999999996</v>
      </c>
      <c r="Q107" s="7">
        <v>135.69999999999999</v>
      </c>
      <c r="R107" s="7">
        <v>2.6</v>
      </c>
      <c r="S107" s="12">
        <v>7.0517968</v>
      </c>
      <c r="T107" s="12">
        <v>7</v>
      </c>
      <c r="U107" s="12">
        <v>148.80000000000001</v>
      </c>
      <c r="V107" s="12">
        <v>24.126666700000001</v>
      </c>
      <c r="W107" s="12">
        <v>-4.4875682000000001</v>
      </c>
      <c r="X107" s="12">
        <v>-2.1508482999999998</v>
      </c>
      <c r="Y107" s="12">
        <v>-8.8158089000000004</v>
      </c>
      <c r="Z107" s="12">
        <v>0.24911069999999999</v>
      </c>
      <c r="AA107" s="12">
        <v>45.737159200000001</v>
      </c>
      <c r="AB107" s="12">
        <v>19.574630899999999</v>
      </c>
      <c r="AC107" s="12">
        <v>31.3657115</v>
      </c>
      <c r="AD107" s="12">
        <v>66.124061299999994</v>
      </c>
      <c r="AE107" s="12">
        <v>62.8015629</v>
      </c>
      <c r="AF107" s="12">
        <v>4.7494158999999998</v>
      </c>
      <c r="AG107" s="12">
        <v>42.369079499999998</v>
      </c>
    </row>
    <row r="108" spans="1:33" s="11" customFormat="1" x14ac:dyDescent="0.3">
      <c r="A108" s="11" t="s">
        <v>115</v>
      </c>
      <c r="B108" s="7" t="s">
        <v>107</v>
      </c>
      <c r="C108" s="12">
        <v>127.9933333</v>
      </c>
      <c r="D108" s="12">
        <v>3.3871836000000002</v>
      </c>
      <c r="E108" s="17">
        <v>4.5</v>
      </c>
      <c r="F108" s="12">
        <v>83.723333299999993</v>
      </c>
      <c r="G108" s="7" t="s">
        <v>107</v>
      </c>
      <c r="H108" s="7" t="s">
        <v>107</v>
      </c>
      <c r="I108" s="7" t="s">
        <v>107</v>
      </c>
      <c r="J108" s="7" t="s">
        <v>107</v>
      </c>
      <c r="K108" s="7" t="s">
        <v>107</v>
      </c>
      <c r="L108" s="7" t="s">
        <v>107</v>
      </c>
      <c r="M108" s="7" t="s">
        <v>107</v>
      </c>
      <c r="N108" s="7" t="s">
        <v>107</v>
      </c>
      <c r="O108" s="7" t="s">
        <v>107</v>
      </c>
      <c r="P108" s="7" t="s">
        <v>107</v>
      </c>
      <c r="Q108" s="7" t="s">
        <v>107</v>
      </c>
      <c r="R108" s="7" t="s">
        <v>107</v>
      </c>
      <c r="S108" s="7" t="s">
        <v>107</v>
      </c>
      <c r="T108" s="12">
        <v>6.75</v>
      </c>
      <c r="U108" s="12">
        <v>147.9</v>
      </c>
      <c r="V108" s="12">
        <v>24.515666700000001</v>
      </c>
      <c r="W108" s="7" t="s">
        <v>107</v>
      </c>
      <c r="X108" s="7" t="s">
        <v>107</v>
      </c>
      <c r="Y108" s="7" t="s">
        <v>107</v>
      </c>
      <c r="Z108" s="7" t="s">
        <v>107</v>
      </c>
      <c r="AA108" s="7" t="s">
        <v>107</v>
      </c>
      <c r="AB108" s="7" t="s">
        <v>107</v>
      </c>
      <c r="AC108" s="7" t="s">
        <v>107</v>
      </c>
      <c r="AD108" s="7" t="s">
        <v>107</v>
      </c>
      <c r="AE108" s="7" t="s">
        <v>107</v>
      </c>
      <c r="AF108" s="7" t="s">
        <v>107</v>
      </c>
      <c r="AG108" s="7" t="s">
        <v>107</v>
      </c>
    </row>
  </sheetData>
  <pageMargins left="0.7" right="0.7" top="0.75" bottom="0.75" header="0.3" footer="0.3"/>
  <pageSetup paperSize="9" orientation="portrait" horizontalDpi="90" verticalDpi="90"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E2BF9-6890-4E44-BCA7-D23D333CD3E0}">
  <sheetPr codeName="Tabelle17">
    <tabColor rgb="FF7030A0"/>
  </sheetPr>
  <dimension ref="A1:AG108"/>
  <sheetViews>
    <sheetView workbookViewId="0">
      <pane xSplit="1" ySplit="12" topLeftCell="V89" activePane="bottomRight" state="frozen"/>
      <selection activeCell="E12" sqref="E12"/>
      <selection pane="topRight" activeCell="E12" sqref="E12"/>
      <selection pane="bottomLeft" activeCell="E12" sqref="E12"/>
      <selection pane="bottomRight" activeCell="AG1" sqref="AG1"/>
    </sheetView>
  </sheetViews>
  <sheetFormatPr defaultColWidth="9.109375" defaultRowHeight="14.4" outlineLevelRow="1" x14ac:dyDescent="0.3"/>
  <cols>
    <col min="2" max="2" width="11.5546875" bestFit="1" customWidth="1"/>
    <col min="4" max="4" width="12.44140625" customWidth="1"/>
    <col min="7" max="7" width="12.44140625" bestFit="1" customWidth="1"/>
    <col min="8" max="8" width="12.33203125" customWidth="1"/>
    <col min="18" max="18" width="11.109375" bestFit="1" customWidth="1"/>
    <col min="19" max="19" width="12.44140625" bestFit="1" customWidth="1"/>
    <col min="24" max="24" width="12.5546875" bestFit="1" customWidth="1"/>
    <col min="25" max="25" width="12.6640625" bestFit="1" customWidth="1"/>
    <col min="27" max="27" width="13.6640625" customWidth="1"/>
  </cols>
  <sheetData>
    <row r="1" spans="1:33" s="8" customFormat="1" x14ac:dyDescent="0.3">
      <c r="A1" s="8" t="s">
        <v>0</v>
      </c>
      <c r="B1" s="8" t="s">
        <v>1</v>
      </c>
      <c r="C1" s="8" t="s">
        <v>2</v>
      </c>
      <c r="D1" s="8" t="s">
        <v>3</v>
      </c>
      <c r="E1" s="14" t="s">
        <v>4</v>
      </c>
      <c r="F1" s="8" t="s">
        <v>5</v>
      </c>
      <c r="G1" s="8" t="s">
        <v>6</v>
      </c>
      <c r="H1" s="8" t="s">
        <v>254</v>
      </c>
      <c r="I1" s="8" t="s">
        <v>7</v>
      </c>
      <c r="J1" s="8" t="s">
        <v>230</v>
      </c>
      <c r="K1" s="8" t="s">
        <v>231</v>
      </c>
      <c r="L1" s="8" t="s">
        <v>232</v>
      </c>
      <c r="M1" s="8" t="s">
        <v>233</v>
      </c>
      <c r="N1" s="8" t="s">
        <v>234</v>
      </c>
      <c r="O1" s="8" t="s">
        <v>235</v>
      </c>
      <c r="P1" s="8" t="s">
        <v>8</v>
      </c>
      <c r="Q1" s="8" t="s">
        <v>9</v>
      </c>
      <c r="R1" s="8" t="s">
        <v>10</v>
      </c>
      <c r="S1" s="8" t="s">
        <v>11</v>
      </c>
      <c r="T1" s="14" t="s">
        <v>12</v>
      </c>
      <c r="U1" s="8" t="s">
        <v>13</v>
      </c>
      <c r="V1" s="8" t="s">
        <v>14</v>
      </c>
      <c r="W1" s="8" t="s">
        <v>15</v>
      </c>
      <c r="X1" s="8" t="s">
        <v>16</v>
      </c>
      <c r="Y1" s="8" t="s">
        <v>17</v>
      </c>
      <c r="Z1" s="8" t="s">
        <v>18</v>
      </c>
      <c r="AA1" s="9" t="s">
        <v>248</v>
      </c>
      <c r="AB1" s="8" t="s">
        <v>236</v>
      </c>
      <c r="AC1" s="8" t="s">
        <v>237</v>
      </c>
      <c r="AD1" s="8" t="s">
        <v>238</v>
      </c>
      <c r="AE1" s="8" t="s">
        <v>239</v>
      </c>
      <c r="AF1" s="14" t="s">
        <v>255</v>
      </c>
      <c r="AG1" s="14" t="s">
        <v>1317</v>
      </c>
    </row>
    <row r="2" spans="1:33" s="10" customFormat="1" outlineLevel="1" x14ac:dyDescent="0.3">
      <c r="A2" s="16" t="s">
        <v>1292</v>
      </c>
      <c r="B2" s="26"/>
      <c r="C2" s="26"/>
      <c r="D2" s="26" t="s">
        <v>198</v>
      </c>
      <c r="E2" s="26"/>
      <c r="F2" s="26"/>
      <c r="G2" s="26" t="s">
        <v>940</v>
      </c>
      <c r="H2" s="26" t="s">
        <v>942</v>
      </c>
      <c r="I2" s="26"/>
      <c r="J2" s="26" t="s">
        <v>913</v>
      </c>
      <c r="K2" s="26" t="s">
        <v>915</v>
      </c>
      <c r="L2" s="26" t="s">
        <v>917</v>
      </c>
      <c r="M2" s="26" t="s">
        <v>1022</v>
      </c>
      <c r="N2" s="26" t="s">
        <v>919</v>
      </c>
      <c r="O2" s="26" t="s">
        <v>921</v>
      </c>
      <c r="P2" s="26"/>
      <c r="Q2" s="26"/>
      <c r="R2" s="26"/>
      <c r="S2" s="26" t="s">
        <v>944</v>
      </c>
      <c r="T2" s="26"/>
      <c r="U2" s="26"/>
      <c r="V2" s="26"/>
      <c r="W2" s="26" t="s">
        <v>947</v>
      </c>
      <c r="X2" s="26" t="s">
        <v>929</v>
      </c>
      <c r="Y2" s="26" t="s">
        <v>931</v>
      </c>
      <c r="Z2" s="26"/>
      <c r="AA2" s="26"/>
      <c r="AB2" s="26"/>
      <c r="AC2" s="26"/>
      <c r="AD2" s="26"/>
      <c r="AE2" s="26"/>
      <c r="AF2" s="26" t="s">
        <v>938</v>
      </c>
      <c r="AG2" s="26"/>
    </row>
    <row r="3" spans="1:33" outlineLevel="1" x14ac:dyDescent="0.3">
      <c r="A3" s="16" t="s">
        <v>1293</v>
      </c>
      <c r="B3" s="27" t="s">
        <v>123</v>
      </c>
      <c r="C3" s="27" t="s">
        <v>195</v>
      </c>
      <c r="D3" s="27" t="s">
        <v>195</v>
      </c>
      <c r="E3" s="27" t="s">
        <v>186</v>
      </c>
      <c r="F3" s="27" t="s">
        <v>125</v>
      </c>
      <c r="G3" s="27" t="s">
        <v>125</v>
      </c>
      <c r="H3" s="27" t="s">
        <v>125</v>
      </c>
      <c r="I3" s="27" t="s">
        <v>125</v>
      </c>
      <c r="J3" s="27" t="s">
        <v>123</v>
      </c>
      <c r="K3" s="27" t="s">
        <v>326</v>
      </c>
      <c r="L3" s="27" t="s">
        <v>326</v>
      </c>
      <c r="M3" s="27" t="s">
        <v>326</v>
      </c>
      <c r="N3" s="27" t="s">
        <v>326</v>
      </c>
      <c r="O3" s="27" t="s">
        <v>326</v>
      </c>
      <c r="P3" s="27" t="s">
        <v>924</v>
      </c>
      <c r="Q3" s="27" t="s">
        <v>125</v>
      </c>
      <c r="R3" s="27" t="s">
        <v>924</v>
      </c>
      <c r="S3" s="27" t="s">
        <v>946</v>
      </c>
      <c r="T3" s="27" t="s">
        <v>1024</v>
      </c>
      <c r="U3" s="27" t="s">
        <v>125</v>
      </c>
      <c r="V3" s="27" t="s">
        <v>284</v>
      </c>
      <c r="W3" s="27" t="s">
        <v>125</v>
      </c>
      <c r="X3" s="27" t="s">
        <v>207</v>
      </c>
      <c r="Y3" s="27" t="s">
        <v>207</v>
      </c>
      <c r="Z3" s="27" t="s">
        <v>203</v>
      </c>
      <c r="AA3" s="27" t="s">
        <v>125</v>
      </c>
      <c r="AB3" s="27" t="s">
        <v>125</v>
      </c>
      <c r="AC3" s="27" t="s">
        <v>125</v>
      </c>
      <c r="AD3" s="27" t="s">
        <v>125</v>
      </c>
      <c r="AE3" s="27" t="s">
        <v>125</v>
      </c>
      <c r="AF3" s="27" t="s">
        <v>436</v>
      </c>
      <c r="AG3" s="27" t="s">
        <v>125</v>
      </c>
    </row>
    <row r="4" spans="1:33" outlineLevel="1" x14ac:dyDescent="0.3">
      <c r="A4" s="16" t="s">
        <v>1288</v>
      </c>
      <c r="B4" s="2">
        <v>144396</v>
      </c>
      <c r="C4" s="2">
        <v>77811</v>
      </c>
      <c r="D4" s="2">
        <v>77812</v>
      </c>
      <c r="E4" s="2">
        <v>144399</v>
      </c>
      <c r="F4" s="27">
        <v>101874</v>
      </c>
      <c r="G4" s="27">
        <v>53449</v>
      </c>
      <c r="H4" s="27">
        <v>53447</v>
      </c>
      <c r="I4" s="27">
        <v>89220</v>
      </c>
      <c r="J4" s="2">
        <v>88616</v>
      </c>
      <c r="K4" s="2">
        <v>90862</v>
      </c>
      <c r="L4" s="2">
        <v>90906</v>
      </c>
      <c r="M4" s="2">
        <v>90950</v>
      </c>
      <c r="N4" s="2">
        <v>90972</v>
      </c>
      <c r="O4" s="2">
        <v>90994</v>
      </c>
      <c r="P4" s="2">
        <v>88599</v>
      </c>
      <c r="Q4" s="27">
        <v>88607</v>
      </c>
      <c r="R4" s="2">
        <v>74124</v>
      </c>
      <c r="S4" s="2">
        <v>59007</v>
      </c>
      <c r="T4" s="2">
        <v>766</v>
      </c>
      <c r="U4" s="27">
        <v>53476</v>
      </c>
      <c r="V4" s="2">
        <v>972</v>
      </c>
      <c r="W4" s="27">
        <v>79763</v>
      </c>
      <c r="X4" s="2">
        <v>87248</v>
      </c>
      <c r="Y4" s="2">
        <v>87285</v>
      </c>
      <c r="Z4" s="2">
        <v>88720</v>
      </c>
      <c r="AA4" s="27">
        <v>90334</v>
      </c>
      <c r="AB4" s="27">
        <v>90378</v>
      </c>
      <c r="AC4" s="27">
        <v>90422</v>
      </c>
      <c r="AD4" s="27">
        <v>90488</v>
      </c>
      <c r="AE4" s="27">
        <v>90510</v>
      </c>
      <c r="AF4" s="2">
        <v>89608</v>
      </c>
      <c r="AG4" s="27">
        <v>140879</v>
      </c>
    </row>
    <row r="5" spans="1:33" outlineLevel="1" x14ac:dyDescent="0.3">
      <c r="A5" t="s">
        <v>1291</v>
      </c>
      <c r="B5" s="27" t="s">
        <v>221</v>
      </c>
      <c r="C5" s="27" t="s">
        <v>194</v>
      </c>
      <c r="D5" s="27" t="s">
        <v>199</v>
      </c>
      <c r="E5" s="27" t="s">
        <v>253</v>
      </c>
      <c r="F5" s="27" t="s">
        <v>189</v>
      </c>
      <c r="G5" s="27" t="s">
        <v>941</v>
      </c>
      <c r="H5" s="27" t="s">
        <v>943</v>
      </c>
      <c r="I5" s="27" t="s">
        <v>912</v>
      </c>
      <c r="J5" s="27" t="s">
        <v>914</v>
      </c>
      <c r="K5" s="27" t="s">
        <v>916</v>
      </c>
      <c r="L5" s="27" t="s">
        <v>918</v>
      </c>
      <c r="M5" s="27" t="s">
        <v>1023</v>
      </c>
      <c r="N5" s="27" t="s">
        <v>920</v>
      </c>
      <c r="O5" s="27" t="s">
        <v>922</v>
      </c>
      <c r="P5" s="27" t="s">
        <v>923</v>
      </c>
      <c r="Q5" s="27" t="s">
        <v>925</v>
      </c>
      <c r="R5" s="27" t="s">
        <v>926</v>
      </c>
      <c r="S5" s="27" t="s">
        <v>945</v>
      </c>
      <c r="T5" s="27" t="s">
        <v>1305</v>
      </c>
      <c r="U5" s="27" t="s">
        <v>927</v>
      </c>
      <c r="V5" s="27" t="s">
        <v>928</v>
      </c>
      <c r="W5" s="27" t="s">
        <v>948</v>
      </c>
      <c r="X5" s="27" t="s">
        <v>930</v>
      </c>
      <c r="Y5" s="27" t="s">
        <v>932</v>
      </c>
      <c r="Z5" s="27" t="s">
        <v>933</v>
      </c>
      <c r="AA5" s="27" t="s">
        <v>934</v>
      </c>
      <c r="AB5" s="27" t="s">
        <v>935</v>
      </c>
      <c r="AC5" s="27" t="s">
        <v>1019</v>
      </c>
      <c r="AD5" s="27" t="s">
        <v>936</v>
      </c>
      <c r="AE5" s="27" t="s">
        <v>937</v>
      </c>
      <c r="AF5" s="27" t="s">
        <v>939</v>
      </c>
      <c r="AG5" s="27" t="s">
        <v>399</v>
      </c>
    </row>
    <row r="6" spans="1:33" outlineLevel="1" x14ac:dyDescent="0.3">
      <c r="A6" t="s">
        <v>1289</v>
      </c>
      <c r="B6" s="27" t="s">
        <v>222</v>
      </c>
      <c r="C6" s="27" t="s">
        <v>196</v>
      </c>
      <c r="D6" s="27" t="s">
        <v>196</v>
      </c>
      <c r="E6" s="27" t="s">
        <v>187</v>
      </c>
      <c r="F6" s="27" t="s">
        <v>190</v>
      </c>
      <c r="G6" s="27" t="s">
        <v>400</v>
      </c>
      <c r="H6" s="27" t="s">
        <v>400</v>
      </c>
      <c r="I6" s="27" t="s">
        <v>400</v>
      </c>
      <c r="J6" s="27" t="s">
        <v>400</v>
      </c>
      <c r="K6" s="27" t="s">
        <v>400</v>
      </c>
      <c r="L6" s="27" t="s">
        <v>400</v>
      </c>
      <c r="M6" s="27" t="s">
        <v>400</v>
      </c>
      <c r="N6" s="27" t="s">
        <v>400</v>
      </c>
      <c r="O6" s="27" t="s">
        <v>400</v>
      </c>
      <c r="P6" s="27" t="s">
        <v>400</v>
      </c>
      <c r="Q6" s="27" t="s">
        <v>400</v>
      </c>
      <c r="R6" s="27" t="s">
        <v>400</v>
      </c>
      <c r="S6" s="27" t="s">
        <v>400</v>
      </c>
      <c r="T6" s="27" t="s">
        <v>400</v>
      </c>
      <c r="U6" s="27" t="s">
        <v>400</v>
      </c>
      <c r="V6" s="27" t="s">
        <v>400</v>
      </c>
      <c r="W6" s="27" t="s">
        <v>400</v>
      </c>
      <c r="X6" s="27" t="s">
        <v>400</v>
      </c>
      <c r="Y6" s="27" t="s">
        <v>400</v>
      </c>
      <c r="Z6" s="27" t="s">
        <v>400</v>
      </c>
      <c r="AA6" s="27" t="s">
        <v>400</v>
      </c>
      <c r="AB6" s="27" t="s">
        <v>400</v>
      </c>
      <c r="AC6" s="27" t="s">
        <v>400</v>
      </c>
      <c r="AD6" s="27" t="s">
        <v>400</v>
      </c>
      <c r="AE6" s="27" t="s">
        <v>400</v>
      </c>
      <c r="AF6" s="27" t="s">
        <v>400</v>
      </c>
      <c r="AG6" s="27" t="s">
        <v>400</v>
      </c>
    </row>
    <row r="7" spans="1:33" outlineLevel="1" x14ac:dyDescent="0.3">
      <c r="A7" t="s">
        <v>1290</v>
      </c>
      <c r="B7" s="27" t="s">
        <v>223</v>
      </c>
      <c r="C7" s="27" t="s">
        <v>197</v>
      </c>
      <c r="D7" s="27" t="s">
        <v>197</v>
      </c>
      <c r="E7" s="27" t="s">
        <v>188</v>
      </c>
      <c r="F7" s="27" t="s">
        <v>191</v>
      </c>
      <c r="G7" s="27" t="s">
        <v>401</v>
      </c>
      <c r="H7" s="27" t="s">
        <v>401</v>
      </c>
      <c r="I7" s="27" t="s">
        <v>401</v>
      </c>
      <c r="J7" s="27" t="s">
        <v>401</v>
      </c>
      <c r="K7" s="27" t="s">
        <v>401</v>
      </c>
      <c r="L7" s="27" t="s">
        <v>401</v>
      </c>
      <c r="M7" s="27" t="s">
        <v>401</v>
      </c>
      <c r="N7" s="27" t="s">
        <v>401</v>
      </c>
      <c r="O7" s="27" t="s">
        <v>401</v>
      </c>
      <c r="P7" s="27" t="s">
        <v>401</v>
      </c>
      <c r="Q7" s="27" t="s">
        <v>401</v>
      </c>
      <c r="R7" s="27" t="s">
        <v>401</v>
      </c>
      <c r="S7" s="27" t="s">
        <v>401</v>
      </c>
      <c r="T7" s="27" t="s">
        <v>401</v>
      </c>
      <c r="U7" s="27" t="s">
        <v>401</v>
      </c>
      <c r="V7" s="27" t="s">
        <v>401</v>
      </c>
      <c r="W7" s="27" t="s">
        <v>401</v>
      </c>
      <c r="X7" s="27" t="s">
        <v>401</v>
      </c>
      <c r="Y7" s="27" t="s">
        <v>401</v>
      </c>
      <c r="Z7" s="27" t="s">
        <v>401</v>
      </c>
      <c r="AA7" s="27" t="s">
        <v>401</v>
      </c>
      <c r="AB7" s="27" t="s">
        <v>401</v>
      </c>
      <c r="AC7" s="27" t="s">
        <v>401</v>
      </c>
      <c r="AD7" s="27" t="s">
        <v>401</v>
      </c>
      <c r="AE7" s="27" t="s">
        <v>401</v>
      </c>
      <c r="AF7" s="27" t="s">
        <v>401</v>
      </c>
      <c r="AG7" s="27" t="s">
        <v>401</v>
      </c>
    </row>
    <row r="8" spans="1:33" outlineLevel="1" x14ac:dyDescent="0.3">
      <c r="A8" s="16" t="s">
        <v>489</v>
      </c>
      <c r="B8" s="27" t="s">
        <v>120</v>
      </c>
      <c r="C8" s="27" t="s">
        <v>163</v>
      </c>
      <c r="D8" s="27" t="s">
        <v>163</v>
      </c>
      <c r="E8" s="27" t="s">
        <v>159</v>
      </c>
      <c r="F8" s="27"/>
      <c r="G8" s="27" t="s">
        <v>179</v>
      </c>
      <c r="H8" s="27" t="s">
        <v>173</v>
      </c>
      <c r="I8" s="27" t="s">
        <v>182</v>
      </c>
      <c r="J8" s="27" t="s">
        <v>120</v>
      </c>
      <c r="K8" s="27" t="s">
        <v>126</v>
      </c>
      <c r="L8" s="27" t="s">
        <v>129</v>
      </c>
      <c r="M8" s="27" t="s">
        <v>1020</v>
      </c>
      <c r="N8" s="27" t="s">
        <v>135</v>
      </c>
      <c r="O8" s="27" t="s">
        <v>138</v>
      </c>
      <c r="P8" s="27" t="s">
        <v>141</v>
      </c>
      <c r="Q8" s="27" t="s">
        <v>146</v>
      </c>
      <c r="R8" s="27" t="s">
        <v>149</v>
      </c>
      <c r="S8" s="27" t="s">
        <v>154</v>
      </c>
      <c r="T8" s="27" t="s">
        <v>159</v>
      </c>
      <c r="U8" s="27" t="s">
        <v>163</v>
      </c>
      <c r="V8" s="27" t="s">
        <v>168</v>
      </c>
      <c r="W8" s="27" t="s">
        <v>217</v>
      </c>
      <c r="X8" s="27" t="s">
        <v>208</v>
      </c>
      <c r="Y8" s="27" t="s">
        <v>213</v>
      </c>
      <c r="Z8" s="27" t="s">
        <v>204</v>
      </c>
      <c r="AA8" s="27" t="s">
        <v>126</v>
      </c>
      <c r="AB8" s="27" t="s">
        <v>129</v>
      </c>
      <c r="AC8" s="27" t="s">
        <v>1020</v>
      </c>
      <c r="AD8" s="27" t="s">
        <v>135</v>
      </c>
      <c r="AE8" s="27" t="s">
        <v>138</v>
      </c>
      <c r="AF8" s="27" t="s">
        <v>351</v>
      </c>
      <c r="AG8" s="27" t="s">
        <v>402</v>
      </c>
    </row>
    <row r="9" spans="1:33" outlineLevel="1" x14ac:dyDescent="0.3">
      <c r="A9" s="16" t="s">
        <v>490</v>
      </c>
      <c r="B9" s="27" t="s">
        <v>121</v>
      </c>
      <c r="C9" s="27" t="s">
        <v>164</v>
      </c>
      <c r="D9" s="27" t="s">
        <v>164</v>
      </c>
      <c r="E9" s="27" t="s">
        <v>160</v>
      </c>
      <c r="F9" s="27"/>
      <c r="G9" s="27" t="s">
        <v>180</v>
      </c>
      <c r="H9" s="27" t="s">
        <v>174</v>
      </c>
      <c r="I9" s="27" t="s">
        <v>183</v>
      </c>
      <c r="J9" s="27" t="s">
        <v>121</v>
      </c>
      <c r="K9" s="27" t="s">
        <v>127</v>
      </c>
      <c r="L9" s="27" t="s">
        <v>130</v>
      </c>
      <c r="M9" s="27" t="s">
        <v>1021</v>
      </c>
      <c r="N9" s="27" t="s">
        <v>136</v>
      </c>
      <c r="O9" s="27" t="s">
        <v>139</v>
      </c>
      <c r="P9" s="27" t="s">
        <v>142</v>
      </c>
      <c r="Q9" s="27" t="s">
        <v>147</v>
      </c>
      <c r="R9" s="27" t="s">
        <v>150</v>
      </c>
      <c r="S9" s="27" t="s">
        <v>155</v>
      </c>
      <c r="T9" s="27" t="s">
        <v>160</v>
      </c>
      <c r="U9" s="27" t="s">
        <v>164</v>
      </c>
      <c r="V9" s="27" t="s">
        <v>169</v>
      </c>
      <c r="W9" s="27" t="s">
        <v>218</v>
      </c>
      <c r="X9" s="27" t="s">
        <v>209</v>
      </c>
      <c r="Y9" s="27" t="s">
        <v>214</v>
      </c>
      <c r="Z9" s="27" t="s">
        <v>205</v>
      </c>
      <c r="AA9" s="27" t="s">
        <v>127</v>
      </c>
      <c r="AB9" s="27" t="s">
        <v>130</v>
      </c>
      <c r="AC9" s="27" t="s">
        <v>1021</v>
      </c>
      <c r="AD9" s="27" t="s">
        <v>136</v>
      </c>
      <c r="AE9" s="27" t="s">
        <v>139</v>
      </c>
      <c r="AF9" s="27" t="s">
        <v>352</v>
      </c>
      <c r="AG9" s="28" t="s">
        <v>403</v>
      </c>
    </row>
    <row r="10" spans="1:33" outlineLevel="1" x14ac:dyDescent="0.3">
      <c r="A10" s="16" t="s">
        <v>491</v>
      </c>
      <c r="B10" s="27" t="s">
        <v>224</v>
      </c>
      <c r="C10" s="27" t="s">
        <v>165</v>
      </c>
      <c r="D10" s="27" t="s">
        <v>200</v>
      </c>
      <c r="E10" s="27" t="s">
        <v>226</v>
      </c>
      <c r="F10" s="27"/>
      <c r="G10" s="27" t="s">
        <v>175</v>
      </c>
      <c r="H10" s="27" t="s">
        <v>175</v>
      </c>
      <c r="I10" s="27" t="s">
        <v>184</v>
      </c>
      <c r="J10" s="27" t="s">
        <v>122</v>
      </c>
      <c r="K10" s="27" t="s">
        <v>122</v>
      </c>
      <c r="L10" s="27" t="s">
        <v>122</v>
      </c>
      <c r="M10" s="27" t="s">
        <v>122</v>
      </c>
      <c r="N10" s="27" t="s">
        <v>122</v>
      </c>
      <c r="O10" s="27" t="s">
        <v>122</v>
      </c>
      <c r="P10" s="27" t="s">
        <v>143</v>
      </c>
      <c r="Q10" s="27" t="s">
        <v>143</v>
      </c>
      <c r="R10" s="27" t="s">
        <v>151</v>
      </c>
      <c r="S10" s="27" t="s">
        <v>156</v>
      </c>
      <c r="T10" s="27" t="s">
        <v>447</v>
      </c>
      <c r="U10" s="27" t="s">
        <v>165</v>
      </c>
      <c r="V10" s="27" t="s">
        <v>170</v>
      </c>
      <c r="W10" s="27" t="s">
        <v>949</v>
      </c>
      <c r="X10" s="27" t="s">
        <v>210</v>
      </c>
      <c r="Y10" s="27" t="s">
        <v>210</v>
      </c>
      <c r="Z10" s="27" t="s">
        <v>184</v>
      </c>
      <c r="AA10" s="27" t="s">
        <v>184</v>
      </c>
      <c r="AB10" s="27" t="s">
        <v>184</v>
      </c>
      <c r="AC10" s="27" t="s">
        <v>184</v>
      </c>
      <c r="AD10" s="27" t="s">
        <v>184</v>
      </c>
      <c r="AE10" s="27" t="s">
        <v>184</v>
      </c>
      <c r="AF10" s="27" t="s">
        <v>156</v>
      </c>
      <c r="AG10" s="27" t="s">
        <v>184</v>
      </c>
    </row>
    <row r="11" spans="1:33" ht="15.6" customHeight="1" outlineLevel="1" x14ac:dyDescent="0.3">
      <c r="A11" s="16" t="s">
        <v>492</v>
      </c>
      <c r="B11" s="27" t="s">
        <v>225</v>
      </c>
      <c r="C11" s="27" t="s">
        <v>166</v>
      </c>
      <c r="D11" s="27" t="s">
        <v>201</v>
      </c>
      <c r="E11" s="27" t="s">
        <v>227</v>
      </c>
      <c r="F11" s="27"/>
      <c r="G11" s="27" t="s">
        <v>176</v>
      </c>
      <c r="H11" s="27" t="s">
        <v>176</v>
      </c>
      <c r="I11" s="27" t="s">
        <v>185</v>
      </c>
      <c r="J11" s="27" t="s">
        <v>118</v>
      </c>
      <c r="K11" s="27" t="s">
        <v>118</v>
      </c>
      <c r="L11" s="27" t="s">
        <v>118</v>
      </c>
      <c r="M11" s="27" t="s">
        <v>118</v>
      </c>
      <c r="N11" s="27" t="s">
        <v>118</v>
      </c>
      <c r="O11" s="27" t="s">
        <v>118</v>
      </c>
      <c r="P11" s="27" t="s">
        <v>144</v>
      </c>
      <c r="Q11" s="27" t="s">
        <v>144</v>
      </c>
      <c r="R11" s="27" t="s">
        <v>152</v>
      </c>
      <c r="S11" s="27" t="s">
        <v>157</v>
      </c>
      <c r="T11" s="27" t="s">
        <v>448</v>
      </c>
      <c r="U11" s="27" t="s">
        <v>166</v>
      </c>
      <c r="V11" s="27" t="s">
        <v>171</v>
      </c>
      <c r="W11" s="27" t="s">
        <v>950</v>
      </c>
      <c r="X11" s="27" t="s">
        <v>211</v>
      </c>
      <c r="Y11" s="27" t="s">
        <v>211</v>
      </c>
      <c r="Z11" s="27" t="s">
        <v>185</v>
      </c>
      <c r="AA11" s="27" t="s">
        <v>185</v>
      </c>
      <c r="AB11" s="27" t="s">
        <v>185</v>
      </c>
      <c r="AC11" s="27" t="s">
        <v>185</v>
      </c>
      <c r="AD11" s="27" t="s">
        <v>185</v>
      </c>
      <c r="AE11" s="27" t="s">
        <v>185</v>
      </c>
      <c r="AF11" s="27" t="s">
        <v>157</v>
      </c>
      <c r="AG11" s="27" t="s">
        <v>185</v>
      </c>
    </row>
    <row r="12" spans="1:33" outlineLevel="1" x14ac:dyDescent="0.3">
      <c r="B12" s="4" t="str">
        <f>INDEX({"31/01/2024 @ 15:42","macro_id=DBGlobal","label_id=144396","time=Q","year_from=2000","year_to=2023","direction=V","opt_font=true","fontsize=8","opt_color=true","col_desc=Calculation:10;Footnote 1:9;ID:8;Label:7;Reporter:6:s;Reporter:5:long;Indicator:4:s;Indicator:3:l;Unit:2:s;Unit:1:long;","numberformat=0.00","auto_tr=1999|2015","com=true","comp=4"},1,1)</f>
        <v>31/01/2024 @ 15:42</v>
      </c>
      <c r="C12" s="4" t="str">
        <f>INDEX({"31/01/2024 @ 15:42","macro_id=DBGlobal","label_id=77811","time=Q","year_from=2000","year_to=2023","direction=V","opt_font=true","fontsize=8","opt_color=true","col_desc=Calculation:10;Footnote 1:9;ID:8;Label:7;Reporter:6:s;Reporter:5:long;Indicator:4:s;Indicator:3:l;Unit:2:s;Unit:1:long;","numberformat=0.00","auto_tr=1999|2015","com=true","comp=4"},1,1)</f>
        <v>31/01/2024 @ 15:42</v>
      </c>
      <c r="D12" s="6" t="str">
        <f>INDEX({"31/01/2024 @ 15:42","macro_id=DBGlobal","label_id=77812","calc=SubScal(L_77812,100)","time=Q","year_from=2000","year_to=2023","direction=V","opt_font=true","fontsize=8","opt_color=true","col_desc=Calculation:10;Footnote 1:9;ID:8;Label:7;Reporter:6:s;Reporter:5:long;Indicator:4:s;Indicator:3:l;Unit:2:s;Unit:1:long;","numberformat=0.00","auto_tr=1999|2015","com=true","comp=4"},1,1)</f>
        <v>31/01/2024 @ 15:42</v>
      </c>
      <c r="E12" s="4" t="str">
        <f>INDEX({"31/01/2024 @ 15:42","macro_id=DBGlobal","label_id=144399","time=Q","year_from=2000","year_to=2023","direction=V","opt_font=true","fontsize=8","opt_color=true","col_desc=Calculation:10;Footnote 1:9;ID:8;Label:7;Reporter:6:s;Reporter:5:long;Indicator:4:s;Indicator:3:l;Unit:2:s;Unit:1:long;","numberformat=0.00","auto_tr=1999|2015","com=true","comp=4"},1,1)</f>
        <v>31/01/2024 @ 15:42</v>
      </c>
      <c r="F12" s="4" t="str">
        <f>INDEX({"31/01/2024 @ 15:42","macro_id=DBGlobal","label_id=101874","time=Q","year_from=2000","year_to=2023","direction=V","opt_font=true","fontsize=8","opt_color=true","col_desc=Calculation:10;Footnote 1:9;ID:8;Label:7;Reporter:6:s;Reporter:5:long;Indicator:4:s;Indicator:3:l;Unit:2:s;Unit:1:long;","numberformat=0.00","auto_tr=1999|2015","com=true","comp=4"},1,1)</f>
        <v>31/01/2024 @ 15:42</v>
      </c>
      <c r="G12" s="5" t="str">
        <f>INDEX({"31/01/2024 @ 15:42","macro_id=DBGlobal","label_id=53449","calc=SubScal(CPPY=100(L_53449),100)","time=Q","year_from=2000","year_to=2023","direction=V","opt_font=true","fontsize=8","opt_color=true","col_desc=Calculation:10;Footnote 1:9;ID:8;Label:7;Reporter:6:s;Reporter:5:long;Indicator:4:s;Indicator:3:l;Unit:2:s;Unit:1:long;","numberformat=0.00","auto_tr=1999|2015","com=true","comp=4"},1,1)</f>
        <v>31/01/2024 @ 15:42</v>
      </c>
      <c r="H12" s="5" t="str">
        <f>INDEX({"31/01/2024 @ 15:42","macro_id=DBGlobal","label_id=53447","calc=SubScal(CPPY=100(L_53447),100)","time=Q","year_from=2000","year_to=2023","direction=V","opt_font=true","fontsize=8","opt_color=true","col_desc=Calculation:10;Footnote 1:9;ID:8;Label:7;Reporter:6:s;Reporter:5:long;Indicator:4:s;Indicator:3:l;Unit:2:s;Unit:1:long;","numberformat=0.00","auto_tr=1999|2015","com=true","comp=4"},1,1)</f>
        <v>31/01/2024 @ 15:42</v>
      </c>
      <c r="I12" s="1" t="str">
        <f>INDEX({"31/01/2024 @ 15:42","macro_id=DBGlobal","label_id=89220","time=Q","year_from=2000","year_to=2023","direction=V","opt_font=true","fontsize=8","opt_color=true","col_desc=Calculation:10;Footnote 1:9;ID:8;Label:7;Reporter:6:s;Reporter:5:long;Indicator:4:s;Indicator:3:l;Unit:2:s;Unit:1:long;","numberformat=0.00","auto_tr=1999|2015","com=true","comp=4"},1,1)</f>
        <v>31/01/2024 @ 15:42</v>
      </c>
      <c r="J12" s="5" t="str">
        <f>INDEX({"31/01/2024 @ 15:42","macro_id=DBGlobal","label_id=88616","calc=SubScal(CPPY=100(L_88616),100)","time=Q","year_from=2000","year_to=2023","direction=V","opt_font=true","fontsize=8","opt_color=true","col_desc=Calculation:10;Footnote 1:9;ID:8;Label:7;Reporter:6:s;Reporter:5:long;Indicator:4:s;Indicator:3:l;Unit:2:s;Unit:1:long;","numberformat=0.00","auto_tr=1999|2015","com=true","comp=4"},1,1)</f>
        <v>31/01/2024 @ 15:42</v>
      </c>
      <c r="K12" s="5" t="str">
        <f>INDEX({"31/01/2024 @ 15:42","macro_id=DBGlobal","label_id=90862","calc=SubScal(CPPY=100(L_90862),100)","time=Q","year_from=2000","year_to=2023","direction=V","opt_font=true","fontsize=8","opt_color=true","col_desc=Calculation:10;Footnote 1:9;ID:8;Label:7;Reporter:6:s;Reporter:5:long;Indicator:4:s;Indicator:3:l;Unit:2:s;Unit:1:long;","numberformat=0.00","auto_tr=1999|2015","com=true","comp=4"},1,1)</f>
        <v>31/01/2024 @ 15:42</v>
      </c>
      <c r="L12" s="5" t="str">
        <f>INDEX({"31/01/2024 @ 15:42","macro_id=DBGlobal","label_id=90906","calc=SubScal(CPPY=100(L_90906),100)","time=Q","year_from=2000","year_to=2023","direction=V","opt_font=true","fontsize=8","opt_color=true","col_desc=Calculation:10;Footnote 1:9;ID:8;Label:7;Reporter:6:s;Reporter:5:long;Indicator:4:s;Indicator:3:l;Unit:2:s;Unit:1:long;","numberformat=0.00","auto_tr=1999|2015","com=true","comp=4"},1,1)</f>
        <v>31/01/2024 @ 15:42</v>
      </c>
      <c r="M12" s="5" t="str">
        <f>INDEX({"31/01/2024 @ 15:42","macro_id=DBGlobal","label_id=90950","calc=SubScal(CPPY=100(L_90950),100)","time=Q","year_from=2000","year_to=2023","direction=V","opt_font=true","fontsize=8","opt_color=true","col_desc=Calculation:10;Footnote 1:9;ID:8;Label:7;Reporter:6:s;Reporter:5:long;Indicator:4:s;Indicator:3:l;Unit:2:s;Unit:1:long;","numberformat=0.00","auto_tr=1999|2015","com=true","comp=4"},1,1)</f>
        <v>31/01/2024 @ 15:42</v>
      </c>
      <c r="N12" s="5" t="str">
        <f>INDEX({"31/01/2024 @ 15:42","macro_id=DBGlobal","label_id=90972","calc=SubScal(CPPY=100(L_90972),100)","time=Q","year_from=2000","year_to=2023","direction=V","opt_font=true","fontsize=8","opt_color=true","col_desc=Calculation:10;Footnote 1:9;ID:8;Label:7;Reporter:6:s;Reporter:5:long;Indicator:4:s;Indicator:3:l;Unit:2:s;Unit:1:long;","numberformat=0.00","auto_tr=1999|2015","com=true","comp=4"},1,1)</f>
        <v>31/01/2024 @ 15:42</v>
      </c>
      <c r="O12" s="5" t="str">
        <f>INDEX({"31/01/2024 @ 15:42","macro_id=DBGlobal","label_id=90994","calc=SubScal(CPPY=100(L_90994),100)","time=Q","year_from=2000","year_to=2023","direction=V","opt_font=true","fontsize=8","opt_color=true","col_desc=Calculation:10;Footnote 1:9;ID:8;Label:7;Reporter:6:s;Reporter:5:long;Indicator:4:s;Indicator:3:l;Unit:2:s;Unit:1:long;","numberformat=0.00","auto_tr=1999|2015","com=true","comp=4"},1,1)</f>
        <v>31/01/2024 @ 15:42</v>
      </c>
      <c r="P12" s="1" t="str">
        <f>INDEX({"31/01/2024 @ 15:42","macro_id=DBGlobal","label_id=88599","time=Q","year_from=2000","year_to=2023","direction=V","opt_font=true","fontsize=8","opt_color=true","col_desc=Calculation:10;Footnote 1:9;ID:8;Label:7;Reporter:6:s;Reporter:5:long;Indicator:4:s;Indicator:3:l;Unit:2:s;Unit:1:long;","numberformat=0.00","auto_tr=1999|2015","com=true","comp=4"},1,1)</f>
        <v>31/01/2024 @ 15:42</v>
      </c>
      <c r="Q12" s="1" t="str">
        <f>INDEX({"31/01/2024 @ 15:42","macro_id=DBGlobal","label_id=88607","time=Q","year_from=2000","year_to=2023","direction=V","opt_font=true","fontsize=8","opt_color=true","col_desc=Calculation:10;Footnote 1:9;ID:8;Label:7;Reporter:6:s;Reporter:5:long;Indicator:4:s;Indicator:3:l;Unit:2:s;Unit:1:long;","numberformat=0.00","auto_tr=1999|2015","com=true","comp=4"},1,1)</f>
        <v>31/01/2024 @ 15:42</v>
      </c>
      <c r="R12" s="1" t="str">
        <f>INDEX({"31/01/2024 @ 15:42","macro_id=DBGlobal","label_id=74124","time=Q","year_from=2000","year_to=2023","direction=V","opt_font=true","fontsize=8","opt_color=true","col_desc=Calculation:10;Footnote 1:9;ID:8;Label:7;Reporter:6:s;Reporter:5:long;Indicator:4:s;Indicator:3:l;Unit:2:s;Unit:1:long;","numberformat=0.00","auto_tr=1999|2015","com=true","comp=4"},1,1)</f>
        <v>31/01/2024 @ 15:42</v>
      </c>
      <c r="S12" s="5" t="str">
        <f>INDEX({"31/01/2024 @ 15:43","macro_id=DBGlobal","label_id=59007","calc=SubScal(L_59007,100)","time=Q","year_from=2000","year_to=2023","direction=V","opt_font=true","fontsize=8","opt_color=true","col_desc=Calculation:10;Footnote 1:9;ID:8;Label:7;Reporter:6:s;Reporter:5:long;Indicator:4:s;Indicator:3:l;Unit:2:s;Unit:1:long;","numberformat=0.00","auto_tr=1999|2015","com=true","comp=4"},1,1)</f>
        <v>31/01/2024 @ 15:43</v>
      </c>
      <c r="T12" s="1" t="str">
        <f>INDEX({"31/01/2024 @ 15:43","macro_id=DBGlobal","label_id=766","time=Q","year_from=2000","year_to=2023","direction=V","opt_font=true","fontsize=8","opt_color=true","col_desc=Calculation:10;Footnote 1:9;ID:8;Label:7;Reporter:6:s;Reporter:5:long;Indicator:4:s;Indicator:3:l;Unit:2:s;Unit:1:long;","numberformat=0.00","auto_tr=1999|2015","com=true","comp=4"},1,1)</f>
        <v>31/01/2024 @ 15:43</v>
      </c>
      <c r="U12" s="1" t="str">
        <f>INDEX({"31/01/2024 @ 15:43","macro_id=DBGlobal","label_id=53476","time=Q","year_from=2000","year_to=2023","direction=V","opt_font=true","fontsize=8","opt_color=true","col_desc=Calculation:10;Footnote 1:9;ID:8;Label:7;Reporter:6:s;Reporter:5:long;Indicator:4:s;Indicator:3:l;Unit:2:s;Unit:1:long;","numberformat=0.00","auto_tr=1999|2015","com=true","comp=4"},1,1)</f>
        <v>31/01/2024 @ 15:43</v>
      </c>
      <c r="V12" s="1" t="str">
        <f>INDEX({"31/01/2024 @ 15:43","macro_id=DBGlobal","label_id=972","time=Q","year_from=2000","year_to=2023","direction=V","opt_font=true","fontsize=8","opt_color=true","col_desc=Calculation:10;Footnote 1:9;ID:8;Label:7;Reporter:6:s;Reporter:5:long;Indicator:4:s;Indicator:3:l;Unit:2:s;Unit:1:long;","numberformat=0.00","auto_tr=1999|2015","com=true","comp=4"},1,1)</f>
        <v>31/01/2024 @ 15:43</v>
      </c>
      <c r="W12" s="5" t="str">
        <f>INDEX({"31/01/2024 @ 15:43","macro_id=DBGlobal","label_id=79763","calc=SubScal(L_79763,100)","time=Q","year_from=2000","year_to=2023","direction=V","opt_font=true","fontsize=8","opt_color=true","col_desc=Calculation:10;Footnote 1:9;ID:8;Label:7;Reporter:6:s;Reporter:5:long;Indicator:4:s;Indicator:3:l;Unit:2:s;Unit:1:long;","numberformat=0.00","auto_tr=1999|2015","com=true","comp=4"},1,1)</f>
        <v>31/01/2024 @ 15:43</v>
      </c>
      <c r="X12" s="6" t="str">
        <f>INDEX({"31/01/2024 @ 15:43","macro_id=DBGlobal","label_id=87248","calc=SubScal(CPPY=100(AddNull(L_87248,L_87322)),100)","time=Q","year_from=2000","year_to=2023","direction=V","opt_font=true","fontsize=8","opt_color=true","col_desc=Calculation:10;Footnote 1:9;ID:8;Label:7;Reporter:6:s;Reporter:5:long;Indicator:4:s;Indicator:3:l;Unit:2:s;Unit:1:long;","numberformat=0.00","auto_tr=1999|2015","com=true","comp=4"},1,1)</f>
        <v>31/01/2024 @ 15:43</v>
      </c>
      <c r="Y12" s="6" t="str">
        <f>INDEX({"31/01/2024 @ 15:43","macro_id=DBGlobal","label_id=87285","calc=SubScal(CPPY=100(AddNull(L_87285,L_87359)),100)","time=Q","year_from=2000","year_to=2023","direction=V","opt_font=true","fontsize=8","opt_color=true","col_desc=Calculation:10;Footnote 1:9;ID:8;Label:7;Reporter:6:s;Reporter:5:long;Indicator:4:s;Indicator:3:l;Unit:2:s;Unit:1:long;","numberformat=0.00","auto_tr=1999|2015","com=true","comp=4"},1,1)</f>
        <v>31/01/2024 @ 15:43</v>
      </c>
      <c r="Z12" s="1" t="str">
        <f>INDEX({"31/01/2024 @ 15:43","macro_id=DBGlobal","label_id=88720","time=Q","year_from=2000","year_to=2023","direction=V","opt_font=true","fontsize=8","opt_color=true","col_desc=Calculation:10;Footnote 1:9;ID:8;Label:7;Reporter:6:s;Reporter:5:long;Indicator:4:s;Indicator:3:l;Unit:2:s;Unit:1:long;","numberformat=0.00","auto_tr=1999|2015","com=true","comp=4"},1,1)</f>
        <v>31/01/2024 @ 15:43</v>
      </c>
      <c r="AA12" s="1" t="str">
        <f>INDEX({"31/01/2024 @ 15:43","macro_id=DBGlobal","label_id=90334","time=Q","year_from=2000","year_to=2023","direction=V","opt_font=true","fontsize=8","opt_color=true","col_desc=Calculation:10;Footnote 1:9;ID:8;Label:7;Reporter:6:s;Reporter:5:long;Indicator:4:s;Indicator:3:l;Unit:2:s;Unit:1:long;","numberformat=0.00","auto_tr=1999|2015","com=true","comp=4"},1,1)</f>
        <v>31/01/2024 @ 15:43</v>
      </c>
      <c r="AB12" s="1" t="str">
        <f>INDEX({"31/01/2024 @ 15:43","macro_id=DBGlobal","label_id=90378","time=Q","year_from=2000","year_to=2023","direction=V","opt_font=true","fontsize=8","opt_color=true","col_desc=Calculation:10;Footnote 1:9;ID:8;Label:7;Reporter:6:s;Reporter:5:long;Indicator:4:s;Indicator:3:l;Unit:2:s;Unit:1:long;","numberformat=0.00","auto_tr=1999|2015","com=true","comp=4"},1,1)</f>
        <v>31/01/2024 @ 15:43</v>
      </c>
      <c r="AC12" s="1" t="str">
        <f>INDEX({"31/01/2024 @ 15:43","macro_id=DBGlobal","label_id=90422","time=Q","year_from=2000","year_to=2023","direction=V","opt_font=true","fontsize=8","opt_color=true","col_desc=Calculation:10;Footnote 1:9;ID:8;Label:7;Reporter:6:s;Reporter:5:long;Indicator:4:s;Indicator:3:l;Unit:2:s;Unit:1:long;","numberformat=0.00","auto_tr=1999|2015","com=true","comp=4"},1,1)</f>
        <v>31/01/2024 @ 15:43</v>
      </c>
      <c r="AD12" s="1" t="str">
        <f>INDEX({"31/01/2024 @ 15:43","macro_id=DBGlobal","label_id=90488","time=Q","year_from=2000","year_to=2023","direction=V","opt_font=true","fontsize=8","opt_color=true","col_desc=Calculation:10;Footnote 1:9;ID:8;Label:7;Reporter:6:s;Reporter:5:long;Indicator:4:s;Indicator:3:l;Unit:2:s;Unit:1:long;","numberformat=0.00","auto_tr=1999|2015","com=true","comp=4"},1,1)</f>
        <v>31/01/2024 @ 15:43</v>
      </c>
      <c r="AE12" s="1" t="str">
        <f>INDEX({"31/01/2024 @ 15:43","macro_id=DBGlobal","label_id=90510","time=Q","year_from=2000","year_to=2023","direction=V","opt_font=true","fontsize=8","opt_color=true","col_desc=Calculation:10;Footnote 1:9;ID:8;Label:7;Reporter:6:s;Reporter:5:long;Indicator:4:s;Indicator:3:l;Unit:2:s;Unit:1:long;","numberformat=0.00","auto_tr=1999|2015","com=true","comp=4"},1,1)</f>
        <v>31/01/2024 @ 15:43</v>
      </c>
      <c r="AF12" s="5" t="str">
        <f>INDEX({"31/01/2024 @ 15:43","macro_id=DBGlobal","label_id=89608","calc=SubScal(L_89608,100)","time=Q","year_from=2000","year_to=2023","direction=V","opt_font=true","fontsize=8","opt_color=true","col_desc=Calculation:10;Footnote 1:9;ID:8;Label:7;Reporter:6:s;Reporter:5:long;Indicator:4:s;Indicator:3:l;Unit:2:s;Unit:1:long;","numberformat=0.00","auto_tr=1999|2015","com=true","comp=4"},1,1)</f>
        <v>31/01/2024 @ 15:43</v>
      </c>
      <c r="AG12" s="4" t="str">
        <f>INDEX({"31/01/2024 @ 15:43","macro_id=DBGlobal","label_id=140879","time=Q","year_from=2000","year_to=2023","direction=V","opt_font=true","fontsize=8","opt_color=true","col_desc=Calculation:10;Footnote 1:9;ID:8;Label:7;Reporter:6:s;Reporter:5:long;Indicator:4:s;Indicator:3:l;Unit:2:s;Unit:1:long;","numberformat=0.00","auto_tr=1999|2015","com=true","comp=4"},1,1)</f>
        <v>31/01/2024 @ 15:43</v>
      </c>
    </row>
    <row r="13" spans="1:33" s="11" customFormat="1" x14ac:dyDescent="0.3">
      <c r="A13" s="11" t="s">
        <v>19</v>
      </c>
      <c r="B13" s="12">
        <v>4.8214176000000002</v>
      </c>
      <c r="C13" s="12">
        <v>73.989999999999995</v>
      </c>
      <c r="D13" s="12">
        <v>1.7557532</v>
      </c>
      <c r="E13" s="12">
        <v>3.25</v>
      </c>
      <c r="F13" s="13">
        <v>26.926666699999998</v>
      </c>
      <c r="G13" s="12">
        <v>1.2612504</v>
      </c>
      <c r="H13" s="12">
        <v>15.4659484</v>
      </c>
      <c r="I13" s="7" t="s">
        <v>107</v>
      </c>
      <c r="J13" s="7" t="s">
        <v>107</v>
      </c>
      <c r="K13" s="7" t="s">
        <v>107</v>
      </c>
      <c r="L13" s="7" t="s">
        <v>107</v>
      </c>
      <c r="M13" s="7" t="s">
        <v>107</v>
      </c>
      <c r="N13" s="7" t="s">
        <v>107</v>
      </c>
      <c r="O13" s="7" t="s">
        <v>107</v>
      </c>
      <c r="P13" s="7" t="s">
        <v>107</v>
      </c>
      <c r="Q13" s="7" t="s">
        <v>107</v>
      </c>
      <c r="R13" s="7" t="s">
        <v>107</v>
      </c>
      <c r="S13" s="12">
        <v>12.454212500000001</v>
      </c>
      <c r="T13" s="12">
        <v>15.9</v>
      </c>
      <c r="U13" s="12">
        <v>67.032353099999995</v>
      </c>
      <c r="V13" s="12">
        <v>137.11000000000001</v>
      </c>
      <c r="W13" s="7" t="s">
        <v>107</v>
      </c>
      <c r="X13" s="7" t="s">
        <v>107</v>
      </c>
      <c r="Y13" s="7" t="s">
        <v>107</v>
      </c>
      <c r="Z13" s="7" t="s">
        <v>107</v>
      </c>
      <c r="AA13" s="7" t="s">
        <v>107</v>
      </c>
      <c r="AB13" s="7" t="s">
        <v>107</v>
      </c>
      <c r="AC13" s="7" t="s">
        <v>107</v>
      </c>
      <c r="AD13" s="7" t="s">
        <v>107</v>
      </c>
      <c r="AE13" s="7" t="s">
        <v>107</v>
      </c>
      <c r="AF13" s="7" t="s">
        <v>107</v>
      </c>
      <c r="AG13" s="7" t="s">
        <v>107</v>
      </c>
    </row>
    <row r="14" spans="1:33" s="11" customFormat="1" outlineLevel="1" x14ac:dyDescent="0.3">
      <c r="A14" s="11" t="s">
        <v>20</v>
      </c>
      <c r="B14" s="12">
        <v>4.3154814000000004</v>
      </c>
      <c r="C14" s="12">
        <v>74.493333300000003</v>
      </c>
      <c r="D14" s="12">
        <v>1.6742492</v>
      </c>
      <c r="E14" s="12">
        <v>3.9166666999999999</v>
      </c>
      <c r="F14" s="13">
        <v>26.766666699999998</v>
      </c>
      <c r="G14" s="12">
        <v>1.1037117999999999</v>
      </c>
      <c r="H14" s="12">
        <v>15.680026099999999</v>
      </c>
      <c r="I14" s="7" t="s">
        <v>107</v>
      </c>
      <c r="J14" s="7" t="s">
        <v>107</v>
      </c>
      <c r="K14" s="7" t="s">
        <v>107</v>
      </c>
      <c r="L14" s="7" t="s">
        <v>107</v>
      </c>
      <c r="M14" s="7" t="s">
        <v>107</v>
      </c>
      <c r="N14" s="7" t="s">
        <v>107</v>
      </c>
      <c r="O14" s="7" t="s">
        <v>107</v>
      </c>
      <c r="P14" s="7" t="s">
        <v>107</v>
      </c>
      <c r="Q14" s="7" t="s">
        <v>107</v>
      </c>
      <c r="R14" s="7" t="s">
        <v>107</v>
      </c>
      <c r="S14" s="12">
        <v>9.4701053000000002</v>
      </c>
      <c r="T14" s="12">
        <v>13.8</v>
      </c>
      <c r="U14" s="12">
        <v>66.697140500000003</v>
      </c>
      <c r="V14" s="12">
        <v>134.0433333</v>
      </c>
      <c r="W14" s="7" t="s">
        <v>107</v>
      </c>
      <c r="X14" s="7" t="s">
        <v>107</v>
      </c>
      <c r="Y14" s="7" t="s">
        <v>107</v>
      </c>
      <c r="Z14" s="7" t="s">
        <v>107</v>
      </c>
      <c r="AA14" s="7" t="s">
        <v>107</v>
      </c>
      <c r="AB14" s="7" t="s">
        <v>107</v>
      </c>
      <c r="AC14" s="7" t="s">
        <v>107</v>
      </c>
      <c r="AD14" s="7" t="s">
        <v>107</v>
      </c>
      <c r="AE14" s="7" t="s">
        <v>107</v>
      </c>
      <c r="AF14" s="7" t="s">
        <v>107</v>
      </c>
      <c r="AG14" s="7" t="s">
        <v>107</v>
      </c>
    </row>
    <row r="15" spans="1:33" s="11" customFormat="1" outlineLevel="1" x14ac:dyDescent="0.3">
      <c r="A15" s="11" t="s">
        <v>21</v>
      </c>
      <c r="B15" s="12">
        <v>3.5071058000000002</v>
      </c>
      <c r="C15" s="12">
        <v>74.819999999999993</v>
      </c>
      <c r="D15" s="12">
        <v>1.9670194000000001</v>
      </c>
      <c r="E15" s="17">
        <v>4.3333332999999996</v>
      </c>
      <c r="F15" s="13">
        <v>30.673333299999999</v>
      </c>
      <c r="G15" s="12">
        <v>10.4133663</v>
      </c>
      <c r="H15" s="12">
        <v>10.2067704</v>
      </c>
      <c r="I15" s="7" t="s">
        <v>107</v>
      </c>
      <c r="J15" s="7" t="s">
        <v>107</v>
      </c>
      <c r="K15" s="7" t="s">
        <v>107</v>
      </c>
      <c r="L15" s="7" t="s">
        <v>107</v>
      </c>
      <c r="M15" s="7" t="s">
        <v>107</v>
      </c>
      <c r="N15" s="7" t="s">
        <v>107</v>
      </c>
      <c r="O15" s="7" t="s">
        <v>107</v>
      </c>
      <c r="P15" s="7" t="s">
        <v>107</v>
      </c>
      <c r="Q15" s="7" t="s">
        <v>107</v>
      </c>
      <c r="R15" s="7" t="s">
        <v>107</v>
      </c>
      <c r="S15" s="12">
        <v>7.7656466000000002</v>
      </c>
      <c r="T15" s="12">
        <v>5.3</v>
      </c>
      <c r="U15" s="12">
        <v>64.685865199999995</v>
      </c>
      <c r="V15" s="12">
        <v>130.46333329999999</v>
      </c>
      <c r="W15" s="7" t="s">
        <v>107</v>
      </c>
      <c r="X15" s="7" t="s">
        <v>107</v>
      </c>
      <c r="Y15" s="7" t="s">
        <v>107</v>
      </c>
      <c r="Z15" s="7" t="s">
        <v>107</v>
      </c>
      <c r="AA15" s="7" t="s">
        <v>107</v>
      </c>
      <c r="AB15" s="7" t="s">
        <v>107</v>
      </c>
      <c r="AC15" s="7" t="s">
        <v>107</v>
      </c>
      <c r="AD15" s="7" t="s">
        <v>107</v>
      </c>
      <c r="AE15" s="7" t="s">
        <v>107</v>
      </c>
      <c r="AF15" s="7" t="s">
        <v>107</v>
      </c>
      <c r="AG15" s="7" t="s">
        <v>107</v>
      </c>
    </row>
    <row r="16" spans="1:33" s="11" customFormat="1" outlineLevel="1" x14ac:dyDescent="0.3">
      <c r="A16" s="11" t="s">
        <v>22</v>
      </c>
      <c r="B16" s="12">
        <v>2.8994336000000001</v>
      </c>
      <c r="C16" s="12">
        <v>75.3</v>
      </c>
      <c r="D16" s="12">
        <v>2.2218200000000001</v>
      </c>
      <c r="E16" s="17">
        <v>4.75</v>
      </c>
      <c r="F16" s="13">
        <v>29.7233333</v>
      </c>
      <c r="G16" s="12">
        <v>-0.20779700000000001</v>
      </c>
      <c r="H16" s="12">
        <v>8.6182289999999995</v>
      </c>
      <c r="I16" s="7" t="s">
        <v>107</v>
      </c>
      <c r="J16" s="7" t="s">
        <v>107</v>
      </c>
      <c r="K16" s="7" t="s">
        <v>107</v>
      </c>
      <c r="L16" s="7" t="s">
        <v>107</v>
      </c>
      <c r="M16" s="7" t="s">
        <v>107</v>
      </c>
      <c r="N16" s="7" t="s">
        <v>107</v>
      </c>
      <c r="O16" s="7" t="s">
        <v>107</v>
      </c>
      <c r="P16" s="7" t="s">
        <v>107</v>
      </c>
      <c r="Q16" s="7" t="s">
        <v>107</v>
      </c>
      <c r="R16" s="7" t="s">
        <v>107</v>
      </c>
      <c r="S16" s="12">
        <v>19.780922700000001</v>
      </c>
      <c r="T16" s="12">
        <v>6.5</v>
      </c>
      <c r="U16" s="12">
        <v>67.733252100000001</v>
      </c>
      <c r="V16" s="12">
        <v>128.69333330000001</v>
      </c>
      <c r="W16" s="7" t="s">
        <v>107</v>
      </c>
      <c r="X16" s="7" t="s">
        <v>107</v>
      </c>
      <c r="Y16" s="7" t="s">
        <v>107</v>
      </c>
      <c r="Z16" s="7" t="s">
        <v>107</v>
      </c>
      <c r="AA16" s="7" t="s">
        <v>107</v>
      </c>
      <c r="AB16" s="7" t="s">
        <v>107</v>
      </c>
      <c r="AC16" s="7" t="s">
        <v>107</v>
      </c>
      <c r="AD16" s="7" t="s">
        <v>107</v>
      </c>
      <c r="AE16" s="7" t="s">
        <v>107</v>
      </c>
      <c r="AF16" s="7" t="s">
        <v>107</v>
      </c>
      <c r="AG16" s="7" t="s">
        <v>107</v>
      </c>
    </row>
    <row r="17" spans="1:33" s="11" customFormat="1" outlineLevel="1" x14ac:dyDescent="0.3">
      <c r="A17" s="11" t="s">
        <v>23</v>
      </c>
      <c r="B17" s="12">
        <v>3.0047543999999999</v>
      </c>
      <c r="C17" s="12">
        <v>75.393333299999995</v>
      </c>
      <c r="D17" s="12">
        <v>1.8966527</v>
      </c>
      <c r="E17" s="17">
        <v>4.75</v>
      </c>
      <c r="F17" s="13">
        <v>25.873333299999999</v>
      </c>
      <c r="G17" s="12">
        <v>6.5011891000000004</v>
      </c>
      <c r="H17" s="12">
        <v>4.0876013999999996</v>
      </c>
      <c r="I17" s="7" t="s">
        <v>107</v>
      </c>
      <c r="J17" s="7" t="s">
        <v>107</v>
      </c>
      <c r="K17" s="7" t="s">
        <v>107</v>
      </c>
      <c r="L17" s="7" t="s">
        <v>107</v>
      </c>
      <c r="M17" s="7" t="s">
        <v>107</v>
      </c>
      <c r="N17" s="7" t="s">
        <v>107</v>
      </c>
      <c r="O17" s="7" t="s">
        <v>107</v>
      </c>
      <c r="P17" s="7" t="s">
        <v>107</v>
      </c>
      <c r="Q17" s="7" t="s">
        <v>107</v>
      </c>
      <c r="R17" s="7" t="s">
        <v>107</v>
      </c>
      <c r="S17" s="12">
        <v>13.635330700000001</v>
      </c>
      <c r="T17" s="12">
        <v>6.5</v>
      </c>
      <c r="U17" s="12">
        <v>68.495098799999994</v>
      </c>
      <c r="V17" s="12">
        <v>132.04</v>
      </c>
      <c r="W17" s="7" t="s">
        <v>107</v>
      </c>
      <c r="X17" s="7" t="s">
        <v>107</v>
      </c>
      <c r="Y17" s="7" t="s">
        <v>107</v>
      </c>
      <c r="Z17" s="7" t="s">
        <v>107</v>
      </c>
      <c r="AA17" s="7" t="s">
        <v>107</v>
      </c>
      <c r="AB17" s="7" t="s">
        <v>107</v>
      </c>
      <c r="AC17" s="7" t="s">
        <v>107</v>
      </c>
      <c r="AD17" s="7" t="s">
        <v>107</v>
      </c>
      <c r="AE17" s="7" t="s">
        <v>107</v>
      </c>
      <c r="AF17" s="7" t="s">
        <v>107</v>
      </c>
      <c r="AG17" s="7" t="s">
        <v>107</v>
      </c>
    </row>
    <row r="18" spans="1:33" s="11" customFormat="1" outlineLevel="1" x14ac:dyDescent="0.3">
      <c r="A18" s="11" t="s">
        <v>24</v>
      </c>
      <c r="B18" s="12">
        <v>2.2522867999999998</v>
      </c>
      <c r="C18" s="12">
        <v>76.483333299999998</v>
      </c>
      <c r="D18" s="12">
        <v>2.6713800000000001</v>
      </c>
      <c r="E18" s="17">
        <v>4.5833332999999996</v>
      </c>
      <c r="F18" s="13">
        <v>27.273333300000001</v>
      </c>
      <c r="G18" s="12">
        <v>27.113128799999998</v>
      </c>
      <c r="H18" s="12">
        <v>26.240508599999998</v>
      </c>
      <c r="I18" s="7" t="s">
        <v>107</v>
      </c>
      <c r="J18" s="7" t="s">
        <v>107</v>
      </c>
      <c r="K18" s="7" t="s">
        <v>107</v>
      </c>
      <c r="L18" s="7" t="s">
        <v>107</v>
      </c>
      <c r="M18" s="7" t="s">
        <v>107</v>
      </c>
      <c r="N18" s="7" t="s">
        <v>107</v>
      </c>
      <c r="O18" s="7" t="s">
        <v>107</v>
      </c>
      <c r="P18" s="7" t="s">
        <v>107</v>
      </c>
      <c r="Q18" s="7" t="s">
        <v>107</v>
      </c>
      <c r="R18" s="7" t="s">
        <v>107</v>
      </c>
      <c r="S18" s="12">
        <v>14.453450500000001</v>
      </c>
      <c r="T18" s="12">
        <v>6.5</v>
      </c>
      <c r="U18" s="12">
        <v>68.830311300000005</v>
      </c>
      <c r="V18" s="12">
        <v>128.34</v>
      </c>
      <c r="W18" s="7" t="s">
        <v>107</v>
      </c>
      <c r="X18" s="7" t="s">
        <v>107</v>
      </c>
      <c r="Y18" s="7" t="s">
        <v>107</v>
      </c>
      <c r="Z18" s="7" t="s">
        <v>107</v>
      </c>
      <c r="AA18" s="7" t="s">
        <v>107</v>
      </c>
      <c r="AB18" s="7" t="s">
        <v>107</v>
      </c>
      <c r="AC18" s="7" t="s">
        <v>107</v>
      </c>
      <c r="AD18" s="7" t="s">
        <v>107</v>
      </c>
      <c r="AE18" s="7" t="s">
        <v>107</v>
      </c>
      <c r="AF18" s="7" t="s">
        <v>107</v>
      </c>
      <c r="AG18" s="7" t="s">
        <v>107</v>
      </c>
    </row>
    <row r="19" spans="1:33" s="11" customFormat="1" outlineLevel="1" x14ac:dyDescent="0.3">
      <c r="A19" s="11" t="s">
        <v>25</v>
      </c>
      <c r="B19" s="12">
        <v>1.8991327</v>
      </c>
      <c r="C19" s="12">
        <v>76.516666700000002</v>
      </c>
      <c r="D19" s="12">
        <v>2.2676647000000001</v>
      </c>
      <c r="E19" s="17">
        <v>4.1666667000000004</v>
      </c>
      <c r="F19" s="13">
        <v>25.303333299999998</v>
      </c>
      <c r="G19" s="12">
        <v>-2.0333131999999998</v>
      </c>
      <c r="H19" s="12">
        <v>10.496778900000001</v>
      </c>
      <c r="I19" s="7" t="s">
        <v>107</v>
      </c>
      <c r="J19" s="7" t="s">
        <v>107</v>
      </c>
      <c r="K19" s="7" t="s">
        <v>107</v>
      </c>
      <c r="L19" s="7" t="s">
        <v>107</v>
      </c>
      <c r="M19" s="7" t="s">
        <v>107</v>
      </c>
      <c r="N19" s="7" t="s">
        <v>107</v>
      </c>
      <c r="O19" s="7" t="s">
        <v>107</v>
      </c>
      <c r="P19" s="7" t="s">
        <v>107</v>
      </c>
      <c r="Q19" s="7" t="s">
        <v>107</v>
      </c>
      <c r="R19" s="7" t="s">
        <v>107</v>
      </c>
      <c r="S19" s="12">
        <v>19.7488584</v>
      </c>
      <c r="T19" s="12">
        <v>7</v>
      </c>
      <c r="U19" s="12">
        <v>67.540250900000004</v>
      </c>
      <c r="V19" s="12">
        <v>128.63</v>
      </c>
      <c r="W19" s="7" t="s">
        <v>107</v>
      </c>
      <c r="X19" s="7" t="s">
        <v>107</v>
      </c>
      <c r="Y19" s="7" t="s">
        <v>107</v>
      </c>
      <c r="Z19" s="7" t="s">
        <v>107</v>
      </c>
      <c r="AA19" s="7" t="s">
        <v>107</v>
      </c>
      <c r="AB19" s="7" t="s">
        <v>107</v>
      </c>
      <c r="AC19" s="7" t="s">
        <v>107</v>
      </c>
      <c r="AD19" s="7" t="s">
        <v>107</v>
      </c>
      <c r="AE19" s="7" t="s">
        <v>107</v>
      </c>
      <c r="AF19" s="7" t="s">
        <v>107</v>
      </c>
      <c r="AG19" s="7" t="s">
        <v>107</v>
      </c>
    </row>
    <row r="20" spans="1:33" s="11" customFormat="1" outlineLevel="1" x14ac:dyDescent="0.3">
      <c r="A20" s="11" t="s">
        <v>26</v>
      </c>
      <c r="B20" s="12">
        <v>1.4300580000000001</v>
      </c>
      <c r="C20" s="12">
        <v>76.746666700000006</v>
      </c>
      <c r="D20" s="12">
        <v>1.9212041</v>
      </c>
      <c r="E20" s="17">
        <v>3.4166666999999999</v>
      </c>
      <c r="F20" s="13">
        <v>19.350000000000001</v>
      </c>
      <c r="G20" s="12">
        <v>7.0318978000000003</v>
      </c>
      <c r="H20" s="12">
        <v>39.528772400000001</v>
      </c>
      <c r="I20" s="7" t="s">
        <v>107</v>
      </c>
      <c r="J20" s="7" t="s">
        <v>107</v>
      </c>
      <c r="K20" s="7" t="s">
        <v>107</v>
      </c>
      <c r="L20" s="7" t="s">
        <v>107</v>
      </c>
      <c r="M20" s="7" t="s">
        <v>107</v>
      </c>
      <c r="N20" s="7" t="s">
        <v>107</v>
      </c>
      <c r="O20" s="7" t="s">
        <v>107</v>
      </c>
      <c r="P20" s="7" t="s">
        <v>107</v>
      </c>
      <c r="Q20" s="7" t="s">
        <v>107</v>
      </c>
      <c r="R20" s="7" t="s">
        <v>107</v>
      </c>
      <c r="S20" s="12">
        <v>14.932247500000001</v>
      </c>
      <c r="T20" s="12">
        <v>7</v>
      </c>
      <c r="U20" s="12">
        <v>69.571842200000006</v>
      </c>
      <c r="V20" s="12">
        <v>124.8666667</v>
      </c>
      <c r="W20" s="7" t="s">
        <v>107</v>
      </c>
      <c r="X20" s="7" t="s">
        <v>107</v>
      </c>
      <c r="Y20" s="7" t="s">
        <v>107</v>
      </c>
      <c r="Z20" s="7" t="s">
        <v>107</v>
      </c>
      <c r="AA20" s="7" t="s">
        <v>107</v>
      </c>
      <c r="AB20" s="7" t="s">
        <v>107</v>
      </c>
      <c r="AC20" s="7" t="s">
        <v>107</v>
      </c>
      <c r="AD20" s="7" t="s">
        <v>107</v>
      </c>
      <c r="AE20" s="7" t="s">
        <v>107</v>
      </c>
      <c r="AF20" s="7" t="s">
        <v>107</v>
      </c>
      <c r="AG20" s="7" t="s">
        <v>107</v>
      </c>
    </row>
    <row r="21" spans="1:33" s="11" customFormat="1" outlineLevel="1" x14ac:dyDescent="0.3">
      <c r="A21" s="11" t="s">
        <v>27</v>
      </c>
      <c r="B21" s="12">
        <v>7.1740499999999999E-2</v>
      </c>
      <c r="C21" s="12">
        <v>77.180000000000007</v>
      </c>
      <c r="D21" s="12">
        <v>2.3697940000000002</v>
      </c>
      <c r="E21" s="17">
        <v>3.25</v>
      </c>
      <c r="F21" s="13">
        <v>21.1333333</v>
      </c>
      <c r="G21" s="12">
        <v>2.0822284999999998</v>
      </c>
      <c r="H21" s="12">
        <v>8.4763338000000008</v>
      </c>
      <c r="I21" s="7" t="s">
        <v>107</v>
      </c>
      <c r="J21" s="7" t="s">
        <v>107</v>
      </c>
      <c r="K21" s="7" t="s">
        <v>107</v>
      </c>
      <c r="L21" s="7" t="s">
        <v>107</v>
      </c>
      <c r="M21" s="7" t="s">
        <v>107</v>
      </c>
      <c r="N21" s="7" t="s">
        <v>107</v>
      </c>
      <c r="O21" s="7" t="s">
        <v>107</v>
      </c>
      <c r="P21" s="7" t="s">
        <v>107</v>
      </c>
      <c r="Q21" s="7" t="s">
        <v>107</v>
      </c>
      <c r="R21" s="7" t="s">
        <v>107</v>
      </c>
      <c r="S21" s="12">
        <v>22.791813900000001</v>
      </c>
      <c r="T21" s="12">
        <v>7.5</v>
      </c>
      <c r="U21" s="12">
        <v>73.421707600000005</v>
      </c>
      <c r="V21" s="12">
        <v>123.7433333</v>
      </c>
      <c r="W21" s="7" t="s">
        <v>107</v>
      </c>
      <c r="X21" s="7" t="s">
        <v>107</v>
      </c>
      <c r="Y21" s="7" t="s">
        <v>107</v>
      </c>
      <c r="Z21" s="7" t="s">
        <v>107</v>
      </c>
      <c r="AA21" s="7" t="s">
        <v>107</v>
      </c>
      <c r="AB21" s="7" t="s">
        <v>107</v>
      </c>
      <c r="AC21" s="7" t="s">
        <v>107</v>
      </c>
      <c r="AD21" s="7" t="s">
        <v>107</v>
      </c>
      <c r="AE21" s="7" t="s">
        <v>107</v>
      </c>
      <c r="AF21" s="7" t="s">
        <v>107</v>
      </c>
      <c r="AG21" s="7" t="s">
        <v>107</v>
      </c>
    </row>
    <row r="22" spans="1:33" s="11" customFormat="1" outlineLevel="1" x14ac:dyDescent="0.3">
      <c r="A22" s="11" t="s">
        <v>28</v>
      </c>
      <c r="B22" s="12">
        <v>1.2490021</v>
      </c>
      <c r="C22" s="12">
        <v>77.933333300000001</v>
      </c>
      <c r="D22" s="12">
        <v>1.8958379000000001</v>
      </c>
      <c r="E22" s="17">
        <v>3.25</v>
      </c>
      <c r="F22" s="13">
        <v>25.053333299999998</v>
      </c>
      <c r="G22" s="12">
        <v>-8.6459258000000005</v>
      </c>
      <c r="H22" s="12">
        <v>4.8622185</v>
      </c>
      <c r="I22" s="7" t="s">
        <v>107</v>
      </c>
      <c r="J22" s="7" t="s">
        <v>107</v>
      </c>
      <c r="K22" s="7" t="s">
        <v>107</v>
      </c>
      <c r="L22" s="7" t="s">
        <v>107</v>
      </c>
      <c r="M22" s="7" t="s">
        <v>107</v>
      </c>
      <c r="N22" s="7" t="s">
        <v>107</v>
      </c>
      <c r="O22" s="7" t="s">
        <v>107</v>
      </c>
      <c r="P22" s="7" t="s">
        <v>107</v>
      </c>
      <c r="Q22" s="7" t="s">
        <v>107</v>
      </c>
      <c r="R22" s="7" t="s">
        <v>107</v>
      </c>
      <c r="S22" s="12">
        <v>24.647561100000001</v>
      </c>
      <c r="T22" s="12">
        <v>8.5</v>
      </c>
      <c r="U22" s="12">
        <v>72.233226599999995</v>
      </c>
      <c r="V22" s="12">
        <v>132.3266667</v>
      </c>
      <c r="W22" s="7" t="s">
        <v>107</v>
      </c>
      <c r="X22" s="7" t="s">
        <v>107</v>
      </c>
      <c r="Y22" s="7" t="s">
        <v>107</v>
      </c>
      <c r="Z22" s="7" t="s">
        <v>107</v>
      </c>
      <c r="AA22" s="7" t="s">
        <v>107</v>
      </c>
      <c r="AB22" s="7" t="s">
        <v>107</v>
      </c>
      <c r="AC22" s="7" t="s">
        <v>107</v>
      </c>
      <c r="AD22" s="7" t="s">
        <v>107</v>
      </c>
      <c r="AE22" s="7" t="s">
        <v>107</v>
      </c>
      <c r="AF22" s="7" t="s">
        <v>107</v>
      </c>
      <c r="AG22" s="7" t="s">
        <v>107</v>
      </c>
    </row>
    <row r="23" spans="1:33" s="11" customFormat="1" outlineLevel="1" x14ac:dyDescent="0.3">
      <c r="A23" s="11" t="s">
        <v>29</v>
      </c>
      <c r="B23" s="12">
        <v>1.6677649999999999</v>
      </c>
      <c r="C23" s="12">
        <v>77.973333299999993</v>
      </c>
      <c r="D23" s="12">
        <v>1.9037246000000001</v>
      </c>
      <c r="E23" s="17">
        <v>3.25</v>
      </c>
      <c r="F23" s="13">
        <v>26.93</v>
      </c>
      <c r="G23" s="12">
        <v>10.6704805</v>
      </c>
      <c r="H23" s="12">
        <v>11.290758800000001</v>
      </c>
      <c r="I23" s="7" t="s">
        <v>107</v>
      </c>
      <c r="J23" s="7" t="s">
        <v>107</v>
      </c>
      <c r="K23" s="7" t="s">
        <v>107</v>
      </c>
      <c r="L23" s="7" t="s">
        <v>107</v>
      </c>
      <c r="M23" s="7" t="s">
        <v>107</v>
      </c>
      <c r="N23" s="7" t="s">
        <v>107</v>
      </c>
      <c r="O23" s="7" t="s">
        <v>107</v>
      </c>
      <c r="P23" s="7" t="s">
        <v>107</v>
      </c>
      <c r="Q23" s="7" t="s">
        <v>107</v>
      </c>
      <c r="R23" s="7" t="s">
        <v>107</v>
      </c>
      <c r="S23" s="12">
        <v>21.913727399999999</v>
      </c>
      <c r="T23" s="12">
        <v>8.5</v>
      </c>
      <c r="U23" s="12">
        <v>70.922850299999993</v>
      </c>
      <c r="V23" s="12">
        <v>136.28666670000001</v>
      </c>
      <c r="W23" s="7" t="s">
        <v>107</v>
      </c>
      <c r="X23" s="7" t="s">
        <v>107</v>
      </c>
      <c r="Y23" s="7" t="s">
        <v>107</v>
      </c>
      <c r="Z23" s="7" t="s">
        <v>107</v>
      </c>
      <c r="AA23" s="7" t="s">
        <v>107</v>
      </c>
      <c r="AB23" s="7" t="s">
        <v>107</v>
      </c>
      <c r="AC23" s="7" t="s">
        <v>107</v>
      </c>
      <c r="AD23" s="7" t="s">
        <v>107</v>
      </c>
      <c r="AE23" s="7" t="s">
        <v>107</v>
      </c>
      <c r="AF23" s="7" t="s">
        <v>107</v>
      </c>
      <c r="AG23" s="7" t="s">
        <v>107</v>
      </c>
    </row>
    <row r="24" spans="1:33" s="11" customFormat="1" outlineLevel="1" x14ac:dyDescent="0.3">
      <c r="A24" s="11" t="s">
        <v>30</v>
      </c>
      <c r="B24" s="12">
        <v>1.208337</v>
      </c>
      <c r="C24" s="12">
        <v>78.4033333</v>
      </c>
      <c r="D24" s="12">
        <v>2.158617</v>
      </c>
      <c r="E24" s="17">
        <v>3.0833333000000001</v>
      </c>
      <c r="F24" s="13">
        <v>26.736666700000001</v>
      </c>
      <c r="G24" s="12">
        <v>9.0336242999999996</v>
      </c>
      <c r="H24" s="12">
        <v>1.9839910999999999</v>
      </c>
      <c r="I24" s="7" t="s">
        <v>107</v>
      </c>
      <c r="J24" s="7" t="s">
        <v>107</v>
      </c>
      <c r="K24" s="7" t="s">
        <v>107</v>
      </c>
      <c r="L24" s="7" t="s">
        <v>107</v>
      </c>
      <c r="M24" s="7" t="s">
        <v>107</v>
      </c>
      <c r="N24" s="7" t="s">
        <v>107</v>
      </c>
      <c r="O24" s="7" t="s">
        <v>107</v>
      </c>
      <c r="P24" s="7" t="s">
        <v>107</v>
      </c>
      <c r="Q24" s="7" t="s">
        <v>107</v>
      </c>
      <c r="R24" s="7" t="s">
        <v>107</v>
      </c>
      <c r="S24" s="12">
        <v>-3.2466024</v>
      </c>
      <c r="T24" s="12">
        <v>8.5</v>
      </c>
      <c r="U24" s="12">
        <v>72.141805000000005</v>
      </c>
      <c r="V24" s="12">
        <v>137.08333329999999</v>
      </c>
      <c r="W24" s="7" t="s">
        <v>107</v>
      </c>
      <c r="X24" s="7" t="s">
        <v>107</v>
      </c>
      <c r="Y24" s="7" t="s">
        <v>107</v>
      </c>
      <c r="Z24" s="7" t="s">
        <v>107</v>
      </c>
      <c r="AA24" s="7" t="s">
        <v>107</v>
      </c>
      <c r="AB24" s="7" t="s">
        <v>107</v>
      </c>
      <c r="AC24" s="7" t="s">
        <v>107</v>
      </c>
      <c r="AD24" s="7" t="s">
        <v>107</v>
      </c>
      <c r="AE24" s="7" t="s">
        <v>107</v>
      </c>
      <c r="AF24" s="7" t="s">
        <v>107</v>
      </c>
      <c r="AG24" s="7" t="s">
        <v>107</v>
      </c>
    </row>
    <row r="25" spans="1:33" s="11" customFormat="1" outlineLevel="1" x14ac:dyDescent="0.3">
      <c r="A25" s="11" t="s">
        <v>31</v>
      </c>
      <c r="B25" s="12">
        <v>1.0748135000000001</v>
      </c>
      <c r="C25" s="12">
        <v>78.856666700000005</v>
      </c>
      <c r="D25" s="12">
        <v>2.1724109</v>
      </c>
      <c r="E25" s="17">
        <v>2.6666666999999999</v>
      </c>
      <c r="F25" s="13">
        <v>31.52</v>
      </c>
      <c r="G25" s="12">
        <v>8.6183797000000002</v>
      </c>
      <c r="H25" s="12">
        <v>9.1214653999999999</v>
      </c>
      <c r="I25" s="7" t="s">
        <v>107</v>
      </c>
      <c r="J25" s="7" t="s">
        <v>107</v>
      </c>
      <c r="K25" s="7" t="s">
        <v>107</v>
      </c>
      <c r="L25" s="7" t="s">
        <v>107</v>
      </c>
      <c r="M25" s="7" t="s">
        <v>107</v>
      </c>
      <c r="N25" s="7" t="s">
        <v>107</v>
      </c>
      <c r="O25" s="7" t="s">
        <v>107</v>
      </c>
      <c r="P25" s="7" t="s">
        <v>107</v>
      </c>
      <c r="Q25" s="7" t="s">
        <v>107</v>
      </c>
      <c r="R25" s="7" t="s">
        <v>107</v>
      </c>
      <c r="S25" s="12">
        <v>14.4191097</v>
      </c>
      <c r="T25" s="12">
        <v>8.5</v>
      </c>
      <c r="U25" s="12">
        <v>74.021026899999995</v>
      </c>
      <c r="V25" s="12">
        <v>140.1333333</v>
      </c>
      <c r="W25" s="7" t="s">
        <v>107</v>
      </c>
      <c r="X25" s="7" t="s">
        <v>107</v>
      </c>
      <c r="Y25" s="7" t="s">
        <v>107</v>
      </c>
      <c r="Z25" s="7" t="s">
        <v>107</v>
      </c>
      <c r="AA25" s="7" t="s">
        <v>107</v>
      </c>
      <c r="AB25" s="7" t="s">
        <v>107</v>
      </c>
      <c r="AC25" s="7" t="s">
        <v>107</v>
      </c>
      <c r="AD25" s="7" t="s">
        <v>107</v>
      </c>
      <c r="AE25" s="7" t="s">
        <v>107</v>
      </c>
      <c r="AF25" s="7" t="s">
        <v>107</v>
      </c>
      <c r="AG25" s="7" t="s">
        <v>107</v>
      </c>
    </row>
    <row r="26" spans="1:33" s="11" customFormat="1" outlineLevel="1" x14ac:dyDescent="0.3">
      <c r="A26" s="11" t="s">
        <v>32</v>
      </c>
      <c r="B26" s="12">
        <v>0.33264589999999999</v>
      </c>
      <c r="C26" s="12">
        <v>79.37</v>
      </c>
      <c r="D26" s="12">
        <v>1.843456</v>
      </c>
      <c r="E26" s="17">
        <v>2.3333333000000001</v>
      </c>
      <c r="F26" s="13">
        <v>26.17</v>
      </c>
      <c r="G26" s="12">
        <v>10.7410002</v>
      </c>
      <c r="H26" s="12">
        <v>18.779179899999999</v>
      </c>
      <c r="I26" s="7" t="s">
        <v>107</v>
      </c>
      <c r="J26" s="7" t="s">
        <v>107</v>
      </c>
      <c r="K26" s="7" t="s">
        <v>107</v>
      </c>
      <c r="L26" s="7" t="s">
        <v>107</v>
      </c>
      <c r="M26" s="7" t="s">
        <v>107</v>
      </c>
      <c r="N26" s="7" t="s">
        <v>107</v>
      </c>
      <c r="O26" s="7" t="s">
        <v>107</v>
      </c>
      <c r="P26" s="7" t="s">
        <v>107</v>
      </c>
      <c r="Q26" s="7" t="s">
        <v>107</v>
      </c>
      <c r="R26" s="7" t="s">
        <v>107</v>
      </c>
      <c r="S26" s="12">
        <v>11.9152551</v>
      </c>
      <c r="T26" s="12">
        <v>8</v>
      </c>
      <c r="U26" s="12">
        <v>74.102290600000003</v>
      </c>
      <c r="V26" s="12">
        <v>139.77333329999999</v>
      </c>
      <c r="W26" s="7" t="s">
        <v>107</v>
      </c>
      <c r="X26" s="7" t="s">
        <v>107</v>
      </c>
      <c r="Y26" s="7" t="s">
        <v>107</v>
      </c>
      <c r="Z26" s="7" t="s">
        <v>107</v>
      </c>
      <c r="AA26" s="7" t="s">
        <v>107</v>
      </c>
      <c r="AB26" s="7" t="s">
        <v>107</v>
      </c>
      <c r="AC26" s="7" t="s">
        <v>107</v>
      </c>
      <c r="AD26" s="7" t="s">
        <v>107</v>
      </c>
      <c r="AE26" s="7" t="s">
        <v>107</v>
      </c>
      <c r="AF26" s="7" t="s">
        <v>107</v>
      </c>
      <c r="AG26" s="7" t="s">
        <v>107</v>
      </c>
    </row>
    <row r="27" spans="1:33" s="11" customFormat="1" outlineLevel="1" x14ac:dyDescent="0.3">
      <c r="A27" s="11" t="s">
        <v>33</v>
      </c>
      <c r="B27" s="12">
        <v>0.71308099999999996</v>
      </c>
      <c r="C27" s="12">
        <v>79.47</v>
      </c>
      <c r="D27" s="12">
        <v>1.9194597</v>
      </c>
      <c r="E27" s="17">
        <v>2</v>
      </c>
      <c r="F27" s="13">
        <v>28.45</v>
      </c>
      <c r="G27" s="12">
        <v>5.8887992999999996</v>
      </c>
      <c r="H27" s="12">
        <v>9.9292504000000008</v>
      </c>
      <c r="I27" s="7" t="s">
        <v>107</v>
      </c>
      <c r="J27" s="7" t="s">
        <v>107</v>
      </c>
      <c r="K27" s="7" t="s">
        <v>107</v>
      </c>
      <c r="L27" s="7" t="s">
        <v>107</v>
      </c>
      <c r="M27" s="7" t="s">
        <v>107</v>
      </c>
      <c r="N27" s="7" t="s">
        <v>107</v>
      </c>
      <c r="O27" s="7" t="s">
        <v>107</v>
      </c>
      <c r="P27" s="7" t="s">
        <v>107</v>
      </c>
      <c r="Q27" s="7" t="s">
        <v>107</v>
      </c>
      <c r="R27" s="7" t="s">
        <v>107</v>
      </c>
      <c r="S27" s="12">
        <v>3.4356368000000002</v>
      </c>
      <c r="T27" s="12">
        <v>7.5</v>
      </c>
      <c r="U27" s="12">
        <v>72.964599500000006</v>
      </c>
      <c r="V27" s="12">
        <v>135.21333329999999</v>
      </c>
      <c r="W27" s="7" t="s">
        <v>107</v>
      </c>
      <c r="X27" s="7" t="s">
        <v>107</v>
      </c>
      <c r="Y27" s="7" t="s">
        <v>107</v>
      </c>
      <c r="Z27" s="7" t="s">
        <v>107</v>
      </c>
      <c r="AA27" s="7" t="s">
        <v>107</v>
      </c>
      <c r="AB27" s="7" t="s">
        <v>107</v>
      </c>
      <c r="AC27" s="7" t="s">
        <v>107</v>
      </c>
      <c r="AD27" s="7" t="s">
        <v>107</v>
      </c>
      <c r="AE27" s="7" t="s">
        <v>107</v>
      </c>
      <c r="AF27" s="7" t="s">
        <v>107</v>
      </c>
      <c r="AG27" s="7" t="s">
        <v>107</v>
      </c>
    </row>
    <row r="28" spans="1:33" s="11" customFormat="1" outlineLevel="1" x14ac:dyDescent="0.3">
      <c r="A28" s="11" t="s">
        <v>34</v>
      </c>
      <c r="B28" s="12">
        <v>1.3127310999999999</v>
      </c>
      <c r="C28" s="12">
        <v>79.913333300000005</v>
      </c>
      <c r="D28" s="12">
        <v>1.9259385</v>
      </c>
      <c r="E28" s="17">
        <v>2</v>
      </c>
      <c r="F28" s="13">
        <v>29.39</v>
      </c>
      <c r="G28" s="12">
        <v>-3.3443865000000002</v>
      </c>
      <c r="H28" s="12">
        <v>-2.1930285</v>
      </c>
      <c r="I28" s="7" t="s">
        <v>107</v>
      </c>
      <c r="J28" s="7" t="s">
        <v>107</v>
      </c>
      <c r="K28" s="7" t="s">
        <v>107</v>
      </c>
      <c r="L28" s="7" t="s">
        <v>107</v>
      </c>
      <c r="M28" s="7" t="s">
        <v>107</v>
      </c>
      <c r="N28" s="7" t="s">
        <v>107</v>
      </c>
      <c r="O28" s="7" t="s">
        <v>107</v>
      </c>
      <c r="P28" s="7" t="s">
        <v>107</v>
      </c>
      <c r="Q28" s="7" t="s">
        <v>107</v>
      </c>
      <c r="R28" s="7" t="s">
        <v>107</v>
      </c>
      <c r="S28" s="12">
        <v>28.002881299999999</v>
      </c>
      <c r="T28" s="12">
        <v>6.5</v>
      </c>
      <c r="U28" s="12">
        <v>74.447661100000005</v>
      </c>
      <c r="V28" s="12">
        <v>134.90333330000001</v>
      </c>
      <c r="W28" s="7" t="s">
        <v>107</v>
      </c>
      <c r="X28" s="7" t="s">
        <v>107</v>
      </c>
      <c r="Y28" s="7" t="s">
        <v>107</v>
      </c>
      <c r="Z28" s="7" t="s">
        <v>107</v>
      </c>
      <c r="AA28" s="7" t="s">
        <v>107</v>
      </c>
      <c r="AB28" s="7" t="s">
        <v>107</v>
      </c>
      <c r="AC28" s="7" t="s">
        <v>107</v>
      </c>
      <c r="AD28" s="7" t="s">
        <v>107</v>
      </c>
      <c r="AE28" s="7" t="s">
        <v>107</v>
      </c>
      <c r="AF28" s="7" t="s">
        <v>107</v>
      </c>
      <c r="AG28" s="7" t="s">
        <v>107</v>
      </c>
    </row>
    <row r="29" spans="1:33" s="11" customFormat="1" outlineLevel="1" x14ac:dyDescent="0.3">
      <c r="A29" s="11" t="s">
        <v>35</v>
      </c>
      <c r="B29" s="12">
        <v>2.4350660999999998</v>
      </c>
      <c r="C29" s="12">
        <v>80.113333299999994</v>
      </c>
      <c r="D29" s="12">
        <v>1.5936086</v>
      </c>
      <c r="E29" s="17">
        <v>2</v>
      </c>
      <c r="F29" s="13">
        <v>31.923333299999999</v>
      </c>
      <c r="G29" s="12">
        <v>9.1881687000000003</v>
      </c>
      <c r="H29" s="12">
        <v>16.867776299999999</v>
      </c>
      <c r="I29" s="7" t="s">
        <v>107</v>
      </c>
      <c r="J29" s="7" t="s">
        <v>107</v>
      </c>
      <c r="K29" s="7" t="s">
        <v>107</v>
      </c>
      <c r="L29" s="7" t="s">
        <v>107</v>
      </c>
      <c r="M29" s="7" t="s">
        <v>107</v>
      </c>
      <c r="N29" s="7" t="s">
        <v>107</v>
      </c>
      <c r="O29" s="7" t="s">
        <v>107</v>
      </c>
      <c r="P29" s="7" t="s">
        <v>107</v>
      </c>
      <c r="Q29" s="7" t="s">
        <v>107</v>
      </c>
      <c r="R29" s="7" t="s">
        <v>107</v>
      </c>
      <c r="S29" s="12">
        <v>9.4942113999999993</v>
      </c>
      <c r="T29" s="12">
        <v>6.5</v>
      </c>
      <c r="U29" s="12">
        <v>76.895728599999998</v>
      </c>
      <c r="V29" s="12">
        <v>132.50333330000001</v>
      </c>
      <c r="W29" s="7" t="s">
        <v>107</v>
      </c>
      <c r="X29" s="7" t="s">
        <v>107</v>
      </c>
      <c r="Y29" s="7" t="s">
        <v>107</v>
      </c>
      <c r="Z29" s="7" t="s">
        <v>107</v>
      </c>
      <c r="AA29" s="7" t="s">
        <v>107</v>
      </c>
      <c r="AB29" s="7" t="s">
        <v>107</v>
      </c>
      <c r="AC29" s="7" t="s">
        <v>107</v>
      </c>
      <c r="AD29" s="7" t="s">
        <v>107</v>
      </c>
      <c r="AE29" s="7" t="s">
        <v>107</v>
      </c>
      <c r="AF29" s="12">
        <v>71.023171899999994</v>
      </c>
      <c r="AG29" s="7" t="s">
        <v>107</v>
      </c>
    </row>
    <row r="30" spans="1:33" s="11" customFormat="1" outlineLevel="1" x14ac:dyDescent="0.3">
      <c r="A30" s="11" t="s">
        <v>36</v>
      </c>
      <c r="B30" s="12">
        <v>2.9592486</v>
      </c>
      <c r="C30" s="12">
        <v>81.069999999999993</v>
      </c>
      <c r="D30" s="12">
        <v>2.1418672000000001</v>
      </c>
      <c r="E30" s="17">
        <v>2</v>
      </c>
      <c r="F30" s="13">
        <v>35.446666700000002</v>
      </c>
      <c r="G30" s="12">
        <v>4.0588522999999999</v>
      </c>
      <c r="H30" s="12">
        <v>8.5351099999999999E-2</v>
      </c>
      <c r="I30" s="7" t="s">
        <v>107</v>
      </c>
      <c r="J30" s="7" t="s">
        <v>107</v>
      </c>
      <c r="K30" s="7" t="s">
        <v>107</v>
      </c>
      <c r="L30" s="7" t="s">
        <v>107</v>
      </c>
      <c r="M30" s="7" t="s">
        <v>107</v>
      </c>
      <c r="N30" s="7" t="s">
        <v>107</v>
      </c>
      <c r="O30" s="7" t="s">
        <v>107</v>
      </c>
      <c r="P30" s="7" t="s">
        <v>107</v>
      </c>
      <c r="Q30" s="7" t="s">
        <v>107</v>
      </c>
      <c r="R30" s="7" t="s">
        <v>107</v>
      </c>
      <c r="S30" s="12">
        <v>14.9594345</v>
      </c>
      <c r="T30" s="12">
        <v>5.8</v>
      </c>
      <c r="U30" s="12">
        <v>76.225303499999995</v>
      </c>
      <c r="V30" s="12">
        <v>126.87</v>
      </c>
      <c r="W30" s="7" t="s">
        <v>107</v>
      </c>
      <c r="X30" s="7" t="s">
        <v>107</v>
      </c>
      <c r="Y30" s="7" t="s">
        <v>107</v>
      </c>
      <c r="Z30" s="7" t="s">
        <v>107</v>
      </c>
      <c r="AA30" s="7" t="s">
        <v>107</v>
      </c>
      <c r="AB30" s="7" t="s">
        <v>107</v>
      </c>
      <c r="AC30" s="7" t="s">
        <v>107</v>
      </c>
      <c r="AD30" s="7" t="s">
        <v>107</v>
      </c>
      <c r="AE30" s="7" t="s">
        <v>107</v>
      </c>
      <c r="AF30" s="12">
        <v>74.915603099999998</v>
      </c>
      <c r="AG30" s="7" t="s">
        <v>107</v>
      </c>
    </row>
    <row r="31" spans="1:33" s="11" customFormat="1" outlineLevel="1" x14ac:dyDescent="0.3">
      <c r="A31" s="11" t="s">
        <v>37</v>
      </c>
      <c r="B31" s="12">
        <v>2.4141233999999998</v>
      </c>
      <c r="C31" s="12">
        <v>81.156666700000002</v>
      </c>
      <c r="D31" s="12">
        <v>2.1223942</v>
      </c>
      <c r="E31" s="17">
        <v>2</v>
      </c>
      <c r="F31" s="13">
        <v>41.386666699999999</v>
      </c>
      <c r="G31" s="12">
        <v>11.228056499999999</v>
      </c>
      <c r="H31" s="12">
        <v>14.343265600000001</v>
      </c>
      <c r="I31" s="7" t="s">
        <v>107</v>
      </c>
      <c r="J31" s="7" t="s">
        <v>107</v>
      </c>
      <c r="K31" s="7" t="s">
        <v>107</v>
      </c>
      <c r="L31" s="7" t="s">
        <v>107</v>
      </c>
      <c r="M31" s="7" t="s">
        <v>107</v>
      </c>
      <c r="N31" s="7" t="s">
        <v>107</v>
      </c>
      <c r="O31" s="7" t="s">
        <v>107</v>
      </c>
      <c r="P31" s="7" t="s">
        <v>107</v>
      </c>
      <c r="Q31" s="7" t="s">
        <v>107</v>
      </c>
      <c r="R31" s="7" t="s">
        <v>107</v>
      </c>
      <c r="S31" s="12">
        <v>17.916371399999999</v>
      </c>
      <c r="T31" s="12">
        <v>5.5</v>
      </c>
      <c r="U31" s="12">
        <v>74.843821399999996</v>
      </c>
      <c r="V31" s="12">
        <v>124.7633333</v>
      </c>
      <c r="W31" s="7" t="s">
        <v>107</v>
      </c>
      <c r="X31" s="7" t="s">
        <v>107</v>
      </c>
      <c r="Y31" s="7" t="s">
        <v>107</v>
      </c>
      <c r="Z31" s="7" t="s">
        <v>107</v>
      </c>
      <c r="AA31" s="7" t="s">
        <v>107</v>
      </c>
      <c r="AB31" s="7" t="s">
        <v>107</v>
      </c>
      <c r="AC31" s="7" t="s">
        <v>107</v>
      </c>
      <c r="AD31" s="7" t="s">
        <v>107</v>
      </c>
      <c r="AE31" s="7" t="s">
        <v>107</v>
      </c>
      <c r="AF31" s="12">
        <v>69.339478</v>
      </c>
      <c r="AG31" s="7" t="s">
        <v>107</v>
      </c>
    </row>
    <row r="32" spans="1:33" s="11" customFormat="1" outlineLevel="1" x14ac:dyDescent="0.3">
      <c r="A32" s="11" t="s">
        <v>38</v>
      </c>
      <c r="B32" s="12">
        <v>2.308249</v>
      </c>
      <c r="C32" s="12">
        <v>81.663333300000005</v>
      </c>
      <c r="D32" s="12">
        <v>2.1898724000000001</v>
      </c>
      <c r="E32" s="17">
        <v>2</v>
      </c>
      <c r="F32" s="13">
        <v>44.163333299999998</v>
      </c>
      <c r="G32" s="12">
        <v>16.170031999999999</v>
      </c>
      <c r="H32" s="12">
        <v>11.339741699999999</v>
      </c>
      <c r="I32" s="7" t="s">
        <v>107</v>
      </c>
      <c r="J32" s="7" t="s">
        <v>107</v>
      </c>
      <c r="K32" s="7" t="s">
        <v>107</v>
      </c>
      <c r="L32" s="7" t="s">
        <v>107</v>
      </c>
      <c r="M32" s="7" t="s">
        <v>107</v>
      </c>
      <c r="N32" s="7" t="s">
        <v>107</v>
      </c>
      <c r="O32" s="7" t="s">
        <v>107</v>
      </c>
      <c r="P32" s="7" t="s">
        <v>107</v>
      </c>
      <c r="Q32" s="7" t="s">
        <v>107</v>
      </c>
      <c r="R32" s="7" t="s">
        <v>107</v>
      </c>
      <c r="S32" s="12">
        <v>18.791033599999999</v>
      </c>
      <c r="T32" s="12">
        <v>5.3</v>
      </c>
      <c r="U32" s="12">
        <v>76.042460300000002</v>
      </c>
      <c r="V32" s="12">
        <v>126.56</v>
      </c>
      <c r="W32" s="7" t="s">
        <v>107</v>
      </c>
      <c r="X32" s="7" t="s">
        <v>107</v>
      </c>
      <c r="Y32" s="7" t="s">
        <v>107</v>
      </c>
      <c r="Z32" s="7" t="s">
        <v>107</v>
      </c>
      <c r="AA32" s="7" t="s">
        <v>107</v>
      </c>
      <c r="AB32" s="7" t="s">
        <v>107</v>
      </c>
      <c r="AC32" s="7" t="s">
        <v>107</v>
      </c>
      <c r="AD32" s="7" t="s">
        <v>107</v>
      </c>
      <c r="AE32" s="7" t="s">
        <v>107</v>
      </c>
      <c r="AF32" s="12">
        <v>69.774449000000004</v>
      </c>
      <c r="AG32" s="7" t="s">
        <v>107</v>
      </c>
    </row>
    <row r="33" spans="1:33" s="11" customFormat="1" outlineLevel="1" x14ac:dyDescent="0.3">
      <c r="A33" s="11" t="s">
        <v>39</v>
      </c>
      <c r="B33" s="12">
        <v>1.1277817999999999</v>
      </c>
      <c r="C33" s="12">
        <v>81.773333300000004</v>
      </c>
      <c r="D33" s="12">
        <v>2.0720646</v>
      </c>
      <c r="E33" s="17">
        <v>2</v>
      </c>
      <c r="F33" s="13">
        <v>47.696666700000002</v>
      </c>
      <c r="G33" s="12">
        <v>7.9285303000000003</v>
      </c>
      <c r="H33" s="12">
        <v>9.7785086000000003</v>
      </c>
      <c r="I33" s="7" t="s">
        <v>107</v>
      </c>
      <c r="J33" s="7" t="s">
        <v>107</v>
      </c>
      <c r="K33" s="7" t="s">
        <v>107</v>
      </c>
      <c r="L33" s="7" t="s">
        <v>107</v>
      </c>
      <c r="M33" s="7" t="s">
        <v>107</v>
      </c>
      <c r="N33" s="7" t="s">
        <v>107</v>
      </c>
      <c r="O33" s="7" t="s">
        <v>107</v>
      </c>
      <c r="P33" s="7" t="s">
        <v>107</v>
      </c>
      <c r="Q33" s="7" t="s">
        <v>107</v>
      </c>
      <c r="R33" s="7" t="s">
        <v>107</v>
      </c>
      <c r="S33" s="12">
        <v>13.060623100000001</v>
      </c>
      <c r="T33" s="12">
        <v>5</v>
      </c>
      <c r="U33" s="12">
        <v>78.602265200000005</v>
      </c>
      <c r="V33" s="12">
        <v>126.6566667</v>
      </c>
      <c r="W33" s="7" t="s">
        <v>107</v>
      </c>
      <c r="X33" s="7" t="s">
        <v>107</v>
      </c>
      <c r="Y33" s="7" t="s">
        <v>107</v>
      </c>
      <c r="Z33" s="7" t="s">
        <v>107</v>
      </c>
      <c r="AA33" s="7" t="s">
        <v>107</v>
      </c>
      <c r="AB33" s="7" t="s">
        <v>107</v>
      </c>
      <c r="AC33" s="7" t="s">
        <v>107</v>
      </c>
      <c r="AD33" s="7" t="s">
        <v>107</v>
      </c>
      <c r="AE33" s="7" t="s">
        <v>107</v>
      </c>
      <c r="AF33" s="12">
        <v>70.800874399999998</v>
      </c>
      <c r="AG33" s="7" t="s">
        <v>107</v>
      </c>
    </row>
    <row r="34" spans="1:33" s="11" customFormat="1" outlineLevel="1" x14ac:dyDescent="0.3">
      <c r="A34" s="11" t="s">
        <v>40</v>
      </c>
      <c r="B34" s="12">
        <v>2.2042253999999999</v>
      </c>
      <c r="C34" s="12">
        <v>82.71</v>
      </c>
      <c r="D34" s="12">
        <v>2.0229431</v>
      </c>
      <c r="E34" s="17">
        <v>2</v>
      </c>
      <c r="F34" s="13">
        <v>51.626666700000001</v>
      </c>
      <c r="G34" s="12">
        <v>9.9464632000000002</v>
      </c>
      <c r="H34" s="12">
        <v>7.7446140000000003</v>
      </c>
      <c r="I34" s="7" t="s">
        <v>107</v>
      </c>
      <c r="J34" s="7" t="s">
        <v>107</v>
      </c>
      <c r="K34" s="7" t="s">
        <v>107</v>
      </c>
      <c r="L34" s="7" t="s">
        <v>107</v>
      </c>
      <c r="M34" s="7" t="s">
        <v>107</v>
      </c>
      <c r="N34" s="7" t="s">
        <v>107</v>
      </c>
      <c r="O34" s="7" t="s">
        <v>107</v>
      </c>
      <c r="P34" s="7" t="s">
        <v>107</v>
      </c>
      <c r="Q34" s="7" t="s">
        <v>107</v>
      </c>
      <c r="R34" s="7" t="s">
        <v>107</v>
      </c>
      <c r="S34" s="12">
        <v>9.8307883</v>
      </c>
      <c r="T34" s="12">
        <v>5</v>
      </c>
      <c r="U34" s="12">
        <v>77.799786699999999</v>
      </c>
      <c r="V34" s="12">
        <v>124.7833333</v>
      </c>
      <c r="W34" s="7" t="s">
        <v>107</v>
      </c>
      <c r="X34" s="7" t="s">
        <v>107</v>
      </c>
      <c r="Y34" s="7" t="s">
        <v>107</v>
      </c>
      <c r="Z34" s="7" t="s">
        <v>107</v>
      </c>
      <c r="AA34" s="7" t="s">
        <v>107</v>
      </c>
      <c r="AB34" s="7" t="s">
        <v>107</v>
      </c>
      <c r="AC34" s="7" t="s">
        <v>107</v>
      </c>
      <c r="AD34" s="7" t="s">
        <v>107</v>
      </c>
      <c r="AE34" s="7" t="s">
        <v>107</v>
      </c>
      <c r="AF34" s="12">
        <v>71.297321400000001</v>
      </c>
      <c r="AG34" s="7" t="s">
        <v>107</v>
      </c>
    </row>
    <row r="35" spans="1:33" s="11" customFormat="1" outlineLevel="1" x14ac:dyDescent="0.3">
      <c r="A35" s="11" t="s">
        <v>41</v>
      </c>
      <c r="B35" s="12">
        <v>2.0830310000000001</v>
      </c>
      <c r="C35" s="12">
        <v>83.016666700000002</v>
      </c>
      <c r="D35" s="12">
        <v>2.2918634999999998</v>
      </c>
      <c r="E35" s="17">
        <v>2</v>
      </c>
      <c r="F35" s="13">
        <v>61.47</v>
      </c>
      <c r="G35" s="12">
        <v>3.4321728999999999</v>
      </c>
      <c r="H35" s="12">
        <v>6.1313053000000002</v>
      </c>
      <c r="I35" s="7" t="s">
        <v>107</v>
      </c>
      <c r="J35" s="7" t="s">
        <v>107</v>
      </c>
      <c r="K35" s="7" t="s">
        <v>107</v>
      </c>
      <c r="L35" s="7" t="s">
        <v>107</v>
      </c>
      <c r="M35" s="7" t="s">
        <v>107</v>
      </c>
      <c r="N35" s="7" t="s">
        <v>107</v>
      </c>
      <c r="O35" s="7" t="s">
        <v>107</v>
      </c>
      <c r="P35" s="7" t="s">
        <v>107</v>
      </c>
      <c r="Q35" s="7" t="s">
        <v>107</v>
      </c>
      <c r="R35" s="7" t="s">
        <v>107</v>
      </c>
      <c r="S35" s="12">
        <v>8.9754377999999999</v>
      </c>
      <c r="T35" s="12">
        <v>5</v>
      </c>
      <c r="U35" s="12">
        <v>76.662095600000001</v>
      </c>
      <c r="V35" s="12">
        <v>122.58666669999999</v>
      </c>
      <c r="W35" s="7" t="s">
        <v>107</v>
      </c>
      <c r="X35" s="7" t="s">
        <v>107</v>
      </c>
      <c r="Y35" s="7" t="s">
        <v>107</v>
      </c>
      <c r="Z35" s="7" t="s">
        <v>107</v>
      </c>
      <c r="AA35" s="7" t="s">
        <v>107</v>
      </c>
      <c r="AB35" s="7" t="s">
        <v>107</v>
      </c>
      <c r="AC35" s="7" t="s">
        <v>107</v>
      </c>
      <c r="AD35" s="7" t="s">
        <v>107</v>
      </c>
      <c r="AE35" s="7" t="s">
        <v>107</v>
      </c>
      <c r="AF35" s="12">
        <v>73.686388899999997</v>
      </c>
      <c r="AG35" s="7" t="s">
        <v>107</v>
      </c>
    </row>
    <row r="36" spans="1:33" s="11" customFormat="1" outlineLevel="1" x14ac:dyDescent="0.3">
      <c r="A36" s="11" t="s">
        <v>42</v>
      </c>
      <c r="B36" s="12">
        <v>2.0666498999999998</v>
      </c>
      <c r="C36" s="12">
        <v>83.51</v>
      </c>
      <c r="D36" s="12">
        <v>2.2613167999999999</v>
      </c>
      <c r="E36" s="17">
        <v>2.0833333000000001</v>
      </c>
      <c r="F36" s="13">
        <v>56.88</v>
      </c>
      <c r="G36" s="12">
        <v>-0.79594989999999999</v>
      </c>
      <c r="H36" s="12">
        <v>18.228594600000001</v>
      </c>
      <c r="I36" s="7" t="s">
        <v>107</v>
      </c>
      <c r="J36" s="7" t="s">
        <v>107</v>
      </c>
      <c r="K36" s="7" t="s">
        <v>107</v>
      </c>
      <c r="L36" s="7" t="s">
        <v>107</v>
      </c>
      <c r="M36" s="7" t="s">
        <v>107</v>
      </c>
      <c r="N36" s="7" t="s">
        <v>107</v>
      </c>
      <c r="O36" s="7" t="s">
        <v>107</v>
      </c>
      <c r="P36" s="7" t="s">
        <v>107</v>
      </c>
      <c r="Q36" s="7" t="s">
        <v>107</v>
      </c>
      <c r="R36" s="7" t="s">
        <v>107</v>
      </c>
      <c r="S36" s="12">
        <v>7.9033594999999996</v>
      </c>
      <c r="T36" s="12">
        <v>5</v>
      </c>
      <c r="U36" s="12">
        <v>78.1451572</v>
      </c>
      <c r="V36" s="12">
        <v>122.72333329999999</v>
      </c>
      <c r="W36" s="7" t="s">
        <v>107</v>
      </c>
      <c r="X36" s="7" t="s">
        <v>107</v>
      </c>
      <c r="Y36" s="7" t="s">
        <v>107</v>
      </c>
      <c r="Z36" s="7" t="s">
        <v>107</v>
      </c>
      <c r="AA36" s="7" t="s">
        <v>107</v>
      </c>
      <c r="AB36" s="7" t="s">
        <v>107</v>
      </c>
      <c r="AC36" s="7" t="s">
        <v>107</v>
      </c>
      <c r="AD36" s="7" t="s">
        <v>107</v>
      </c>
      <c r="AE36" s="7" t="s">
        <v>107</v>
      </c>
      <c r="AF36" s="12">
        <v>75.245127299999993</v>
      </c>
      <c r="AG36" s="7" t="s">
        <v>107</v>
      </c>
    </row>
    <row r="37" spans="1:33" s="11" customFormat="1" outlineLevel="1" x14ac:dyDescent="0.3">
      <c r="A37" s="11" t="s">
        <v>43</v>
      </c>
      <c r="B37" s="12">
        <v>3.8191847000000001</v>
      </c>
      <c r="C37" s="12">
        <v>83.573333300000002</v>
      </c>
      <c r="D37" s="12">
        <v>2.2012065999999999</v>
      </c>
      <c r="E37" s="17">
        <v>2.3333333000000001</v>
      </c>
      <c r="F37" s="13">
        <v>61.753333300000001</v>
      </c>
      <c r="G37" s="12">
        <v>-8.8648694999999993</v>
      </c>
      <c r="H37" s="12">
        <v>14.259911900000001</v>
      </c>
      <c r="I37" s="7" t="s">
        <v>107</v>
      </c>
      <c r="J37" s="7" t="s">
        <v>107</v>
      </c>
      <c r="K37" s="7" t="s">
        <v>107</v>
      </c>
      <c r="L37" s="7" t="s">
        <v>107</v>
      </c>
      <c r="M37" s="7" t="s">
        <v>107</v>
      </c>
      <c r="N37" s="7" t="s">
        <v>107</v>
      </c>
      <c r="O37" s="7" t="s">
        <v>107</v>
      </c>
      <c r="P37" s="7" t="s">
        <v>107</v>
      </c>
      <c r="Q37" s="7" t="s">
        <v>107</v>
      </c>
      <c r="R37" s="7" t="s">
        <v>107</v>
      </c>
      <c r="S37" s="12">
        <v>4.7602621999999997</v>
      </c>
      <c r="T37" s="12">
        <v>5</v>
      </c>
      <c r="U37" s="12">
        <v>79.719640400000003</v>
      </c>
      <c r="V37" s="12">
        <v>123.0066667</v>
      </c>
      <c r="W37" s="7" t="s">
        <v>107</v>
      </c>
      <c r="X37" s="7" t="s">
        <v>107</v>
      </c>
      <c r="Y37" s="7" t="s">
        <v>107</v>
      </c>
      <c r="Z37" s="7" t="s">
        <v>107</v>
      </c>
      <c r="AA37" s="7" t="s">
        <v>107</v>
      </c>
      <c r="AB37" s="7" t="s">
        <v>107</v>
      </c>
      <c r="AC37" s="7" t="s">
        <v>107</v>
      </c>
      <c r="AD37" s="7" t="s">
        <v>107</v>
      </c>
      <c r="AE37" s="7" t="s">
        <v>107</v>
      </c>
      <c r="AF37" s="12">
        <v>73.155233999999993</v>
      </c>
      <c r="AG37" s="7" t="s">
        <v>107</v>
      </c>
    </row>
    <row r="38" spans="1:33" s="11" customFormat="1" outlineLevel="1" x14ac:dyDescent="0.3">
      <c r="A38" s="11" t="s">
        <v>44</v>
      </c>
      <c r="B38" s="12">
        <v>2.9723983</v>
      </c>
      <c r="C38" s="12">
        <v>84.693333300000006</v>
      </c>
      <c r="D38" s="12">
        <v>2.3979365000000001</v>
      </c>
      <c r="E38" s="17">
        <v>2.5833333000000001</v>
      </c>
      <c r="F38" s="13">
        <v>69.533333299999995</v>
      </c>
      <c r="G38" s="12">
        <v>-6.0215820999999998</v>
      </c>
      <c r="H38" s="12">
        <v>11.5765137</v>
      </c>
      <c r="I38" s="7" t="s">
        <v>107</v>
      </c>
      <c r="J38" s="7" t="s">
        <v>107</v>
      </c>
      <c r="K38" s="7" t="s">
        <v>107</v>
      </c>
      <c r="L38" s="7" t="s">
        <v>107</v>
      </c>
      <c r="M38" s="7" t="s">
        <v>107</v>
      </c>
      <c r="N38" s="7" t="s">
        <v>107</v>
      </c>
      <c r="O38" s="7" t="s">
        <v>107</v>
      </c>
      <c r="P38" s="7" t="s">
        <v>107</v>
      </c>
      <c r="Q38" s="7" t="s">
        <v>107</v>
      </c>
      <c r="R38" s="7" t="s">
        <v>107</v>
      </c>
      <c r="S38" s="12">
        <v>3.7351570999999999</v>
      </c>
      <c r="T38" s="12">
        <v>5</v>
      </c>
      <c r="U38" s="12">
        <v>79.851693800000007</v>
      </c>
      <c r="V38" s="12">
        <v>122.97</v>
      </c>
      <c r="W38" s="7" t="s">
        <v>107</v>
      </c>
      <c r="X38" s="7" t="s">
        <v>107</v>
      </c>
      <c r="Y38" s="7" t="s">
        <v>107</v>
      </c>
      <c r="Z38" s="7" t="s">
        <v>107</v>
      </c>
      <c r="AA38" s="7" t="s">
        <v>107</v>
      </c>
      <c r="AB38" s="7" t="s">
        <v>107</v>
      </c>
      <c r="AC38" s="7" t="s">
        <v>107</v>
      </c>
      <c r="AD38" s="7" t="s">
        <v>107</v>
      </c>
      <c r="AE38" s="7" t="s">
        <v>107</v>
      </c>
      <c r="AF38" s="12">
        <v>66.219173499999997</v>
      </c>
      <c r="AG38" s="7" t="s">
        <v>107</v>
      </c>
    </row>
    <row r="39" spans="1:33" s="11" customFormat="1" outlineLevel="1" x14ac:dyDescent="0.3">
      <c r="A39" s="11" t="s">
        <v>45</v>
      </c>
      <c r="B39" s="12">
        <v>3.3099788999999999</v>
      </c>
      <c r="C39" s="12">
        <v>84.873333299999999</v>
      </c>
      <c r="D39" s="12">
        <v>2.2364986</v>
      </c>
      <c r="E39" s="17">
        <v>2.9166666999999999</v>
      </c>
      <c r="F39" s="13">
        <v>69.62</v>
      </c>
      <c r="G39" s="12">
        <v>-3.4472809</v>
      </c>
      <c r="H39" s="12">
        <v>15.0074896</v>
      </c>
      <c r="I39" s="7" t="s">
        <v>107</v>
      </c>
      <c r="J39" s="7" t="s">
        <v>107</v>
      </c>
      <c r="K39" s="7" t="s">
        <v>107</v>
      </c>
      <c r="L39" s="7" t="s">
        <v>107</v>
      </c>
      <c r="M39" s="7" t="s">
        <v>107</v>
      </c>
      <c r="N39" s="7" t="s">
        <v>107</v>
      </c>
      <c r="O39" s="7" t="s">
        <v>107</v>
      </c>
      <c r="P39" s="7" t="s">
        <v>107</v>
      </c>
      <c r="Q39" s="7" t="s">
        <v>107</v>
      </c>
      <c r="R39" s="7" t="s">
        <v>107</v>
      </c>
      <c r="S39" s="12">
        <v>6.4455638000000004</v>
      </c>
      <c r="T39" s="12">
        <v>5.25</v>
      </c>
      <c r="U39" s="12">
        <v>78.866372100000007</v>
      </c>
      <c r="V39" s="12">
        <v>122.71</v>
      </c>
      <c r="W39" s="7" t="s">
        <v>107</v>
      </c>
      <c r="X39" s="7" t="s">
        <v>107</v>
      </c>
      <c r="Y39" s="7" t="s">
        <v>107</v>
      </c>
      <c r="Z39" s="7" t="s">
        <v>107</v>
      </c>
      <c r="AA39" s="7" t="s">
        <v>107</v>
      </c>
      <c r="AB39" s="7" t="s">
        <v>107</v>
      </c>
      <c r="AC39" s="7" t="s">
        <v>107</v>
      </c>
      <c r="AD39" s="7" t="s">
        <v>107</v>
      </c>
      <c r="AE39" s="7" t="s">
        <v>107</v>
      </c>
      <c r="AF39" s="12">
        <v>63.944134200000001</v>
      </c>
      <c r="AG39" s="7" t="s">
        <v>107</v>
      </c>
    </row>
    <row r="40" spans="1:33" s="11" customFormat="1" outlineLevel="1" x14ac:dyDescent="0.3">
      <c r="A40" s="11" t="s">
        <v>46</v>
      </c>
      <c r="B40" s="12">
        <v>3.7478780999999999</v>
      </c>
      <c r="C40" s="12">
        <v>85.166666699999993</v>
      </c>
      <c r="D40" s="12">
        <v>1.9837944000000001</v>
      </c>
      <c r="E40" s="17">
        <v>3.3333333000000001</v>
      </c>
      <c r="F40" s="13">
        <v>59.68</v>
      </c>
      <c r="G40" s="12">
        <v>51.080176899999998</v>
      </c>
      <c r="H40" s="12">
        <v>9.5110024000000006</v>
      </c>
      <c r="I40" s="7" t="s">
        <v>107</v>
      </c>
      <c r="J40" s="7" t="s">
        <v>107</v>
      </c>
      <c r="K40" s="7" t="s">
        <v>107</v>
      </c>
      <c r="L40" s="7" t="s">
        <v>107</v>
      </c>
      <c r="M40" s="7" t="s">
        <v>107</v>
      </c>
      <c r="N40" s="7" t="s">
        <v>107</v>
      </c>
      <c r="O40" s="7" t="s">
        <v>107</v>
      </c>
      <c r="P40" s="7" t="s">
        <v>107</v>
      </c>
      <c r="Q40" s="7" t="s">
        <v>107</v>
      </c>
      <c r="R40" s="7" t="s">
        <v>107</v>
      </c>
      <c r="S40" s="12">
        <v>14.8794497</v>
      </c>
      <c r="T40" s="12">
        <v>5.5</v>
      </c>
      <c r="U40" s="12">
        <v>80.146274500000004</v>
      </c>
      <c r="V40" s="12">
        <v>123.63666670000001</v>
      </c>
      <c r="W40" s="7" t="s">
        <v>107</v>
      </c>
      <c r="X40" s="7" t="s">
        <v>107</v>
      </c>
      <c r="Y40" s="7" t="s">
        <v>107</v>
      </c>
      <c r="Z40" s="7" t="s">
        <v>107</v>
      </c>
      <c r="AA40" s="7" t="s">
        <v>107</v>
      </c>
      <c r="AB40" s="7" t="s">
        <v>107</v>
      </c>
      <c r="AC40" s="7" t="s">
        <v>107</v>
      </c>
      <c r="AD40" s="7" t="s">
        <v>107</v>
      </c>
      <c r="AE40" s="7" t="s">
        <v>107</v>
      </c>
      <c r="AF40" s="12">
        <v>65.906037100000006</v>
      </c>
      <c r="AG40" s="7" t="s">
        <v>107</v>
      </c>
    </row>
    <row r="41" spans="1:33" s="11" customFormat="1" outlineLevel="1" x14ac:dyDescent="0.3">
      <c r="A41" s="11" t="s">
        <v>47</v>
      </c>
      <c r="B41" s="12">
        <v>3.5234725999999998</v>
      </c>
      <c r="C41" s="12">
        <v>85.39</v>
      </c>
      <c r="D41" s="12">
        <v>2.1737397000000001</v>
      </c>
      <c r="E41" s="17">
        <v>3.5833333000000001</v>
      </c>
      <c r="F41" s="13">
        <v>57.763333299999999</v>
      </c>
      <c r="G41" s="12">
        <v>14.675135900000001</v>
      </c>
      <c r="H41" s="12">
        <v>6.6545861000000004</v>
      </c>
      <c r="I41" s="7" t="s">
        <v>107</v>
      </c>
      <c r="J41" s="7" t="s">
        <v>107</v>
      </c>
      <c r="K41" s="7" t="s">
        <v>107</v>
      </c>
      <c r="L41" s="7" t="s">
        <v>107</v>
      </c>
      <c r="M41" s="7" t="s">
        <v>107</v>
      </c>
      <c r="N41" s="7" t="s">
        <v>107</v>
      </c>
      <c r="O41" s="7" t="s">
        <v>107</v>
      </c>
      <c r="P41" s="7" t="s">
        <v>107</v>
      </c>
      <c r="Q41" s="7" t="s">
        <v>107</v>
      </c>
      <c r="R41" s="7" t="s">
        <v>107</v>
      </c>
      <c r="S41" s="12">
        <v>16.525811300000001</v>
      </c>
      <c r="T41" s="12">
        <v>5.5</v>
      </c>
      <c r="U41" s="12">
        <v>81.964548699999995</v>
      </c>
      <c r="V41" s="12">
        <v>125.2966667</v>
      </c>
      <c r="W41" s="12">
        <v>4.1940531999999999</v>
      </c>
      <c r="X41" s="7" t="s">
        <v>107</v>
      </c>
      <c r="Y41" s="7" t="s">
        <v>107</v>
      </c>
      <c r="Z41" s="7" t="s">
        <v>107</v>
      </c>
      <c r="AA41" s="7" t="s">
        <v>107</v>
      </c>
      <c r="AB41" s="7" t="s">
        <v>107</v>
      </c>
      <c r="AC41" s="7" t="s">
        <v>107</v>
      </c>
      <c r="AD41" s="7" t="s">
        <v>107</v>
      </c>
      <c r="AE41" s="7" t="s">
        <v>107</v>
      </c>
      <c r="AF41" s="12">
        <v>65.975869700000004</v>
      </c>
      <c r="AG41" s="7" t="s">
        <v>107</v>
      </c>
    </row>
    <row r="42" spans="1:33" s="11" customFormat="1" outlineLevel="1" x14ac:dyDescent="0.3">
      <c r="A42" s="11" t="s">
        <v>48</v>
      </c>
      <c r="B42" s="12">
        <v>3.1678283999999999</v>
      </c>
      <c r="C42" s="12">
        <v>86.5</v>
      </c>
      <c r="D42" s="12">
        <v>2.1331864</v>
      </c>
      <c r="E42" s="17">
        <v>3.8333333000000001</v>
      </c>
      <c r="F42" s="13">
        <v>68.583333300000007</v>
      </c>
      <c r="G42" s="12">
        <v>7.1570916000000002</v>
      </c>
      <c r="H42" s="12">
        <v>12.3970953</v>
      </c>
      <c r="I42" s="7" t="s">
        <v>107</v>
      </c>
      <c r="J42" s="7" t="s">
        <v>107</v>
      </c>
      <c r="K42" s="7" t="s">
        <v>107</v>
      </c>
      <c r="L42" s="7" t="s">
        <v>107</v>
      </c>
      <c r="M42" s="7" t="s">
        <v>107</v>
      </c>
      <c r="N42" s="7" t="s">
        <v>107</v>
      </c>
      <c r="O42" s="7" t="s">
        <v>107</v>
      </c>
      <c r="P42" s="7" t="s">
        <v>107</v>
      </c>
      <c r="Q42" s="7" t="s">
        <v>107</v>
      </c>
      <c r="R42" s="7" t="s">
        <v>107</v>
      </c>
      <c r="S42" s="12">
        <v>15.373469500000001</v>
      </c>
      <c r="T42" s="12">
        <v>5.75</v>
      </c>
      <c r="U42" s="12">
        <v>81.253491800000006</v>
      </c>
      <c r="V42" s="12">
        <v>124.7866667</v>
      </c>
      <c r="W42" s="12">
        <v>8.9860140000000008</v>
      </c>
      <c r="X42" s="7" t="s">
        <v>107</v>
      </c>
      <c r="Y42" s="7" t="s">
        <v>107</v>
      </c>
      <c r="Z42" s="7" t="s">
        <v>107</v>
      </c>
      <c r="AA42" s="7" t="s">
        <v>107</v>
      </c>
      <c r="AB42" s="7" t="s">
        <v>107</v>
      </c>
      <c r="AC42" s="7" t="s">
        <v>107</v>
      </c>
      <c r="AD42" s="7" t="s">
        <v>107</v>
      </c>
      <c r="AE42" s="7" t="s">
        <v>107</v>
      </c>
      <c r="AF42" s="12">
        <v>64.542052100000006</v>
      </c>
      <c r="AG42" s="7" t="s">
        <v>107</v>
      </c>
    </row>
    <row r="43" spans="1:33" s="11" customFormat="1" outlineLevel="1" x14ac:dyDescent="0.3">
      <c r="A43" s="11" t="s">
        <v>49</v>
      </c>
      <c r="B43" s="12">
        <v>3.1476855000000001</v>
      </c>
      <c r="C43" s="12">
        <v>86.6</v>
      </c>
      <c r="D43" s="12">
        <v>2.0344042999999998</v>
      </c>
      <c r="E43" s="17">
        <v>4</v>
      </c>
      <c r="F43" s="13">
        <v>74.953333299999997</v>
      </c>
      <c r="G43" s="12">
        <v>16.621253400000001</v>
      </c>
      <c r="H43" s="12">
        <v>15.919811299999999</v>
      </c>
      <c r="I43" s="7" t="s">
        <v>107</v>
      </c>
      <c r="J43" s="7" t="s">
        <v>107</v>
      </c>
      <c r="K43" s="7" t="s">
        <v>107</v>
      </c>
      <c r="L43" s="7" t="s">
        <v>107</v>
      </c>
      <c r="M43" s="7" t="s">
        <v>107</v>
      </c>
      <c r="N43" s="7" t="s">
        <v>107</v>
      </c>
      <c r="O43" s="7" t="s">
        <v>107</v>
      </c>
      <c r="P43" s="7" t="s">
        <v>107</v>
      </c>
      <c r="Q43" s="7" t="s">
        <v>107</v>
      </c>
      <c r="R43" s="7" t="s">
        <v>107</v>
      </c>
      <c r="S43" s="12">
        <v>23.143350600000002</v>
      </c>
      <c r="T43" s="12">
        <v>6</v>
      </c>
      <c r="U43" s="12">
        <v>81.669967999999997</v>
      </c>
      <c r="V43" s="12">
        <v>122.72333329999999</v>
      </c>
      <c r="W43" s="12">
        <v>7.0180815000000001</v>
      </c>
      <c r="X43" s="7" t="s">
        <v>107</v>
      </c>
      <c r="Y43" s="7" t="s">
        <v>107</v>
      </c>
      <c r="Z43" s="7" t="s">
        <v>107</v>
      </c>
      <c r="AA43" s="7" t="s">
        <v>107</v>
      </c>
      <c r="AB43" s="7" t="s">
        <v>107</v>
      </c>
      <c r="AC43" s="7" t="s">
        <v>107</v>
      </c>
      <c r="AD43" s="7" t="s">
        <v>107</v>
      </c>
      <c r="AE43" s="7" t="s">
        <v>107</v>
      </c>
      <c r="AF43" s="12">
        <v>65.354817400000002</v>
      </c>
      <c r="AG43" s="7" t="s">
        <v>107</v>
      </c>
    </row>
    <row r="44" spans="1:33" s="11" customFormat="1" outlineLevel="1" x14ac:dyDescent="0.3">
      <c r="A44" s="11" t="s">
        <v>50</v>
      </c>
      <c r="B44" s="12">
        <v>2.7223932</v>
      </c>
      <c r="C44" s="12">
        <v>87.72</v>
      </c>
      <c r="D44" s="12">
        <v>2.998043</v>
      </c>
      <c r="E44" s="17">
        <v>4</v>
      </c>
      <c r="F44" s="13">
        <v>88.56</v>
      </c>
      <c r="G44" s="12">
        <v>6.9160614999999996</v>
      </c>
      <c r="H44" s="12">
        <v>4.4250949000000004</v>
      </c>
      <c r="I44" s="7" t="s">
        <v>107</v>
      </c>
      <c r="J44" s="7" t="s">
        <v>107</v>
      </c>
      <c r="K44" s="7" t="s">
        <v>107</v>
      </c>
      <c r="L44" s="7" t="s">
        <v>107</v>
      </c>
      <c r="M44" s="7" t="s">
        <v>107</v>
      </c>
      <c r="N44" s="7" t="s">
        <v>107</v>
      </c>
      <c r="O44" s="7" t="s">
        <v>107</v>
      </c>
      <c r="P44" s="7" t="s">
        <v>107</v>
      </c>
      <c r="Q44" s="7" t="s">
        <v>107</v>
      </c>
      <c r="R44" s="7" t="s">
        <v>107</v>
      </c>
      <c r="S44" s="12">
        <v>13.535031800000001</v>
      </c>
      <c r="T44" s="12">
        <v>6.25</v>
      </c>
      <c r="U44" s="12">
        <v>83.031134100000003</v>
      </c>
      <c r="V44" s="12">
        <v>121.69333330000001</v>
      </c>
      <c r="W44" s="12">
        <v>3.1033444000000001</v>
      </c>
      <c r="X44" s="7" t="s">
        <v>107</v>
      </c>
      <c r="Y44" s="7" t="s">
        <v>107</v>
      </c>
      <c r="Z44" s="7" t="s">
        <v>107</v>
      </c>
      <c r="AA44" s="7" t="s">
        <v>107</v>
      </c>
      <c r="AB44" s="7" t="s">
        <v>107</v>
      </c>
      <c r="AC44" s="7" t="s">
        <v>107</v>
      </c>
      <c r="AD44" s="7" t="s">
        <v>107</v>
      </c>
      <c r="AE44" s="7" t="s">
        <v>107</v>
      </c>
      <c r="AF44" s="12">
        <v>57.528704099999999</v>
      </c>
      <c r="AG44" s="7" t="s">
        <v>107</v>
      </c>
    </row>
    <row r="45" spans="1:33" s="11" customFormat="1" outlineLevel="1" x14ac:dyDescent="0.3">
      <c r="A45" s="11" t="s">
        <v>51</v>
      </c>
      <c r="B45" s="12">
        <v>1.9060995000000001</v>
      </c>
      <c r="C45" s="12">
        <v>88.42</v>
      </c>
      <c r="D45" s="12">
        <v>3.5484249000000001</v>
      </c>
      <c r="E45" s="17">
        <v>4</v>
      </c>
      <c r="F45" s="13">
        <v>96.936666700000004</v>
      </c>
      <c r="G45" s="19">
        <v>8.5293817000000001</v>
      </c>
      <c r="H45" s="19">
        <v>14.9441492</v>
      </c>
      <c r="I45" s="19">
        <v>4.4119267000000004</v>
      </c>
      <c r="J45" s="7" t="s">
        <v>107</v>
      </c>
      <c r="K45" s="7" t="s">
        <v>107</v>
      </c>
      <c r="L45" s="7" t="s">
        <v>107</v>
      </c>
      <c r="M45" s="7" t="s">
        <v>107</v>
      </c>
      <c r="N45" s="7" t="s">
        <v>107</v>
      </c>
      <c r="O45" s="7" t="s">
        <v>107</v>
      </c>
      <c r="P45" s="7" t="s">
        <v>107</v>
      </c>
      <c r="Q45" s="7" t="s">
        <v>107</v>
      </c>
      <c r="R45" s="7" t="s">
        <v>107</v>
      </c>
      <c r="S45" s="12">
        <v>12.4018838</v>
      </c>
      <c r="T45" s="12">
        <v>6.25</v>
      </c>
      <c r="U45" s="12">
        <v>85.032251500000001</v>
      </c>
      <c r="V45" s="12">
        <v>123.63</v>
      </c>
      <c r="W45" s="12">
        <v>23.670771999999999</v>
      </c>
      <c r="X45" s="7" t="s">
        <v>107</v>
      </c>
      <c r="Y45" s="7" t="s">
        <v>107</v>
      </c>
      <c r="Z45" s="12">
        <v>-14.941055800000001</v>
      </c>
      <c r="AA45" s="12">
        <v>88.446771499999997</v>
      </c>
      <c r="AB45" s="12">
        <v>9.1731589000000007</v>
      </c>
      <c r="AC45" s="12">
        <v>29.007408999999999</v>
      </c>
      <c r="AD45" s="12">
        <v>23.967068600000001</v>
      </c>
      <c r="AE45" s="12">
        <v>51.5576674</v>
      </c>
      <c r="AF45" s="12">
        <v>51.988506899999997</v>
      </c>
      <c r="AG45" s="7" t="s">
        <v>107</v>
      </c>
    </row>
    <row r="46" spans="1:33" s="11" customFormat="1" outlineLevel="1" x14ac:dyDescent="0.3">
      <c r="A46" s="11" t="s">
        <v>52</v>
      </c>
      <c r="B46" s="12">
        <v>1.9101475000000001</v>
      </c>
      <c r="C46" s="12">
        <v>89.906666700000002</v>
      </c>
      <c r="D46" s="12">
        <v>3.9383430000000001</v>
      </c>
      <c r="E46" s="17">
        <v>4</v>
      </c>
      <c r="F46" s="13">
        <v>121.3966667</v>
      </c>
      <c r="G46" s="12">
        <v>50.9032944</v>
      </c>
      <c r="H46" s="12">
        <v>18.410563</v>
      </c>
      <c r="I46" s="12">
        <v>-4.9855364</v>
      </c>
      <c r="J46" s="7" t="s">
        <v>107</v>
      </c>
      <c r="K46" s="7" t="s">
        <v>107</v>
      </c>
      <c r="L46" s="7" t="s">
        <v>107</v>
      </c>
      <c r="M46" s="7" t="s">
        <v>107</v>
      </c>
      <c r="N46" s="7" t="s">
        <v>107</v>
      </c>
      <c r="O46" s="7" t="s">
        <v>107</v>
      </c>
      <c r="P46" s="7" t="s">
        <v>107</v>
      </c>
      <c r="Q46" s="7" t="s">
        <v>107</v>
      </c>
      <c r="R46" s="7" t="s">
        <v>107</v>
      </c>
      <c r="S46" s="12">
        <v>12.8508634</v>
      </c>
      <c r="T46" s="12">
        <v>6.25</v>
      </c>
      <c r="U46" s="12">
        <v>84.7071969</v>
      </c>
      <c r="V46" s="12">
        <v>122.2633333</v>
      </c>
      <c r="W46" s="12">
        <v>24.574911799999999</v>
      </c>
      <c r="X46" s="7" t="s">
        <v>107</v>
      </c>
      <c r="Y46" s="7" t="s">
        <v>107</v>
      </c>
      <c r="Z46" s="12">
        <v>-16.390953199999998</v>
      </c>
      <c r="AA46" s="12">
        <v>87.754619099999999</v>
      </c>
      <c r="AB46" s="12">
        <v>9.4584284000000007</v>
      </c>
      <c r="AC46" s="12">
        <v>30.102815700000001</v>
      </c>
      <c r="AD46" s="12">
        <v>24.371474599999999</v>
      </c>
      <c r="AE46" s="12">
        <v>49.761676700000002</v>
      </c>
      <c r="AF46" s="12">
        <v>46.595130500000003</v>
      </c>
      <c r="AG46" s="7" t="s">
        <v>107</v>
      </c>
    </row>
    <row r="47" spans="1:33" s="11" customFormat="1" outlineLevel="1" x14ac:dyDescent="0.3">
      <c r="A47" s="11" t="s">
        <v>53</v>
      </c>
      <c r="B47" s="12">
        <v>0.87131639999999999</v>
      </c>
      <c r="C47" s="12">
        <v>90.323333300000002</v>
      </c>
      <c r="D47" s="12">
        <v>4.2994611000000003</v>
      </c>
      <c r="E47" s="17">
        <v>4.25</v>
      </c>
      <c r="F47" s="13">
        <v>114.3966667</v>
      </c>
      <c r="G47" s="12">
        <v>23.411214999999999</v>
      </c>
      <c r="H47" s="12">
        <v>12.4109868</v>
      </c>
      <c r="I47" s="12">
        <v>-2.8421094999999998</v>
      </c>
      <c r="J47" s="7" t="s">
        <v>107</v>
      </c>
      <c r="K47" s="7" t="s">
        <v>107</v>
      </c>
      <c r="L47" s="7" t="s">
        <v>107</v>
      </c>
      <c r="M47" s="7" t="s">
        <v>107</v>
      </c>
      <c r="N47" s="7" t="s">
        <v>107</v>
      </c>
      <c r="O47" s="7" t="s">
        <v>107</v>
      </c>
      <c r="P47" s="7" t="s">
        <v>107</v>
      </c>
      <c r="Q47" s="7" t="s">
        <v>107</v>
      </c>
      <c r="R47" s="7" t="s">
        <v>107</v>
      </c>
      <c r="S47" s="12">
        <v>1.2426367</v>
      </c>
      <c r="T47" s="12">
        <v>6.25</v>
      </c>
      <c r="U47" s="12">
        <v>84.097719499999997</v>
      </c>
      <c r="V47" s="12">
        <v>122.12</v>
      </c>
      <c r="W47" s="12">
        <v>19.014891200000001</v>
      </c>
      <c r="X47" s="7" t="s">
        <v>107</v>
      </c>
      <c r="Y47" s="7" t="s">
        <v>107</v>
      </c>
      <c r="Z47" s="12">
        <v>-11.804032299999999</v>
      </c>
      <c r="AA47" s="12">
        <v>78.371459599999994</v>
      </c>
      <c r="AB47" s="12">
        <v>9.8724495999999995</v>
      </c>
      <c r="AC47" s="12">
        <v>34.447448000000001</v>
      </c>
      <c r="AD47" s="12">
        <v>30.176884699999999</v>
      </c>
      <c r="AE47" s="12">
        <v>52.960331199999999</v>
      </c>
      <c r="AF47" s="12">
        <v>39.2174829</v>
      </c>
      <c r="AG47" s="7" t="s">
        <v>107</v>
      </c>
    </row>
    <row r="48" spans="1:33" s="11" customFormat="1" outlineLevel="1" x14ac:dyDescent="0.3">
      <c r="A48" s="11" t="s">
        <v>54</v>
      </c>
      <c r="B48" s="12">
        <v>-1.9881508000000001</v>
      </c>
      <c r="C48" s="12">
        <v>90.23</v>
      </c>
      <c r="D48" s="12">
        <v>2.8613770999999999</v>
      </c>
      <c r="E48" s="17">
        <v>3.1666666999999999</v>
      </c>
      <c r="F48" s="13">
        <v>54.66</v>
      </c>
      <c r="G48" s="12">
        <v>15.247172000000001</v>
      </c>
      <c r="H48" s="12">
        <v>17.326605700000002</v>
      </c>
      <c r="I48" s="12">
        <v>-17.007689200000002</v>
      </c>
      <c r="J48" s="7" t="s">
        <v>107</v>
      </c>
      <c r="K48" s="7" t="s">
        <v>107</v>
      </c>
      <c r="L48" s="7" t="s">
        <v>107</v>
      </c>
      <c r="M48" s="7" t="s">
        <v>107</v>
      </c>
      <c r="N48" s="7" t="s">
        <v>107</v>
      </c>
      <c r="O48" s="7" t="s">
        <v>107</v>
      </c>
      <c r="P48" s="7" t="s">
        <v>107</v>
      </c>
      <c r="Q48" s="7" t="s">
        <v>107</v>
      </c>
      <c r="R48" s="7" t="s">
        <v>107</v>
      </c>
      <c r="S48" s="12">
        <v>7.4614305999999999</v>
      </c>
      <c r="T48" s="12">
        <v>6.25</v>
      </c>
      <c r="U48" s="12">
        <v>85.133831099999995</v>
      </c>
      <c r="V48" s="12">
        <v>123.2</v>
      </c>
      <c r="W48" s="12">
        <v>13.763880800000001</v>
      </c>
      <c r="X48" s="7" t="s">
        <v>107</v>
      </c>
      <c r="Y48" s="7" t="s">
        <v>107</v>
      </c>
      <c r="Z48" s="12">
        <v>-19.378830799999999</v>
      </c>
      <c r="AA48" s="12">
        <v>76.877572999999998</v>
      </c>
      <c r="AB48" s="12">
        <v>12.7500582</v>
      </c>
      <c r="AC48" s="12">
        <v>41.275633900000003</v>
      </c>
      <c r="AD48" s="12">
        <v>22.642030599999998</v>
      </c>
      <c r="AE48" s="12">
        <v>54.172833699999998</v>
      </c>
      <c r="AF48" s="12">
        <v>30.747629100000001</v>
      </c>
      <c r="AG48" s="7" t="s">
        <v>107</v>
      </c>
    </row>
    <row r="49" spans="1:33" s="11" customFormat="1" outlineLevel="1" x14ac:dyDescent="0.3">
      <c r="A49" s="11" t="s">
        <v>55</v>
      </c>
      <c r="B49" s="12">
        <v>-5.4359460999999998</v>
      </c>
      <c r="C49" s="12">
        <v>89.88</v>
      </c>
      <c r="D49" s="12">
        <v>1.6512100999999999</v>
      </c>
      <c r="E49" s="17">
        <v>1.8333333000000001</v>
      </c>
      <c r="F49" s="13">
        <v>44.433333300000001</v>
      </c>
      <c r="G49" s="19">
        <v>43.210667100000002</v>
      </c>
      <c r="H49" s="19">
        <v>13.548448</v>
      </c>
      <c r="I49" s="12">
        <v>-1.5002605</v>
      </c>
      <c r="J49" s="7" t="s">
        <v>107</v>
      </c>
      <c r="K49" s="7" t="s">
        <v>107</v>
      </c>
      <c r="L49" s="7" t="s">
        <v>107</v>
      </c>
      <c r="M49" s="7" t="s">
        <v>107</v>
      </c>
      <c r="N49" s="7" t="s">
        <v>107</v>
      </c>
      <c r="O49" s="7" t="s">
        <v>107</v>
      </c>
      <c r="P49" s="7" t="s">
        <v>107</v>
      </c>
      <c r="Q49" s="7" t="s">
        <v>107</v>
      </c>
      <c r="R49" s="7" t="s">
        <v>107</v>
      </c>
      <c r="S49" s="12">
        <v>10.044692700000001</v>
      </c>
      <c r="T49" s="12">
        <v>5.75</v>
      </c>
      <c r="U49" s="12">
        <v>86.586418800000004</v>
      </c>
      <c r="V49" s="12">
        <v>128.21333329999999</v>
      </c>
      <c r="W49" s="12">
        <v>-12.3876609</v>
      </c>
      <c r="X49" s="12">
        <v>-9.2609043999999994</v>
      </c>
      <c r="Y49" s="12">
        <v>-5.4951922</v>
      </c>
      <c r="Z49" s="12">
        <v>-16.518198099999999</v>
      </c>
      <c r="AA49" s="12">
        <v>83.510131999999999</v>
      </c>
      <c r="AB49" s="12">
        <v>10.521595</v>
      </c>
      <c r="AC49" s="12">
        <v>31.0398113</v>
      </c>
      <c r="AD49" s="12">
        <v>21.024906600000001</v>
      </c>
      <c r="AE49" s="12">
        <v>47.095613800000002</v>
      </c>
      <c r="AF49" s="12">
        <v>25.177823499999999</v>
      </c>
      <c r="AG49" s="7" t="s">
        <v>107</v>
      </c>
    </row>
    <row r="50" spans="1:33" s="11" customFormat="1" outlineLevel="1" x14ac:dyDescent="0.3">
      <c r="A50" s="11" t="s">
        <v>56</v>
      </c>
      <c r="B50" s="12">
        <v>-5.8020649999999998</v>
      </c>
      <c r="C50" s="12">
        <v>90.723333299999993</v>
      </c>
      <c r="D50" s="12">
        <v>0.90834930000000003</v>
      </c>
      <c r="E50" s="17">
        <v>1.0833333000000001</v>
      </c>
      <c r="F50" s="13">
        <v>58.696666700000002</v>
      </c>
      <c r="G50" s="12">
        <v>19.954225399999999</v>
      </c>
      <c r="H50" s="12">
        <v>2.3381723999999999</v>
      </c>
      <c r="I50" s="12">
        <v>-9.4728367000000002</v>
      </c>
      <c r="J50" s="7" t="s">
        <v>107</v>
      </c>
      <c r="K50" s="7" t="s">
        <v>107</v>
      </c>
      <c r="L50" s="7" t="s">
        <v>107</v>
      </c>
      <c r="M50" s="7" t="s">
        <v>107</v>
      </c>
      <c r="N50" s="7" t="s">
        <v>107</v>
      </c>
      <c r="O50" s="7" t="s">
        <v>107</v>
      </c>
      <c r="P50" s="7" t="s">
        <v>107</v>
      </c>
      <c r="Q50" s="7" t="s">
        <v>107</v>
      </c>
      <c r="R50" s="7" t="s">
        <v>107</v>
      </c>
      <c r="S50" s="12">
        <v>11.565534299999999</v>
      </c>
      <c r="T50" s="12">
        <v>5.75</v>
      </c>
      <c r="U50" s="12">
        <v>86.4746813</v>
      </c>
      <c r="V50" s="12">
        <v>131.22333330000001</v>
      </c>
      <c r="W50" s="12">
        <v>-2.6268349</v>
      </c>
      <c r="X50" s="12">
        <v>-8.0728697999999994</v>
      </c>
      <c r="Y50" s="12">
        <v>-3.6266098000000002</v>
      </c>
      <c r="Z50" s="12">
        <v>-14.214870899999999</v>
      </c>
      <c r="AA50" s="12">
        <v>83.473837799999998</v>
      </c>
      <c r="AB50" s="12">
        <v>10.287386</v>
      </c>
      <c r="AC50" s="12">
        <v>34.006281999999999</v>
      </c>
      <c r="AD50" s="12">
        <v>21.731378899999999</v>
      </c>
      <c r="AE50" s="12">
        <v>46.523068199999997</v>
      </c>
      <c r="AF50" s="12">
        <v>14.702817899999999</v>
      </c>
      <c r="AG50" s="7" t="s">
        <v>107</v>
      </c>
    </row>
    <row r="51" spans="1:33" s="11" customFormat="1" outlineLevel="1" x14ac:dyDescent="0.3">
      <c r="A51" s="11" t="s">
        <v>57</v>
      </c>
      <c r="B51" s="12">
        <v>-4.1677857999999999</v>
      </c>
      <c r="C51" s="12">
        <v>90.663333300000005</v>
      </c>
      <c r="D51" s="12">
        <v>0.37642540000000002</v>
      </c>
      <c r="E51" s="17">
        <v>1</v>
      </c>
      <c r="F51" s="13">
        <v>68.2</v>
      </c>
      <c r="G51" s="12">
        <v>11.9065359</v>
      </c>
      <c r="H51" s="12">
        <v>2.6838657000000001</v>
      </c>
      <c r="I51" s="12">
        <v>-5.3864596000000002</v>
      </c>
      <c r="J51" s="7" t="s">
        <v>107</v>
      </c>
      <c r="K51" s="7" t="s">
        <v>107</v>
      </c>
      <c r="L51" s="7" t="s">
        <v>107</v>
      </c>
      <c r="M51" s="7" t="s">
        <v>107</v>
      </c>
      <c r="N51" s="7" t="s">
        <v>107</v>
      </c>
      <c r="O51" s="7" t="s">
        <v>107</v>
      </c>
      <c r="P51" s="7" t="s">
        <v>107</v>
      </c>
      <c r="Q51" s="7" t="s">
        <v>107</v>
      </c>
      <c r="R51" s="7" t="s">
        <v>107</v>
      </c>
      <c r="S51" s="12">
        <v>16.366054399999999</v>
      </c>
      <c r="T51" s="12">
        <v>5.75</v>
      </c>
      <c r="U51" s="12">
        <v>85.885519799999997</v>
      </c>
      <c r="V51" s="12">
        <v>131.53666670000001</v>
      </c>
      <c r="W51" s="12">
        <v>11.3570741</v>
      </c>
      <c r="X51" s="12">
        <v>9.3245605000000005</v>
      </c>
      <c r="Y51" s="12">
        <v>1.8584499999999999</v>
      </c>
      <c r="Z51" s="12">
        <v>-16.1554763</v>
      </c>
      <c r="AA51" s="12">
        <v>81.479793099999995</v>
      </c>
      <c r="AB51" s="12">
        <v>11.2932614</v>
      </c>
      <c r="AC51" s="12">
        <v>32.588477500000003</v>
      </c>
      <c r="AD51" s="12">
        <v>33.816757500000001</v>
      </c>
      <c r="AE51" s="12">
        <v>55.343670400000001</v>
      </c>
      <c r="AF51" s="12">
        <v>7.4132974999999997</v>
      </c>
      <c r="AG51" s="7" t="s">
        <v>107</v>
      </c>
    </row>
    <row r="52" spans="1:33" s="11" customFormat="1" outlineLevel="1" x14ac:dyDescent="0.3">
      <c r="A52" s="11" t="s">
        <v>58</v>
      </c>
      <c r="B52" s="12">
        <v>-1.8288317999999999</v>
      </c>
      <c r="C52" s="12">
        <v>91.146666699999997</v>
      </c>
      <c r="D52" s="12">
        <v>1.0159222999999999</v>
      </c>
      <c r="E52" s="17">
        <v>1</v>
      </c>
      <c r="F52" s="13">
        <v>74.63</v>
      </c>
      <c r="G52" s="12">
        <v>-16.236302899999998</v>
      </c>
      <c r="H52" s="12">
        <v>-5.4996720000000003</v>
      </c>
      <c r="I52" s="12">
        <v>-11.0970181</v>
      </c>
      <c r="J52" s="7" t="s">
        <v>107</v>
      </c>
      <c r="K52" s="7" t="s">
        <v>107</v>
      </c>
      <c r="L52" s="7" t="s">
        <v>107</v>
      </c>
      <c r="M52" s="7" t="s">
        <v>107</v>
      </c>
      <c r="N52" s="7" t="s">
        <v>107</v>
      </c>
      <c r="O52" s="7" t="s">
        <v>107</v>
      </c>
      <c r="P52" s="7" t="s">
        <v>107</v>
      </c>
      <c r="Q52" s="7" t="s">
        <v>107</v>
      </c>
      <c r="R52" s="7" t="s">
        <v>107</v>
      </c>
      <c r="S52" s="12">
        <v>9.6319499000000004</v>
      </c>
      <c r="T52" s="12">
        <v>5.25</v>
      </c>
      <c r="U52" s="12">
        <v>87.754583800000006</v>
      </c>
      <c r="V52" s="12">
        <v>137.25666670000001</v>
      </c>
      <c r="W52" s="12">
        <v>20.986385800000001</v>
      </c>
      <c r="X52" s="12">
        <v>-3.6481051</v>
      </c>
      <c r="Y52" s="12">
        <v>-15.961644700000001</v>
      </c>
      <c r="Z52" s="12">
        <v>-14.692383299999999</v>
      </c>
      <c r="AA52" s="12">
        <v>72.9478577</v>
      </c>
      <c r="AB52" s="12">
        <v>12.317297399999999</v>
      </c>
      <c r="AC52" s="12">
        <v>32.918019000000001</v>
      </c>
      <c r="AD52" s="12">
        <v>24.127144099999999</v>
      </c>
      <c r="AE52" s="12">
        <v>50.347371699999997</v>
      </c>
      <c r="AF52" s="12">
        <v>4.1795777000000003</v>
      </c>
      <c r="AG52" s="7" t="s">
        <v>107</v>
      </c>
    </row>
    <row r="53" spans="1:33" s="11" customFormat="1" outlineLevel="1" x14ac:dyDescent="0.3">
      <c r="A53" s="11" t="s">
        <v>59</v>
      </c>
      <c r="B53" s="12">
        <v>1.1991562</v>
      </c>
      <c r="C53" s="12">
        <v>91.416666699999993</v>
      </c>
      <c r="D53" s="12">
        <v>1.709687</v>
      </c>
      <c r="E53" s="17">
        <v>1</v>
      </c>
      <c r="F53" s="13">
        <v>76.25</v>
      </c>
      <c r="G53" s="12">
        <v>0.56679199999999996</v>
      </c>
      <c r="H53" s="12">
        <v>6.8716244</v>
      </c>
      <c r="I53" s="12">
        <v>0.2576155</v>
      </c>
      <c r="J53" s="12">
        <v>1.9855144</v>
      </c>
      <c r="K53" s="12">
        <v>1.2956207</v>
      </c>
      <c r="L53" s="12">
        <v>6.7390331999999997</v>
      </c>
      <c r="M53" s="12">
        <v>-16.6583218</v>
      </c>
      <c r="N53" s="12">
        <v>9.0598761999999997</v>
      </c>
      <c r="O53" s="12">
        <v>-6.7265211999999996</v>
      </c>
      <c r="P53" s="7" t="s">
        <v>107</v>
      </c>
      <c r="Q53" s="7" t="s">
        <v>107</v>
      </c>
      <c r="R53" s="7" t="s">
        <v>107</v>
      </c>
      <c r="S53" s="12">
        <v>6.6098081000000004</v>
      </c>
      <c r="T53" s="12">
        <v>5.25</v>
      </c>
      <c r="U53" s="12">
        <v>90.040123899999998</v>
      </c>
      <c r="V53" s="12">
        <v>138.76</v>
      </c>
      <c r="W53" s="12">
        <v>45.023565300000001</v>
      </c>
      <c r="X53" s="12">
        <v>4.9764787000000004</v>
      </c>
      <c r="Y53" s="12">
        <v>-8.2549434000000002</v>
      </c>
      <c r="Z53" s="12">
        <v>-11.488047</v>
      </c>
      <c r="AA53" s="12">
        <v>82.303436399999995</v>
      </c>
      <c r="AB53" s="12">
        <v>11.6775745</v>
      </c>
      <c r="AC53" s="12">
        <v>25.113347099999999</v>
      </c>
      <c r="AD53" s="12">
        <v>22.484047400000001</v>
      </c>
      <c r="AE53" s="12">
        <v>43.998627499999998</v>
      </c>
      <c r="AF53" s="12">
        <v>0.88988940000000005</v>
      </c>
      <c r="AG53" s="7" t="s">
        <v>107</v>
      </c>
    </row>
    <row r="54" spans="1:33" s="11" customFormat="1" outlineLevel="1" x14ac:dyDescent="0.3">
      <c r="A54" s="11" t="s">
        <v>60</v>
      </c>
      <c r="B54" s="12">
        <v>2.6157658000000001</v>
      </c>
      <c r="C54" s="12">
        <v>92.57</v>
      </c>
      <c r="D54" s="12">
        <v>2.0354926</v>
      </c>
      <c r="E54" s="17">
        <v>1</v>
      </c>
      <c r="F54" s="13">
        <v>78.510000000000005</v>
      </c>
      <c r="G54" s="12">
        <v>-9.3355250999999999</v>
      </c>
      <c r="H54" s="12">
        <v>4.6585894000000003</v>
      </c>
      <c r="I54" s="12">
        <v>-4.9964317999999999</v>
      </c>
      <c r="J54" s="12">
        <v>1.9438093000000001</v>
      </c>
      <c r="K54" s="12">
        <v>-0.23420150000000001</v>
      </c>
      <c r="L54" s="12">
        <v>2.8737256000000002</v>
      </c>
      <c r="M54" s="12">
        <v>-18.782748000000002</v>
      </c>
      <c r="N54" s="12">
        <v>22.2061393</v>
      </c>
      <c r="O54" s="12">
        <v>-4.7684172</v>
      </c>
      <c r="P54" s="7" t="s">
        <v>107</v>
      </c>
      <c r="Q54" s="7" t="s">
        <v>107</v>
      </c>
      <c r="R54" s="7" t="s">
        <v>107</v>
      </c>
      <c r="S54" s="12">
        <v>6.7331671000000002</v>
      </c>
      <c r="T54" s="12">
        <v>5.25</v>
      </c>
      <c r="U54" s="12">
        <v>89.7658591</v>
      </c>
      <c r="V54" s="12">
        <v>137.24333329999999</v>
      </c>
      <c r="W54" s="12">
        <v>37.185929600000001</v>
      </c>
      <c r="X54" s="12">
        <v>19.979654499999999</v>
      </c>
      <c r="Y54" s="12">
        <v>-1.6352085999999999</v>
      </c>
      <c r="Z54" s="12">
        <v>-8.3175789000000009</v>
      </c>
      <c r="AA54" s="12">
        <v>81.455969800000005</v>
      </c>
      <c r="AB54" s="12">
        <v>10.523529399999999</v>
      </c>
      <c r="AC54" s="12">
        <v>26.907834399999999</v>
      </c>
      <c r="AD54" s="12">
        <v>25.789116799999999</v>
      </c>
      <c r="AE54" s="12">
        <v>45.2696215</v>
      </c>
      <c r="AF54" s="12">
        <v>0.66444700000000001</v>
      </c>
      <c r="AG54" s="7" t="s">
        <v>107</v>
      </c>
    </row>
    <row r="55" spans="1:33" s="11" customFormat="1" outlineLevel="1" x14ac:dyDescent="0.3">
      <c r="A55" s="11" t="s">
        <v>61</v>
      </c>
      <c r="B55" s="12">
        <v>2.4618717000000001</v>
      </c>
      <c r="C55" s="12">
        <v>92.583333300000007</v>
      </c>
      <c r="D55" s="12">
        <v>2.1177248999999998</v>
      </c>
      <c r="E55" s="17">
        <v>1</v>
      </c>
      <c r="F55" s="13">
        <v>76.819999999999993</v>
      </c>
      <c r="G55" s="12">
        <v>0.1462579</v>
      </c>
      <c r="H55" s="12">
        <v>9.3893872999999992</v>
      </c>
      <c r="I55" s="12">
        <v>-2.7412144000000001</v>
      </c>
      <c r="J55" s="12">
        <v>4.5718804000000004</v>
      </c>
      <c r="K55" s="12">
        <v>-2.089019</v>
      </c>
      <c r="L55" s="12">
        <v>2.5266852000000002</v>
      </c>
      <c r="M55" s="12">
        <v>-5.0929896000000001</v>
      </c>
      <c r="N55" s="12">
        <v>19.7632887</v>
      </c>
      <c r="O55" s="12">
        <v>-3.28974E-2</v>
      </c>
      <c r="P55" s="7" t="s">
        <v>107</v>
      </c>
      <c r="Q55" s="7" t="s">
        <v>107</v>
      </c>
      <c r="R55" s="7" t="s">
        <v>107</v>
      </c>
      <c r="S55" s="12">
        <v>6.4285714</v>
      </c>
      <c r="T55" s="12">
        <v>5</v>
      </c>
      <c r="U55" s="12">
        <v>88.8414851</v>
      </c>
      <c r="V55" s="12">
        <v>136.46666669999999</v>
      </c>
      <c r="W55" s="12">
        <v>35.004321500000003</v>
      </c>
      <c r="X55" s="12">
        <v>13.7994035</v>
      </c>
      <c r="Y55" s="12">
        <v>3.0767589000000002</v>
      </c>
      <c r="Z55" s="12">
        <v>-10.442409400000001</v>
      </c>
      <c r="AA55" s="12">
        <v>75.580924999999993</v>
      </c>
      <c r="AB55" s="12">
        <v>10.795880500000001</v>
      </c>
      <c r="AC55" s="12">
        <v>29.291278200000001</v>
      </c>
      <c r="AD55" s="12">
        <v>36.8764319</v>
      </c>
      <c r="AE55" s="12">
        <v>54.645645500000001</v>
      </c>
      <c r="AF55" s="12">
        <v>1.0894588000000001</v>
      </c>
      <c r="AG55" s="7" t="s">
        <v>107</v>
      </c>
    </row>
    <row r="56" spans="1:33" s="11" customFormat="1" outlineLevel="1" x14ac:dyDescent="0.3">
      <c r="A56" s="11" t="s">
        <v>62</v>
      </c>
      <c r="B56" s="12">
        <v>2.3931737000000002</v>
      </c>
      <c r="C56" s="12">
        <v>93.383333300000004</v>
      </c>
      <c r="D56" s="12">
        <v>2.4539203000000001</v>
      </c>
      <c r="E56" s="17">
        <v>1</v>
      </c>
      <c r="F56" s="13">
        <v>86.466666700000005</v>
      </c>
      <c r="G56" s="12">
        <v>-7.3953873000000003</v>
      </c>
      <c r="H56" s="12">
        <v>13.165438999999999</v>
      </c>
      <c r="I56" s="12">
        <v>-4.2108914999999998</v>
      </c>
      <c r="J56" s="12">
        <v>6.2980812000000004</v>
      </c>
      <c r="K56" s="12">
        <v>8.5890354999999996</v>
      </c>
      <c r="L56" s="12">
        <v>3.9691071999999998</v>
      </c>
      <c r="M56" s="12">
        <v>6.4864417999999997</v>
      </c>
      <c r="N56" s="12">
        <v>23.386976199999999</v>
      </c>
      <c r="O56" s="12">
        <v>8.7360065000000002</v>
      </c>
      <c r="P56" s="7" t="s">
        <v>107</v>
      </c>
      <c r="Q56" s="7" t="s">
        <v>107</v>
      </c>
      <c r="R56" s="7" t="s">
        <v>107</v>
      </c>
      <c r="S56" s="12">
        <v>7.1428570999999996</v>
      </c>
      <c r="T56" s="12">
        <v>5</v>
      </c>
      <c r="U56" s="12">
        <v>90.446442200000007</v>
      </c>
      <c r="V56" s="12">
        <v>138.6733333</v>
      </c>
      <c r="W56" s="12">
        <v>30.148620000000001</v>
      </c>
      <c r="X56" s="12">
        <v>21.690477600000001</v>
      </c>
      <c r="Y56" s="12">
        <v>10.826877</v>
      </c>
      <c r="Z56" s="12">
        <v>-15.0377419</v>
      </c>
      <c r="AA56" s="12">
        <v>71.798651300000003</v>
      </c>
      <c r="AB56" s="12">
        <v>11.701792899999999</v>
      </c>
      <c r="AC56" s="12">
        <v>31.852055799999999</v>
      </c>
      <c r="AD56" s="12">
        <v>26.204142099999999</v>
      </c>
      <c r="AE56" s="12">
        <v>49.802144699999999</v>
      </c>
      <c r="AF56" s="12">
        <v>1.5380269</v>
      </c>
      <c r="AG56" s="7" t="s">
        <v>107</v>
      </c>
    </row>
    <row r="57" spans="1:33" s="11" customFormat="1" outlineLevel="1" x14ac:dyDescent="0.3">
      <c r="A57" s="11" t="s">
        <v>63</v>
      </c>
      <c r="B57" s="12">
        <v>3.2110127999999998</v>
      </c>
      <c r="C57" s="12">
        <v>94.073333300000002</v>
      </c>
      <c r="D57" s="12">
        <v>2.9061075000000001</v>
      </c>
      <c r="E57" s="17">
        <v>1</v>
      </c>
      <c r="F57" s="13">
        <v>104.96</v>
      </c>
      <c r="G57" s="12">
        <v>16.792854999999999</v>
      </c>
      <c r="H57" s="12">
        <v>0.47037790000000002</v>
      </c>
      <c r="I57" s="12">
        <v>-3.9720795</v>
      </c>
      <c r="J57" s="12">
        <v>6.1646026000000003</v>
      </c>
      <c r="K57" s="12">
        <v>3.7734032000000002</v>
      </c>
      <c r="L57" s="12">
        <v>1.6008529</v>
      </c>
      <c r="M57" s="12">
        <v>5.5491109999999999</v>
      </c>
      <c r="N57" s="12">
        <v>33.643089199999999</v>
      </c>
      <c r="O57" s="12">
        <v>9.3806249000000008</v>
      </c>
      <c r="P57" s="7" t="s">
        <v>107</v>
      </c>
      <c r="Q57" s="7" t="s">
        <v>107</v>
      </c>
      <c r="R57" s="7" t="s">
        <v>107</v>
      </c>
      <c r="S57" s="12">
        <v>8.3333332999999996</v>
      </c>
      <c r="T57" s="12">
        <v>5.25</v>
      </c>
      <c r="U57" s="12">
        <v>93.971253000000004</v>
      </c>
      <c r="V57" s="12">
        <v>139.46</v>
      </c>
      <c r="W57" s="12">
        <v>32.001529300000001</v>
      </c>
      <c r="X57" s="12">
        <v>31.4483292</v>
      </c>
      <c r="Y57" s="12">
        <v>16.6364418</v>
      </c>
      <c r="Z57" s="12">
        <v>-10.1483132</v>
      </c>
      <c r="AA57" s="12">
        <v>81.453895700000004</v>
      </c>
      <c r="AB57" s="12">
        <v>11.2954071</v>
      </c>
      <c r="AC57" s="12">
        <v>25.160762999999999</v>
      </c>
      <c r="AD57" s="12">
        <v>27.1769137</v>
      </c>
      <c r="AE57" s="12">
        <v>47.189787500000001</v>
      </c>
      <c r="AF57" s="12">
        <v>2.6898979999999999</v>
      </c>
      <c r="AG57" s="7" t="s">
        <v>107</v>
      </c>
    </row>
    <row r="58" spans="1:33" s="11" customFormat="1" outlineLevel="1" x14ac:dyDescent="0.3">
      <c r="A58" s="11" t="s">
        <v>64</v>
      </c>
      <c r="B58" s="12">
        <v>2.1036085</v>
      </c>
      <c r="C58" s="12">
        <v>95.516666700000002</v>
      </c>
      <c r="D58" s="12">
        <v>3.1831767000000002</v>
      </c>
      <c r="E58" s="17">
        <v>1.25</v>
      </c>
      <c r="F58" s="13">
        <v>117.36</v>
      </c>
      <c r="G58" s="12">
        <v>0.2061299</v>
      </c>
      <c r="H58" s="12">
        <v>1.7823233999999999</v>
      </c>
      <c r="I58" s="12">
        <v>-4.6242226999999998</v>
      </c>
      <c r="J58" s="12">
        <v>-1.4551744</v>
      </c>
      <c r="K58" s="12">
        <v>1.5527550999999999</v>
      </c>
      <c r="L58" s="12">
        <v>4.0963704999999999</v>
      </c>
      <c r="M58" s="12">
        <v>-1.6651929999999999</v>
      </c>
      <c r="N58" s="12">
        <v>-1.9917634</v>
      </c>
      <c r="O58" s="12">
        <v>6.1935533999999999</v>
      </c>
      <c r="P58" s="7" t="s">
        <v>107</v>
      </c>
      <c r="Q58" s="7" t="s">
        <v>107</v>
      </c>
      <c r="R58" s="7" t="s">
        <v>107</v>
      </c>
      <c r="S58" s="12">
        <v>6.3084112000000001</v>
      </c>
      <c r="T58" s="12">
        <v>5.25</v>
      </c>
      <c r="U58" s="12">
        <v>93.036721</v>
      </c>
      <c r="V58" s="12">
        <v>141.75</v>
      </c>
      <c r="W58" s="12">
        <v>16.657027200000002</v>
      </c>
      <c r="X58" s="12">
        <v>-3.2806131000000001</v>
      </c>
      <c r="Y58" s="12">
        <v>9.7188149999999993</v>
      </c>
      <c r="Z58" s="12">
        <v>-15.511681299999999</v>
      </c>
      <c r="AA58" s="12">
        <v>84.990394899999998</v>
      </c>
      <c r="AB58" s="12">
        <v>11.2300848</v>
      </c>
      <c r="AC58" s="12">
        <v>27.2814467</v>
      </c>
      <c r="AD58" s="12">
        <v>25.701435199999999</v>
      </c>
      <c r="AE58" s="12">
        <v>51.156728100000002</v>
      </c>
      <c r="AF58" s="12">
        <v>5.2889999000000003</v>
      </c>
      <c r="AG58" s="7" t="s">
        <v>107</v>
      </c>
    </row>
    <row r="59" spans="1:33" s="11" customFormat="1" outlineLevel="1" x14ac:dyDescent="0.3">
      <c r="A59" s="11" t="s">
        <v>65</v>
      </c>
      <c r="B59" s="12">
        <v>1.8176159000000001</v>
      </c>
      <c r="C59" s="12">
        <v>95.433333300000001</v>
      </c>
      <c r="D59" s="12">
        <v>3.0783078000000001</v>
      </c>
      <c r="E59" s="17">
        <v>1.5</v>
      </c>
      <c r="F59" s="13">
        <v>113.34</v>
      </c>
      <c r="G59" s="12">
        <v>-3.0200646999999998</v>
      </c>
      <c r="H59" s="12">
        <v>1.3239538</v>
      </c>
      <c r="I59" s="12">
        <v>-1.4568163999999999</v>
      </c>
      <c r="J59" s="12">
        <v>1.964926</v>
      </c>
      <c r="K59" s="12">
        <v>1.6803977999999999</v>
      </c>
      <c r="L59" s="12">
        <v>-0.22734480000000001</v>
      </c>
      <c r="M59" s="12">
        <v>2.5737730000000001</v>
      </c>
      <c r="N59" s="12">
        <v>0.77562719999999996</v>
      </c>
      <c r="O59" s="12">
        <v>3.9903425000000001</v>
      </c>
      <c r="P59" s="7" t="s">
        <v>107</v>
      </c>
      <c r="Q59" s="7" t="s">
        <v>107</v>
      </c>
      <c r="R59" s="7" t="s">
        <v>107</v>
      </c>
      <c r="S59" s="12">
        <v>6.6219238999999996</v>
      </c>
      <c r="T59" s="12">
        <v>5</v>
      </c>
      <c r="U59" s="12">
        <v>91.655238999999995</v>
      </c>
      <c r="V59" s="12">
        <v>140.08666669999999</v>
      </c>
      <c r="W59" s="12">
        <v>17.797695300000001</v>
      </c>
      <c r="X59" s="12">
        <v>3.2758824</v>
      </c>
      <c r="Y59" s="12">
        <v>7.6371574000000004</v>
      </c>
      <c r="Z59" s="12">
        <v>-10.9501472</v>
      </c>
      <c r="AA59" s="12">
        <v>76.795361900000003</v>
      </c>
      <c r="AB59" s="12">
        <v>10.646578399999999</v>
      </c>
      <c r="AC59" s="12">
        <v>29.563251300000001</v>
      </c>
      <c r="AD59" s="12">
        <v>37.817731600000002</v>
      </c>
      <c r="AE59" s="12">
        <v>58.406919899999998</v>
      </c>
      <c r="AF59" s="12">
        <v>5.2720023999999999</v>
      </c>
      <c r="AG59" s="7" t="s">
        <v>107</v>
      </c>
    </row>
    <row r="60" spans="1:33" s="11" customFormat="1" outlineLevel="1" x14ac:dyDescent="0.3">
      <c r="A60" s="11" t="s">
        <v>66</v>
      </c>
      <c r="B60" s="12">
        <v>0.47384009999999999</v>
      </c>
      <c r="C60" s="12">
        <v>96.41</v>
      </c>
      <c r="D60" s="12">
        <v>3.2411208999999999</v>
      </c>
      <c r="E60" s="17">
        <v>1.25</v>
      </c>
      <c r="F60" s="13">
        <v>109.3966667</v>
      </c>
      <c r="G60" s="12">
        <v>3.2258065</v>
      </c>
      <c r="H60" s="12">
        <v>3.3205344000000001</v>
      </c>
      <c r="I60" s="12">
        <v>-4.0249677999999998</v>
      </c>
      <c r="J60" s="12">
        <v>4.1468315000000002</v>
      </c>
      <c r="K60" s="12">
        <v>0.24411469999999999</v>
      </c>
      <c r="L60" s="12">
        <v>-2.6738971</v>
      </c>
      <c r="M60" s="12">
        <v>15.569421699999999</v>
      </c>
      <c r="N60" s="12">
        <v>4.4544136999999999</v>
      </c>
      <c r="O60" s="12">
        <v>6.0846954000000002</v>
      </c>
      <c r="P60" s="7" t="s">
        <v>107</v>
      </c>
      <c r="Q60" s="7" t="s">
        <v>107</v>
      </c>
      <c r="R60" s="7" t="s">
        <v>107</v>
      </c>
      <c r="S60" s="12">
        <v>6.6666667000000004</v>
      </c>
      <c r="T60" s="12">
        <v>4.75</v>
      </c>
      <c r="U60" s="12">
        <v>92.731982299999999</v>
      </c>
      <c r="V60" s="12">
        <v>140.02666669999999</v>
      </c>
      <c r="W60" s="12">
        <v>10.995106</v>
      </c>
      <c r="X60" s="12">
        <v>7.0698124</v>
      </c>
      <c r="Y60" s="12">
        <v>8.6438897000000008</v>
      </c>
      <c r="Z60" s="12">
        <v>-14.6863759</v>
      </c>
      <c r="AA60" s="12">
        <v>68.966905999999994</v>
      </c>
      <c r="AB60" s="12">
        <v>10.7677029</v>
      </c>
      <c r="AC60" s="12">
        <v>34.653439200000001</v>
      </c>
      <c r="AD60" s="12">
        <v>26.382571200000001</v>
      </c>
      <c r="AE60" s="12">
        <v>50.855911499999998</v>
      </c>
      <c r="AF60" s="12">
        <v>-0.1536013</v>
      </c>
      <c r="AG60" s="7" t="s">
        <v>107</v>
      </c>
    </row>
    <row r="61" spans="1:33" s="11" customFormat="1" outlineLevel="1" x14ac:dyDescent="0.3">
      <c r="A61" s="11" t="s">
        <v>67</v>
      </c>
      <c r="B61" s="12">
        <v>3.7986600000000002E-2</v>
      </c>
      <c r="C61" s="12">
        <v>96.803333300000006</v>
      </c>
      <c r="D61" s="12">
        <v>2.9019914</v>
      </c>
      <c r="E61" s="17">
        <v>1</v>
      </c>
      <c r="F61" s="13">
        <v>118.49</v>
      </c>
      <c r="G61" s="12">
        <v>-1.5630073</v>
      </c>
      <c r="H61" s="12">
        <v>1.0485587000000001</v>
      </c>
      <c r="I61" s="12">
        <v>-3.2038171000000002</v>
      </c>
      <c r="J61" s="12">
        <v>-0.77315520000000004</v>
      </c>
      <c r="K61" s="12">
        <v>-0.1015189</v>
      </c>
      <c r="L61" s="12">
        <v>3.7475581</v>
      </c>
      <c r="M61" s="12">
        <v>-6.3102384000000002</v>
      </c>
      <c r="N61" s="12">
        <v>-11.666085799999999</v>
      </c>
      <c r="O61" s="12">
        <v>-5.2240669000000004</v>
      </c>
      <c r="P61" s="7">
        <v>1175.7829999999999</v>
      </c>
      <c r="Q61" s="7">
        <v>174.89699999999999</v>
      </c>
      <c r="R61" s="7">
        <v>12.9</v>
      </c>
      <c r="S61" s="12">
        <v>7.2527473000000002</v>
      </c>
      <c r="T61" s="12">
        <v>4.25</v>
      </c>
      <c r="U61" s="12">
        <v>94.956574700000004</v>
      </c>
      <c r="V61" s="12">
        <v>139.2333333</v>
      </c>
      <c r="W61" s="12">
        <v>11.1078928</v>
      </c>
      <c r="X61" s="12">
        <v>-9.3621292</v>
      </c>
      <c r="Y61" s="12">
        <v>-2.2654559999999999</v>
      </c>
      <c r="Z61" s="12">
        <v>-12.6986156</v>
      </c>
      <c r="AA61" s="12">
        <v>81.486449300000004</v>
      </c>
      <c r="AB61" s="12">
        <v>11.8084311</v>
      </c>
      <c r="AC61" s="12">
        <v>23.310137900000001</v>
      </c>
      <c r="AD61" s="12">
        <v>24.4123099</v>
      </c>
      <c r="AE61" s="12">
        <v>45.7111497</v>
      </c>
      <c r="AF61" s="12">
        <v>-0.63942759999999998</v>
      </c>
      <c r="AG61" s="7" t="s">
        <v>107</v>
      </c>
    </row>
    <row r="62" spans="1:33" s="11" customFormat="1" outlineLevel="1" x14ac:dyDescent="0.3">
      <c r="A62" s="11" t="s">
        <v>68</v>
      </c>
      <c r="B62" s="12">
        <v>-0.91019320000000004</v>
      </c>
      <c r="C62" s="12">
        <v>97.993333300000003</v>
      </c>
      <c r="D62" s="12">
        <v>2.5929156999999998</v>
      </c>
      <c r="E62" s="17">
        <v>1</v>
      </c>
      <c r="F62" s="13">
        <v>108.41666669999999</v>
      </c>
      <c r="G62" s="12">
        <v>2.0850610000000001</v>
      </c>
      <c r="H62" s="12">
        <v>7.0829366</v>
      </c>
      <c r="I62" s="12">
        <v>-3.3330969000000001</v>
      </c>
      <c r="J62" s="12">
        <v>4.2519403000000002</v>
      </c>
      <c r="K62" s="12">
        <v>-1.5192752</v>
      </c>
      <c r="L62" s="12">
        <v>-1.9668021</v>
      </c>
      <c r="M62" s="12">
        <v>-2.2396003000000002</v>
      </c>
      <c r="N62" s="12">
        <v>8.5611286</v>
      </c>
      <c r="O62" s="12">
        <v>-6.3441472000000001</v>
      </c>
      <c r="P62" s="7">
        <v>1149.6679999999999</v>
      </c>
      <c r="Q62" s="7">
        <v>175.708</v>
      </c>
      <c r="R62" s="7">
        <v>13.3</v>
      </c>
      <c r="S62" s="12">
        <v>7.2527473000000002</v>
      </c>
      <c r="T62" s="12">
        <v>4.25</v>
      </c>
      <c r="U62" s="12">
        <v>94.814363400000005</v>
      </c>
      <c r="V62" s="12">
        <v>139.31</v>
      </c>
      <c r="W62" s="12">
        <v>20.277640099999999</v>
      </c>
      <c r="X62" s="12">
        <v>12.338581899999999</v>
      </c>
      <c r="Y62" s="12">
        <v>-5.6946855999999997</v>
      </c>
      <c r="Z62" s="12">
        <v>-10.1173339</v>
      </c>
      <c r="AA62" s="12">
        <v>80.208843299999998</v>
      </c>
      <c r="AB62" s="12">
        <v>10.5489634</v>
      </c>
      <c r="AC62" s="12">
        <v>24.918964800000001</v>
      </c>
      <c r="AD62" s="12">
        <v>26.7672478</v>
      </c>
      <c r="AE62" s="12">
        <v>44.718079400000001</v>
      </c>
      <c r="AF62" s="12">
        <v>-4.0239558999999998</v>
      </c>
      <c r="AG62" s="7" t="s">
        <v>107</v>
      </c>
    </row>
    <row r="63" spans="1:33" s="11" customFormat="1" outlineLevel="1" x14ac:dyDescent="0.3">
      <c r="A63" s="11" t="s">
        <v>69</v>
      </c>
      <c r="B63" s="12">
        <v>-1.0352741000000001</v>
      </c>
      <c r="C63" s="12">
        <v>97.9566667</v>
      </c>
      <c r="D63" s="12">
        <v>2.6440796999999998</v>
      </c>
      <c r="E63" s="17">
        <v>0.75</v>
      </c>
      <c r="F63" s="13">
        <v>109.61333329999999</v>
      </c>
      <c r="G63" s="12">
        <v>-0.56303519999999996</v>
      </c>
      <c r="H63" s="12">
        <v>-0.7987088</v>
      </c>
      <c r="I63" s="12">
        <v>-1.4589760000000001</v>
      </c>
      <c r="J63" s="12">
        <v>1.3776051</v>
      </c>
      <c r="K63" s="12">
        <v>2.7930874000000001</v>
      </c>
      <c r="L63" s="12">
        <v>-0.454897</v>
      </c>
      <c r="M63" s="12">
        <v>-7.0934625999999996</v>
      </c>
      <c r="N63" s="12">
        <v>-1.0397622</v>
      </c>
      <c r="O63" s="12">
        <v>-5.6023557000000004</v>
      </c>
      <c r="P63" s="7">
        <v>1116.9739999999999</v>
      </c>
      <c r="Q63" s="7">
        <v>176.00399999999999</v>
      </c>
      <c r="R63" s="7">
        <v>13.6</v>
      </c>
      <c r="S63" s="12">
        <v>7.5744859</v>
      </c>
      <c r="T63" s="12">
        <v>4</v>
      </c>
      <c r="U63" s="12">
        <v>94.164254200000002</v>
      </c>
      <c r="V63" s="12">
        <v>137.9</v>
      </c>
      <c r="W63" s="12">
        <v>18.220108700000001</v>
      </c>
      <c r="X63" s="12">
        <v>0.83328570000000002</v>
      </c>
      <c r="Y63" s="12">
        <v>-4.9882324999999996</v>
      </c>
      <c r="Z63" s="12">
        <v>-10.1903965</v>
      </c>
      <c r="AA63" s="12">
        <v>78.422779199999994</v>
      </c>
      <c r="AB63" s="12">
        <v>10.3734597</v>
      </c>
      <c r="AC63" s="12">
        <v>26.6740058</v>
      </c>
      <c r="AD63" s="12">
        <v>36.265886100000003</v>
      </c>
      <c r="AE63" s="12">
        <v>52.779389600000002</v>
      </c>
      <c r="AF63" s="12">
        <v>-3.6693730000000002</v>
      </c>
      <c r="AG63" s="7" t="s">
        <v>107</v>
      </c>
    </row>
    <row r="64" spans="1:33" s="11" customFormat="1" outlineLevel="1" x14ac:dyDescent="0.3">
      <c r="A64" s="11" t="s">
        <v>70</v>
      </c>
      <c r="B64" s="12">
        <v>-0.98067590000000004</v>
      </c>
      <c r="C64" s="12">
        <v>98.773333300000004</v>
      </c>
      <c r="D64" s="12">
        <v>2.4513362999999999</v>
      </c>
      <c r="E64" s="17">
        <v>0.75</v>
      </c>
      <c r="F64" s="13">
        <v>110.08666669999999</v>
      </c>
      <c r="G64" s="12">
        <v>-9.3198400000000001E-2</v>
      </c>
      <c r="H64" s="12">
        <v>-6.3000957</v>
      </c>
      <c r="I64" s="12">
        <v>-5.6363477</v>
      </c>
      <c r="J64" s="12">
        <v>0.5986802</v>
      </c>
      <c r="K64" s="12">
        <v>-0.530281</v>
      </c>
      <c r="L64" s="12">
        <v>-0.6669022</v>
      </c>
      <c r="M64" s="12">
        <v>-13.4118431</v>
      </c>
      <c r="N64" s="12">
        <v>5.1570153999999997</v>
      </c>
      <c r="O64" s="12">
        <v>-9.3266182999999998</v>
      </c>
      <c r="P64" s="7">
        <v>1117.963</v>
      </c>
      <c r="Q64" s="7">
        <v>176.203</v>
      </c>
      <c r="R64" s="7">
        <v>13.6</v>
      </c>
      <c r="S64" s="12">
        <v>7.2916667000000004</v>
      </c>
      <c r="T64" s="12">
        <v>4</v>
      </c>
      <c r="U64" s="12">
        <v>95.017522499999998</v>
      </c>
      <c r="V64" s="12">
        <v>139.71666669999999</v>
      </c>
      <c r="W64" s="12">
        <v>13.6537331</v>
      </c>
      <c r="X64" s="12">
        <v>5.8148454999999997</v>
      </c>
      <c r="Y64" s="12">
        <v>-7.6699294</v>
      </c>
      <c r="Z64" s="12">
        <v>-8.1723160999999998</v>
      </c>
      <c r="AA64" s="12">
        <v>70.438062400000007</v>
      </c>
      <c r="AB64" s="12">
        <v>10.7675755</v>
      </c>
      <c r="AC64" s="12">
        <v>30.557769100000002</v>
      </c>
      <c r="AD64" s="12">
        <v>27.933697200000001</v>
      </c>
      <c r="AE64" s="12">
        <v>47.004320800000002</v>
      </c>
      <c r="AF64" s="12">
        <v>0.49938100000000002</v>
      </c>
      <c r="AG64" s="7" t="s">
        <v>107</v>
      </c>
    </row>
    <row r="65" spans="1:33" s="11" customFormat="1" outlineLevel="1" x14ac:dyDescent="0.3">
      <c r="A65" s="11" t="s">
        <v>71</v>
      </c>
      <c r="B65" s="12">
        <v>-1.6415721999999999</v>
      </c>
      <c r="C65" s="12">
        <v>98.726666699999996</v>
      </c>
      <c r="D65" s="12">
        <v>1.9868463000000001</v>
      </c>
      <c r="E65" s="17">
        <v>0.75</v>
      </c>
      <c r="F65" s="13">
        <v>112.4933333</v>
      </c>
      <c r="G65" s="12">
        <v>3.0016265</v>
      </c>
      <c r="H65" s="12">
        <v>-3.2457753</v>
      </c>
      <c r="I65" s="12">
        <v>-4.7388341</v>
      </c>
      <c r="J65" s="12">
        <v>1.8039409</v>
      </c>
      <c r="K65" s="12">
        <v>3.4601872</v>
      </c>
      <c r="L65" s="12">
        <v>-2.4878854000000001</v>
      </c>
      <c r="M65" s="12">
        <v>0.2147329</v>
      </c>
      <c r="N65" s="12">
        <v>1.6743737000000001</v>
      </c>
      <c r="O65" s="12">
        <v>-3.6622257</v>
      </c>
      <c r="P65" s="7">
        <v>1091.646</v>
      </c>
      <c r="Q65" s="7">
        <v>182.83099999999999</v>
      </c>
      <c r="R65" s="7">
        <v>14.3</v>
      </c>
      <c r="S65" s="12">
        <v>5.9426230000000002</v>
      </c>
      <c r="T65" s="12">
        <v>3.75</v>
      </c>
      <c r="U65" s="12">
        <v>97.353852399999994</v>
      </c>
      <c r="V65" s="12">
        <v>139.6733333</v>
      </c>
      <c r="W65" s="12">
        <v>38.751303399999998</v>
      </c>
      <c r="X65" s="12">
        <v>2.4343211</v>
      </c>
      <c r="Y65" s="12">
        <v>-6.2441361999999998</v>
      </c>
      <c r="Z65" s="12">
        <v>-9.1981585999999993</v>
      </c>
      <c r="AA65" s="12">
        <v>82.945015299999994</v>
      </c>
      <c r="AB65" s="12">
        <v>11.2366549</v>
      </c>
      <c r="AC65" s="12">
        <v>22.680041500000002</v>
      </c>
      <c r="AD65" s="12">
        <v>24.0692494</v>
      </c>
      <c r="AE65" s="12">
        <v>41.246840499999998</v>
      </c>
      <c r="AF65" s="12">
        <v>-0.60274709999999998</v>
      </c>
      <c r="AG65" s="7" t="s">
        <v>107</v>
      </c>
    </row>
    <row r="66" spans="1:33" s="11" customFormat="1" outlineLevel="1" x14ac:dyDescent="0.3">
      <c r="A66" s="11" t="s">
        <v>72</v>
      </c>
      <c r="B66" s="12">
        <v>-0.1331087</v>
      </c>
      <c r="C66" s="12">
        <v>99.533333299999995</v>
      </c>
      <c r="D66" s="12">
        <v>1.5715355</v>
      </c>
      <c r="E66" s="17">
        <v>0.58333330000000005</v>
      </c>
      <c r="F66" s="13">
        <v>102.5766667</v>
      </c>
      <c r="G66" s="12">
        <v>20.9870552</v>
      </c>
      <c r="H66" s="12">
        <v>-2.8572457999999998</v>
      </c>
      <c r="I66" s="12">
        <v>-9.4230076</v>
      </c>
      <c r="J66" s="12">
        <v>2.9664918999999998</v>
      </c>
      <c r="K66" s="12">
        <v>2.3923239000000001</v>
      </c>
      <c r="L66" s="12">
        <v>5.7584759999999999</v>
      </c>
      <c r="M66" s="12">
        <v>2.8583086</v>
      </c>
      <c r="N66" s="12">
        <v>-3.4613119999999999</v>
      </c>
      <c r="O66" s="12">
        <v>-3.3554499</v>
      </c>
      <c r="P66" s="7">
        <v>1024.0170000000001</v>
      </c>
      <c r="Q66" s="7">
        <v>194.62700000000001</v>
      </c>
      <c r="R66" s="7">
        <v>16</v>
      </c>
      <c r="S66" s="12">
        <v>5.9426230000000002</v>
      </c>
      <c r="T66" s="12">
        <v>3.75</v>
      </c>
      <c r="U66" s="12">
        <v>96.906902400000007</v>
      </c>
      <c r="V66" s="12">
        <v>140.71</v>
      </c>
      <c r="W66" s="12">
        <v>29.513602599999999</v>
      </c>
      <c r="X66" s="12">
        <v>-5.5749808999999999</v>
      </c>
      <c r="Y66" s="12">
        <v>-3.2150587000000002</v>
      </c>
      <c r="Z66" s="12">
        <v>-9.8525276999999996</v>
      </c>
      <c r="AA66" s="12">
        <v>81.5438458</v>
      </c>
      <c r="AB66" s="12">
        <v>10.961254800000001</v>
      </c>
      <c r="AC66" s="12">
        <v>25.2475381</v>
      </c>
      <c r="AD66" s="12">
        <v>24.660114700000001</v>
      </c>
      <c r="AE66" s="12">
        <v>42.237278400000001</v>
      </c>
      <c r="AF66" s="12">
        <v>2.3922188000000002</v>
      </c>
      <c r="AG66" s="7" t="s">
        <v>107</v>
      </c>
    </row>
    <row r="67" spans="1:33" s="11" customFormat="1" outlineLevel="1" x14ac:dyDescent="0.3">
      <c r="A67" s="11" t="s">
        <v>73</v>
      </c>
      <c r="B67" s="12">
        <v>0.53477319999999995</v>
      </c>
      <c r="C67" s="12">
        <v>99.423333299999996</v>
      </c>
      <c r="D67" s="12">
        <v>1.4972605999999999</v>
      </c>
      <c r="E67" s="17">
        <v>0.5</v>
      </c>
      <c r="F67" s="13">
        <v>110.27</v>
      </c>
      <c r="G67" s="12">
        <v>1.2115594999999999</v>
      </c>
      <c r="H67" s="12">
        <v>-5.4720772999999996</v>
      </c>
      <c r="I67" s="12">
        <v>-3.2343191999999998</v>
      </c>
      <c r="J67" s="12">
        <v>-2.6499087000000001</v>
      </c>
      <c r="K67" s="12">
        <v>-2.0942818000000001</v>
      </c>
      <c r="L67" s="12">
        <v>1.9374994999999999</v>
      </c>
      <c r="M67" s="12">
        <v>-17.728689200000002</v>
      </c>
      <c r="N67" s="12">
        <v>-2.6017405999999998</v>
      </c>
      <c r="O67" s="12">
        <v>-4.6646944000000001</v>
      </c>
      <c r="P67" s="7">
        <v>995.553</v>
      </c>
      <c r="Q67" s="7">
        <v>200.667</v>
      </c>
      <c r="R67" s="7">
        <v>16.8</v>
      </c>
      <c r="S67" s="12">
        <v>2.5941095999999999</v>
      </c>
      <c r="T67" s="12">
        <v>3.5</v>
      </c>
      <c r="U67" s="12">
        <v>95.596525999999997</v>
      </c>
      <c r="V67" s="12">
        <v>140.27666669999999</v>
      </c>
      <c r="W67" s="12">
        <v>16.446385500000002</v>
      </c>
      <c r="X67" s="12">
        <v>-4.9958057</v>
      </c>
      <c r="Y67" s="12">
        <v>-4.2756546999999996</v>
      </c>
      <c r="Z67" s="12">
        <v>-6.0062772999999998</v>
      </c>
      <c r="AA67" s="12">
        <v>80.475011300000006</v>
      </c>
      <c r="AB67" s="12">
        <v>11.14298</v>
      </c>
      <c r="AC67" s="12">
        <v>23.1017057</v>
      </c>
      <c r="AD67" s="12">
        <v>36.0779882</v>
      </c>
      <c r="AE67" s="12">
        <v>52.900222800000002</v>
      </c>
      <c r="AF67" s="12">
        <v>0.3675177</v>
      </c>
      <c r="AG67" s="7" t="s">
        <v>107</v>
      </c>
    </row>
    <row r="68" spans="1:33" s="11" customFormat="1" outlineLevel="1" x14ac:dyDescent="0.3">
      <c r="A68" s="11" t="s">
        <v>74</v>
      </c>
      <c r="B68" s="12">
        <v>0.83200640000000003</v>
      </c>
      <c r="C68" s="12">
        <v>99.72</v>
      </c>
      <c r="D68" s="12">
        <v>0.95842340000000004</v>
      </c>
      <c r="E68" s="17">
        <v>0.3333333</v>
      </c>
      <c r="F68" s="13">
        <v>109.21</v>
      </c>
      <c r="G68" s="12">
        <v>-5.4514820999999998</v>
      </c>
      <c r="H68" s="12">
        <v>7.3796365000000002</v>
      </c>
      <c r="I68" s="12">
        <v>-2.2090863000000001</v>
      </c>
      <c r="J68" s="12">
        <v>1.8538466</v>
      </c>
      <c r="K68" s="12">
        <v>3.7552077000000001</v>
      </c>
      <c r="L68" s="12">
        <v>6.2681854000000001</v>
      </c>
      <c r="M68" s="12">
        <v>5.8642735000000004</v>
      </c>
      <c r="N68" s="12">
        <v>11.4554411</v>
      </c>
      <c r="O68" s="12">
        <v>8.8444140999999998</v>
      </c>
      <c r="P68" s="7">
        <v>983.53599999999994</v>
      </c>
      <c r="Q68" s="7">
        <v>198.047</v>
      </c>
      <c r="R68" s="7">
        <v>16.8</v>
      </c>
      <c r="S68" s="12">
        <v>2.1359222999999998</v>
      </c>
      <c r="T68" s="12">
        <v>3</v>
      </c>
      <c r="U68" s="12">
        <v>96.439636399999998</v>
      </c>
      <c r="V68" s="12">
        <v>140.38999999999999</v>
      </c>
      <c r="W68" s="12">
        <v>30.376309299999999</v>
      </c>
      <c r="X68" s="12">
        <v>10.714844100000001</v>
      </c>
      <c r="Y68" s="12">
        <v>9.2303663999999994</v>
      </c>
      <c r="Z68" s="12">
        <v>-11.6900184</v>
      </c>
      <c r="AA68" s="12">
        <v>73.587104600000004</v>
      </c>
      <c r="AB68" s="12">
        <v>10.7967152</v>
      </c>
      <c r="AC68" s="12">
        <v>32.656807100000002</v>
      </c>
      <c r="AD68" s="12">
        <v>30.904289800000001</v>
      </c>
      <c r="AE68" s="12">
        <v>51.298195</v>
      </c>
      <c r="AF68" s="12">
        <v>-6.9785000000000003E-3</v>
      </c>
      <c r="AG68" s="7" t="s">
        <v>107</v>
      </c>
    </row>
    <row r="69" spans="1:33" s="11" customFormat="1" outlineLevel="1" x14ac:dyDescent="0.3">
      <c r="A69" s="11" t="s">
        <v>75</v>
      </c>
      <c r="B69" s="12">
        <v>1.8456245</v>
      </c>
      <c r="C69" s="12">
        <v>99.49</v>
      </c>
      <c r="D69" s="12">
        <v>0.77317840000000004</v>
      </c>
      <c r="E69" s="17">
        <v>0.25</v>
      </c>
      <c r="F69" s="13">
        <v>108.16666669999999</v>
      </c>
      <c r="G69" s="12">
        <v>-5.6582521999999997</v>
      </c>
      <c r="H69" s="12">
        <v>10.318580600000001</v>
      </c>
      <c r="I69" s="12">
        <v>-0.57339810000000002</v>
      </c>
      <c r="J69" s="12">
        <v>1.5976026000000001</v>
      </c>
      <c r="K69" s="12">
        <v>3.144997</v>
      </c>
      <c r="L69" s="12">
        <v>-0.419933</v>
      </c>
      <c r="M69" s="12">
        <v>-9.5593021</v>
      </c>
      <c r="N69" s="12">
        <v>9.6211272999999995</v>
      </c>
      <c r="O69" s="12">
        <v>4.4445008000000001</v>
      </c>
      <c r="P69" s="7">
        <v>969.87800000000004</v>
      </c>
      <c r="Q69" s="7">
        <v>215.32599999999999</v>
      </c>
      <c r="R69" s="7">
        <v>18.2</v>
      </c>
      <c r="S69" s="12">
        <v>1.9342360000000001</v>
      </c>
      <c r="T69" s="12">
        <v>2.75</v>
      </c>
      <c r="U69" s="12">
        <v>99.212758399999998</v>
      </c>
      <c r="V69" s="12">
        <v>140.3833333</v>
      </c>
      <c r="W69" s="12">
        <v>7.1582903</v>
      </c>
      <c r="X69" s="12">
        <v>7.4798232999999996</v>
      </c>
      <c r="Y69" s="12">
        <v>6.4315781000000003</v>
      </c>
      <c r="Z69" s="12">
        <v>-11.5941198</v>
      </c>
      <c r="AA69" s="12">
        <v>86.0177166</v>
      </c>
      <c r="AB69" s="12">
        <v>11.166444800000001</v>
      </c>
      <c r="AC69" s="12">
        <v>20.503156100000002</v>
      </c>
      <c r="AD69" s="12">
        <v>25.687474900000002</v>
      </c>
      <c r="AE69" s="12">
        <v>43.5876509</v>
      </c>
      <c r="AF69" s="12">
        <v>0.35596719999999998</v>
      </c>
      <c r="AG69" s="7" t="s">
        <v>107</v>
      </c>
    </row>
    <row r="70" spans="1:33" s="11" customFormat="1" outlineLevel="1" x14ac:dyDescent="0.3">
      <c r="A70" s="11" t="s">
        <v>76</v>
      </c>
      <c r="B70" s="12">
        <v>1.1953549000000001</v>
      </c>
      <c r="C70" s="12">
        <v>100.22333329999999</v>
      </c>
      <c r="D70" s="12">
        <v>0.69323509999999999</v>
      </c>
      <c r="E70" s="17">
        <v>0.21666669999999999</v>
      </c>
      <c r="F70" s="13">
        <v>109.7</v>
      </c>
      <c r="G70" s="12">
        <v>-2.3657132999999999</v>
      </c>
      <c r="H70" s="12">
        <v>13.2716546</v>
      </c>
      <c r="I70" s="12">
        <v>-5.5024701</v>
      </c>
      <c r="J70" s="12">
        <v>0.46265820000000002</v>
      </c>
      <c r="K70" s="12">
        <v>5.1608169999999998</v>
      </c>
      <c r="L70" s="12">
        <v>1.7320085000000001</v>
      </c>
      <c r="M70" s="12">
        <v>-15.8993033</v>
      </c>
      <c r="N70" s="12">
        <v>13.1914143</v>
      </c>
      <c r="O70" s="12">
        <v>9.9646617000000006</v>
      </c>
      <c r="P70" s="7">
        <v>1038.721</v>
      </c>
      <c r="Q70" s="7">
        <v>216.49100000000001</v>
      </c>
      <c r="R70" s="7">
        <v>17.2</v>
      </c>
      <c r="S70" s="12">
        <v>1.9342360000000001</v>
      </c>
      <c r="T70" s="12">
        <v>2.5</v>
      </c>
      <c r="U70" s="12">
        <v>98.430595800000006</v>
      </c>
      <c r="V70" s="12">
        <v>140.0433333</v>
      </c>
      <c r="W70" s="12">
        <v>-3.8510502999999998</v>
      </c>
      <c r="X70" s="12">
        <v>13.2703983</v>
      </c>
      <c r="Y70" s="12">
        <v>10.628091</v>
      </c>
      <c r="Z70" s="12">
        <v>-10.1833685</v>
      </c>
      <c r="AA70" s="12">
        <v>84.311051000000006</v>
      </c>
      <c r="AB70" s="12">
        <v>10.816099899999999</v>
      </c>
      <c r="AC70" s="12">
        <v>20.6099192</v>
      </c>
      <c r="AD70" s="12">
        <v>26.937517</v>
      </c>
      <c r="AE70" s="12">
        <v>45.0627152</v>
      </c>
      <c r="AF70" s="12">
        <v>-0.82354539999999998</v>
      </c>
      <c r="AG70" s="7" t="s">
        <v>107</v>
      </c>
    </row>
    <row r="71" spans="1:33" s="11" customFormat="1" outlineLevel="1" x14ac:dyDescent="0.3">
      <c r="A71" s="11" t="s">
        <v>77</v>
      </c>
      <c r="B71" s="12">
        <v>1.5779679</v>
      </c>
      <c r="C71" s="12">
        <v>99.91</v>
      </c>
      <c r="D71" s="12">
        <v>0.48948940000000002</v>
      </c>
      <c r="E71" s="17">
        <v>0.1166667</v>
      </c>
      <c r="F71" s="13">
        <v>101.8233333</v>
      </c>
      <c r="G71" s="12">
        <v>11.552935099999999</v>
      </c>
      <c r="H71" s="12">
        <v>15.8452932</v>
      </c>
      <c r="I71" s="12">
        <v>-2.3994360000000001</v>
      </c>
      <c r="J71" s="12">
        <v>5.0162977</v>
      </c>
      <c r="K71" s="12">
        <v>3.5433778999999999</v>
      </c>
      <c r="L71" s="12">
        <v>6.3318599000000004</v>
      </c>
      <c r="M71" s="12">
        <v>5.3804737999999999</v>
      </c>
      <c r="N71" s="12">
        <v>-5.1458339999999998</v>
      </c>
      <c r="O71" s="12">
        <v>3.8394254000000001</v>
      </c>
      <c r="P71" s="7">
        <v>1072.0319999999999</v>
      </c>
      <c r="Q71" s="7">
        <v>219.58600000000001</v>
      </c>
      <c r="R71" s="7">
        <v>17</v>
      </c>
      <c r="S71" s="12">
        <v>0.57034220000000002</v>
      </c>
      <c r="T71" s="12">
        <v>2.5</v>
      </c>
      <c r="U71" s="12">
        <v>97.2522728</v>
      </c>
      <c r="V71" s="12">
        <v>139.72999999999999</v>
      </c>
      <c r="W71" s="12">
        <v>5.3395184000000002</v>
      </c>
      <c r="X71" s="12">
        <v>-4.1010894000000002</v>
      </c>
      <c r="Y71" s="12">
        <v>3.6618412</v>
      </c>
      <c r="Z71" s="12">
        <v>-8.6493667999999992</v>
      </c>
      <c r="AA71" s="12">
        <v>78.968004500000006</v>
      </c>
      <c r="AB71" s="12">
        <v>11.095290200000001</v>
      </c>
      <c r="AC71" s="12">
        <v>22.703970699999999</v>
      </c>
      <c r="AD71" s="12">
        <v>32.209752899999998</v>
      </c>
      <c r="AE71" s="12">
        <v>51.054833899999998</v>
      </c>
      <c r="AF71" s="12">
        <v>0.50366230000000001</v>
      </c>
      <c r="AG71" s="7" t="s">
        <v>107</v>
      </c>
    </row>
    <row r="72" spans="1:33" s="11" customFormat="1" outlineLevel="1" x14ac:dyDescent="0.3">
      <c r="A72" s="11" t="s">
        <v>78</v>
      </c>
      <c r="B72" s="12">
        <v>1.7505474000000001</v>
      </c>
      <c r="C72" s="12">
        <v>99.97</v>
      </c>
      <c r="D72" s="12">
        <v>0.25070199999999998</v>
      </c>
      <c r="E72" s="17">
        <v>0.05</v>
      </c>
      <c r="F72" s="13">
        <v>76.4033333</v>
      </c>
      <c r="G72" s="12">
        <v>42.478882900000002</v>
      </c>
      <c r="H72" s="12">
        <v>9.2186646000000003</v>
      </c>
      <c r="I72" s="12">
        <v>-11.515778900000001</v>
      </c>
      <c r="J72" s="12">
        <v>0.26796520000000001</v>
      </c>
      <c r="K72" s="12">
        <v>-1.0565867</v>
      </c>
      <c r="L72" s="12">
        <v>17.291262100000001</v>
      </c>
      <c r="M72" s="12">
        <v>1.0099792000000001</v>
      </c>
      <c r="N72" s="12">
        <v>-7.4921759000000003</v>
      </c>
      <c r="O72" s="12">
        <v>-0.33348480000000003</v>
      </c>
      <c r="P72" s="7">
        <v>1067.6130000000001</v>
      </c>
      <c r="Q72" s="7">
        <v>227.786</v>
      </c>
      <c r="R72" s="7">
        <v>17.600000000000001</v>
      </c>
      <c r="S72" s="12">
        <v>2.2813688000000001</v>
      </c>
      <c r="T72" s="12">
        <v>2.25</v>
      </c>
      <c r="U72" s="12">
        <v>97.648433100000005</v>
      </c>
      <c r="V72" s="12">
        <v>139.74</v>
      </c>
      <c r="W72" s="12">
        <v>-3.8980361000000001</v>
      </c>
      <c r="X72" s="12">
        <v>-7.5581918000000003</v>
      </c>
      <c r="Y72" s="12">
        <v>-2.4971386</v>
      </c>
      <c r="Z72" s="12">
        <v>-12.804743200000001</v>
      </c>
      <c r="AA72" s="12">
        <v>72.261830900000007</v>
      </c>
      <c r="AB72" s="12">
        <v>12.697881600000001</v>
      </c>
      <c r="AC72" s="12">
        <v>32.396694099999998</v>
      </c>
      <c r="AD72" s="12">
        <v>27.867193199999999</v>
      </c>
      <c r="AE72" s="12">
        <v>48.804476899999997</v>
      </c>
      <c r="AF72" s="12">
        <v>1.2386756000000001</v>
      </c>
      <c r="AG72" s="7" t="s">
        <v>107</v>
      </c>
    </row>
    <row r="73" spans="1:33" s="11" customFormat="1" outlineLevel="1" x14ac:dyDescent="0.3">
      <c r="A73" s="11" t="s">
        <v>79</v>
      </c>
      <c r="B73" s="12">
        <v>2.0633189000000001</v>
      </c>
      <c r="C73" s="12">
        <v>99.203333299999997</v>
      </c>
      <c r="D73" s="12">
        <v>-0.28813620000000001</v>
      </c>
      <c r="E73" s="17">
        <v>0.05</v>
      </c>
      <c r="F73" s="13">
        <v>53.9166667</v>
      </c>
      <c r="G73" s="12">
        <v>6.6601119000000004</v>
      </c>
      <c r="H73" s="12">
        <v>4.3825558999999998</v>
      </c>
      <c r="I73" s="12">
        <v>-1.2021964999999999</v>
      </c>
      <c r="J73" s="12">
        <v>1.8197098</v>
      </c>
      <c r="K73" s="12">
        <v>-0.32395230000000003</v>
      </c>
      <c r="L73" s="12">
        <v>-1.4099136999999999</v>
      </c>
      <c r="M73" s="12">
        <v>1.0650621</v>
      </c>
      <c r="N73" s="12">
        <v>3.8791258000000002</v>
      </c>
      <c r="O73" s="12">
        <v>-1.1502155000000001</v>
      </c>
      <c r="P73" s="7">
        <v>1073.079</v>
      </c>
      <c r="Q73" s="7">
        <v>217.91800000000001</v>
      </c>
      <c r="R73" s="7">
        <v>16.899999999999999</v>
      </c>
      <c r="S73" s="12">
        <v>2.0872864999999998</v>
      </c>
      <c r="T73" s="12">
        <v>2</v>
      </c>
      <c r="U73" s="12">
        <v>101.1021382</v>
      </c>
      <c r="V73" s="12">
        <v>140.22666670000001</v>
      </c>
      <c r="W73" s="12">
        <v>2.5773647999999998</v>
      </c>
      <c r="X73" s="12">
        <v>2.9255688000000002</v>
      </c>
      <c r="Y73" s="12">
        <v>-1.2406744999999999</v>
      </c>
      <c r="Z73" s="12">
        <v>-9.2164693</v>
      </c>
      <c r="AA73" s="12">
        <v>85.369815000000003</v>
      </c>
      <c r="AB73" s="12">
        <v>10.8390936</v>
      </c>
      <c r="AC73" s="12">
        <v>20.495818199999999</v>
      </c>
      <c r="AD73" s="12">
        <v>26.110408199999998</v>
      </c>
      <c r="AE73" s="12">
        <v>42.516029000000003</v>
      </c>
      <c r="AF73" s="12">
        <v>3.6001029</v>
      </c>
      <c r="AG73" s="12">
        <v>71.081669099999999</v>
      </c>
    </row>
    <row r="74" spans="1:33" s="11" customFormat="1" outlineLevel="1" x14ac:dyDescent="0.3">
      <c r="A74" s="11" t="s">
        <v>80</v>
      </c>
      <c r="B74" s="12">
        <v>2.2703967</v>
      </c>
      <c r="C74" s="12">
        <v>100.5233333</v>
      </c>
      <c r="D74" s="12">
        <v>0.29933149999999997</v>
      </c>
      <c r="E74" s="17">
        <v>0.05</v>
      </c>
      <c r="F74" s="13">
        <v>61.693333299999999</v>
      </c>
      <c r="G74" s="12">
        <v>-6.9109648000000004</v>
      </c>
      <c r="H74" s="12">
        <v>4.3879054999999996</v>
      </c>
      <c r="I74" s="12">
        <v>-2.2496830999999999</v>
      </c>
      <c r="J74" s="12">
        <v>2.0741314000000002</v>
      </c>
      <c r="K74" s="12">
        <v>-3.2326955000000002</v>
      </c>
      <c r="L74" s="12">
        <v>-1.9424832999999999</v>
      </c>
      <c r="M74" s="12">
        <v>10.500071</v>
      </c>
      <c r="N74" s="12">
        <v>3.6674600000000002E-2</v>
      </c>
      <c r="O74" s="12">
        <v>-10.715366599999999</v>
      </c>
      <c r="P74" s="7">
        <v>1076.758</v>
      </c>
      <c r="Q74" s="7">
        <v>220.59399999999999</v>
      </c>
      <c r="R74" s="7">
        <v>17</v>
      </c>
      <c r="S74" s="12">
        <v>2.3719165000000002</v>
      </c>
      <c r="T74" s="12">
        <v>2</v>
      </c>
      <c r="U74" s="12">
        <v>100.228554</v>
      </c>
      <c r="V74" s="12">
        <v>140.6333333</v>
      </c>
      <c r="W74" s="12">
        <v>0.1986097</v>
      </c>
      <c r="X74" s="12">
        <v>-0.95128520000000005</v>
      </c>
      <c r="Y74" s="12">
        <v>-10.546445800000001</v>
      </c>
      <c r="Z74" s="12">
        <v>-4.2393717999999998</v>
      </c>
      <c r="AA74" s="12">
        <v>79.593604799999994</v>
      </c>
      <c r="AB74" s="12">
        <v>10.3693253</v>
      </c>
      <c r="AC74" s="12">
        <v>22.121258600000001</v>
      </c>
      <c r="AD74" s="12">
        <v>25.8771421</v>
      </c>
      <c r="AE74" s="12">
        <v>39.0930532</v>
      </c>
      <c r="AF74" s="12">
        <v>2.4439505000000001</v>
      </c>
      <c r="AG74" s="12">
        <v>70.788495999999995</v>
      </c>
    </row>
    <row r="75" spans="1:33" s="11" customFormat="1" outlineLevel="1" x14ac:dyDescent="0.3">
      <c r="A75" s="11" t="s">
        <v>81</v>
      </c>
      <c r="B75" s="12">
        <v>2.2457793000000001</v>
      </c>
      <c r="C75" s="12">
        <v>100.1533333</v>
      </c>
      <c r="D75" s="12">
        <v>0.24355250000000001</v>
      </c>
      <c r="E75" s="17">
        <v>0.05</v>
      </c>
      <c r="F75" s="13">
        <v>50.233333299999998</v>
      </c>
      <c r="G75" s="12">
        <v>2.8859148000000001</v>
      </c>
      <c r="H75" s="12">
        <v>5.4707540000000003</v>
      </c>
      <c r="I75" s="12">
        <v>-1.7324945</v>
      </c>
      <c r="J75" s="12">
        <v>2.8318400000000001</v>
      </c>
      <c r="K75" s="12">
        <v>2.7271459</v>
      </c>
      <c r="L75" s="12">
        <v>1.3930308</v>
      </c>
      <c r="M75" s="12">
        <v>3.2585943999999998</v>
      </c>
      <c r="N75" s="12">
        <v>6.3579499999999997E-2</v>
      </c>
      <c r="O75" s="12">
        <v>-0.74522710000000003</v>
      </c>
      <c r="P75" s="7">
        <v>1090.3320000000001</v>
      </c>
      <c r="Q75" s="7">
        <v>226.68799999999999</v>
      </c>
      <c r="R75" s="7">
        <v>17.2</v>
      </c>
      <c r="S75" s="12">
        <v>2.0415879000000001</v>
      </c>
      <c r="T75" s="12">
        <v>2</v>
      </c>
      <c r="U75" s="12">
        <v>99.009599300000005</v>
      </c>
      <c r="V75" s="12">
        <v>139.65333330000001</v>
      </c>
      <c r="W75" s="12">
        <v>-4.3286797999999997</v>
      </c>
      <c r="X75" s="12">
        <v>-2.3230061000000002</v>
      </c>
      <c r="Y75" s="12">
        <v>-0.98281640000000003</v>
      </c>
      <c r="Z75" s="12">
        <v>-10.3577616</v>
      </c>
      <c r="AA75" s="12">
        <v>79.984891599999997</v>
      </c>
      <c r="AB75" s="12">
        <v>10.987780600000001</v>
      </c>
      <c r="AC75" s="12">
        <v>22.8491377</v>
      </c>
      <c r="AD75" s="12">
        <v>30.4353391</v>
      </c>
      <c r="AE75" s="12">
        <v>48.907682299999998</v>
      </c>
      <c r="AF75" s="12">
        <v>2.3358902000000001</v>
      </c>
      <c r="AG75" s="12">
        <v>74.025739999999999</v>
      </c>
    </row>
    <row r="76" spans="1:33" s="11" customFormat="1" outlineLevel="1" x14ac:dyDescent="0.3">
      <c r="A76" s="11" t="s">
        <v>82</v>
      </c>
      <c r="B76" s="12">
        <v>2.5478125</v>
      </c>
      <c r="C76" s="12">
        <v>100.1233333</v>
      </c>
      <c r="D76" s="12">
        <v>0.1533793</v>
      </c>
      <c r="E76" s="17">
        <v>0.05</v>
      </c>
      <c r="F76" s="13">
        <v>43.57</v>
      </c>
      <c r="G76" s="12">
        <v>-1.5877614</v>
      </c>
      <c r="H76" s="12">
        <v>-0.17109240000000001</v>
      </c>
      <c r="I76" s="12">
        <v>-10.626923400000001</v>
      </c>
      <c r="J76" s="12">
        <v>2.1227193</v>
      </c>
      <c r="K76" s="12">
        <v>5.1665866999999999</v>
      </c>
      <c r="L76" s="12">
        <v>-2.2462097999999999</v>
      </c>
      <c r="M76" s="12">
        <v>0.42827670000000001</v>
      </c>
      <c r="N76" s="12">
        <v>0.56351410000000002</v>
      </c>
      <c r="O76" s="12">
        <v>1.0441703</v>
      </c>
      <c r="P76" s="7">
        <v>1106.28</v>
      </c>
      <c r="Q76" s="7">
        <v>230.96700000000001</v>
      </c>
      <c r="R76" s="7">
        <v>17.3</v>
      </c>
      <c r="S76" s="12">
        <v>0.87360590000000005</v>
      </c>
      <c r="T76" s="12">
        <v>1.75</v>
      </c>
      <c r="U76" s="12">
        <v>99.659708499999994</v>
      </c>
      <c r="V76" s="12">
        <v>138.4533333</v>
      </c>
      <c r="W76" s="12">
        <v>-7.0389100999999998</v>
      </c>
      <c r="X76" s="12">
        <v>-0.74303490000000005</v>
      </c>
      <c r="Y76" s="12">
        <v>1.4554366999999999</v>
      </c>
      <c r="Z76" s="12">
        <v>-10.852281899999999</v>
      </c>
      <c r="AA76" s="12">
        <v>75.5902277</v>
      </c>
      <c r="AB76" s="12">
        <v>12.2278495</v>
      </c>
      <c r="AC76" s="12">
        <v>31.655575500000001</v>
      </c>
      <c r="AD76" s="12">
        <v>26.624723599999999</v>
      </c>
      <c r="AE76" s="12">
        <v>47.641214699999999</v>
      </c>
      <c r="AF76" s="12">
        <v>7.4045170000000002</v>
      </c>
      <c r="AG76" s="12">
        <v>72.734035599999999</v>
      </c>
    </row>
    <row r="77" spans="1:33" s="11" customFormat="1" outlineLevel="1" x14ac:dyDescent="0.3">
      <c r="A77" s="11" t="s">
        <v>83</v>
      </c>
      <c r="B77" s="12">
        <v>1.9366078</v>
      </c>
      <c r="C77" s="12">
        <v>99.246666700000006</v>
      </c>
      <c r="D77" s="12">
        <v>4.3681400000000002E-2</v>
      </c>
      <c r="E77" s="17">
        <v>3.3333300000000003E-2</v>
      </c>
      <c r="F77" s="13">
        <v>33.696666700000002</v>
      </c>
      <c r="G77" s="12">
        <v>-8.6113427999999992</v>
      </c>
      <c r="H77" s="12">
        <v>10.706594000000001</v>
      </c>
      <c r="I77" s="12">
        <v>4.0123182999999996</v>
      </c>
      <c r="J77" s="12">
        <v>3.6946992999999999</v>
      </c>
      <c r="K77" s="12">
        <v>0.83374559999999998</v>
      </c>
      <c r="L77" s="12">
        <v>4.6778820999999997</v>
      </c>
      <c r="M77" s="12">
        <v>0.52691900000000003</v>
      </c>
      <c r="N77" s="12">
        <v>8.6449756000000004</v>
      </c>
      <c r="O77" s="12">
        <v>5.5516423000000001</v>
      </c>
      <c r="P77" s="7">
        <v>1129.0350000000001</v>
      </c>
      <c r="Q77" s="7">
        <v>224.09800000000001</v>
      </c>
      <c r="R77" s="7">
        <v>16.600000000000001</v>
      </c>
      <c r="S77" s="12">
        <v>-2.3786113000000002</v>
      </c>
      <c r="T77" s="12">
        <v>1.75</v>
      </c>
      <c r="U77" s="12">
        <v>101.74208950000001</v>
      </c>
      <c r="V77" s="12">
        <v>138.30000000000001</v>
      </c>
      <c r="W77" s="12">
        <v>-30.176908000000001</v>
      </c>
      <c r="X77" s="12">
        <v>2.5290222999999998</v>
      </c>
      <c r="Y77" s="12">
        <v>4.7083902000000002</v>
      </c>
      <c r="Z77" s="12">
        <v>-8.2124573999999999</v>
      </c>
      <c r="AA77" s="12">
        <v>83.358443500000007</v>
      </c>
      <c r="AB77" s="12">
        <v>10.754550699999999</v>
      </c>
      <c r="AC77" s="12">
        <v>19.694503999999998</v>
      </c>
      <c r="AD77" s="12">
        <v>25.272800700000001</v>
      </c>
      <c r="AE77" s="12">
        <v>42.022465500000003</v>
      </c>
      <c r="AF77" s="12">
        <v>5.7847708000000004</v>
      </c>
      <c r="AG77" s="12">
        <v>71.949544099999997</v>
      </c>
    </row>
    <row r="78" spans="1:33" s="11" customFormat="1" outlineLevel="1" x14ac:dyDescent="0.3">
      <c r="A78" s="11" t="s">
        <v>84</v>
      </c>
      <c r="B78" s="12">
        <v>2.4666936000000002</v>
      </c>
      <c r="C78" s="12">
        <v>100.42</v>
      </c>
      <c r="D78" s="12">
        <v>-0.10279530000000001</v>
      </c>
      <c r="E78" s="17">
        <v>0</v>
      </c>
      <c r="F78" s="13">
        <v>45.523333299999997</v>
      </c>
      <c r="G78" s="12">
        <v>-6.1806215</v>
      </c>
      <c r="H78" s="12">
        <v>6.3595872</v>
      </c>
      <c r="I78" s="12">
        <v>1.0095178</v>
      </c>
      <c r="J78" s="12">
        <v>3.1826349999999999</v>
      </c>
      <c r="K78" s="12">
        <v>4.6643667999999998</v>
      </c>
      <c r="L78" s="12">
        <v>4.4559043999999997</v>
      </c>
      <c r="M78" s="12">
        <v>0.8604385</v>
      </c>
      <c r="N78" s="12">
        <v>1.4948598</v>
      </c>
      <c r="O78" s="12">
        <v>19.088834299999998</v>
      </c>
      <c r="P78" s="7">
        <v>1149.7460000000001</v>
      </c>
      <c r="Q78" s="7">
        <v>210.1</v>
      </c>
      <c r="R78" s="7">
        <v>15.4</v>
      </c>
      <c r="S78" s="12">
        <v>-2.2221297999999998</v>
      </c>
      <c r="T78" s="12">
        <v>1.25</v>
      </c>
      <c r="U78" s="12">
        <v>100.9599269</v>
      </c>
      <c r="V78" s="12">
        <v>138.25</v>
      </c>
      <c r="W78" s="12">
        <v>-14.6790001</v>
      </c>
      <c r="X78" s="12">
        <v>1.5893702000000001</v>
      </c>
      <c r="Y78" s="12">
        <v>19.2937713</v>
      </c>
      <c r="Z78" s="12">
        <v>-10.3217721</v>
      </c>
      <c r="AA78" s="12">
        <v>83.533779300000006</v>
      </c>
      <c r="AB78" s="12">
        <v>10.663777400000001</v>
      </c>
      <c r="AC78" s="12">
        <v>22.228906200000001</v>
      </c>
      <c r="AD78" s="12">
        <v>25.729934499999999</v>
      </c>
      <c r="AE78" s="12">
        <v>45.647434400000002</v>
      </c>
      <c r="AF78" s="12">
        <v>7.2194903000000004</v>
      </c>
      <c r="AG78" s="12">
        <v>72.526190700000001</v>
      </c>
    </row>
    <row r="79" spans="1:33" s="11" customFormat="1" outlineLevel="1" x14ac:dyDescent="0.3">
      <c r="A79" s="11" t="s">
        <v>85</v>
      </c>
      <c r="B79" s="12">
        <v>1.6225508</v>
      </c>
      <c r="C79" s="12">
        <v>100.42</v>
      </c>
      <c r="D79" s="12">
        <v>0.26625840000000001</v>
      </c>
      <c r="E79" s="17">
        <v>0</v>
      </c>
      <c r="F79" s="13">
        <v>45.786666699999998</v>
      </c>
      <c r="G79" s="12">
        <v>2.7193477000000001</v>
      </c>
      <c r="H79" s="12">
        <v>3.7490573999999999</v>
      </c>
      <c r="I79" s="12">
        <v>-1.4797422</v>
      </c>
      <c r="J79" s="12">
        <v>2.3496169999999998</v>
      </c>
      <c r="K79" s="12">
        <v>0.80115000000000003</v>
      </c>
      <c r="L79" s="12">
        <v>6.7129342999999997</v>
      </c>
      <c r="M79" s="12">
        <v>6.6575354000000004</v>
      </c>
      <c r="N79" s="12">
        <v>16.390003199999999</v>
      </c>
      <c r="O79" s="12">
        <v>5.2624097000000001</v>
      </c>
      <c r="P79" s="7">
        <v>1183.1469999999999</v>
      </c>
      <c r="Q79" s="7">
        <v>204.547</v>
      </c>
      <c r="R79" s="7">
        <v>14.7</v>
      </c>
      <c r="S79" s="12">
        <v>-0.91834150000000003</v>
      </c>
      <c r="T79" s="12">
        <v>1.25</v>
      </c>
      <c r="U79" s="12">
        <v>100.8888212</v>
      </c>
      <c r="V79" s="12">
        <v>136.80666669999999</v>
      </c>
      <c r="W79" s="12">
        <v>-18.068749400000002</v>
      </c>
      <c r="X79" s="12">
        <v>18.0540871</v>
      </c>
      <c r="Y79" s="12">
        <v>6.0458072999999999</v>
      </c>
      <c r="Z79" s="12">
        <v>-5.5547268000000001</v>
      </c>
      <c r="AA79" s="12">
        <v>79.915149799999995</v>
      </c>
      <c r="AB79" s="12">
        <v>11.476690400000001</v>
      </c>
      <c r="AC79" s="12">
        <v>23.963217400000001</v>
      </c>
      <c r="AD79" s="12">
        <v>34.636923600000003</v>
      </c>
      <c r="AE79" s="12">
        <v>49.995068400000001</v>
      </c>
      <c r="AF79" s="12">
        <v>8.5131575000000002</v>
      </c>
      <c r="AG79" s="12">
        <v>72.463371499999994</v>
      </c>
    </row>
    <row r="80" spans="1:33" s="11" customFormat="1" outlineLevel="1" x14ac:dyDescent="0.3">
      <c r="A80" s="11" t="s">
        <v>86</v>
      </c>
      <c r="B80" s="12">
        <v>1.866331</v>
      </c>
      <c r="C80" s="12">
        <v>100.89333329999999</v>
      </c>
      <c r="D80" s="12">
        <v>0.7690515</v>
      </c>
      <c r="E80" s="17">
        <v>0</v>
      </c>
      <c r="F80" s="13">
        <v>49.186666700000004</v>
      </c>
      <c r="G80" s="12">
        <v>5.5883050000000001</v>
      </c>
      <c r="H80" s="12">
        <v>8.7897770000000008</v>
      </c>
      <c r="I80" s="12">
        <v>-9.9220044000000005</v>
      </c>
      <c r="J80" s="12">
        <v>4.0638838000000002</v>
      </c>
      <c r="K80" s="12">
        <v>1.4285235000000001</v>
      </c>
      <c r="L80" s="12">
        <v>3.1568543</v>
      </c>
      <c r="M80" s="12">
        <v>1.6620778</v>
      </c>
      <c r="N80" s="12">
        <v>17.6814787</v>
      </c>
      <c r="O80" s="12">
        <v>-0.53134440000000005</v>
      </c>
      <c r="P80" s="7">
        <v>1166.913</v>
      </c>
      <c r="Q80" s="7">
        <v>192.33600000000001</v>
      </c>
      <c r="R80" s="7">
        <v>14.2</v>
      </c>
      <c r="S80" s="12">
        <v>2.3236067999999999</v>
      </c>
      <c r="T80" s="12">
        <v>1.25</v>
      </c>
      <c r="U80" s="12">
        <v>101.50845649999999</v>
      </c>
      <c r="V80" s="12">
        <v>136.1</v>
      </c>
      <c r="W80" s="12">
        <v>-5.2292661000000003</v>
      </c>
      <c r="X80" s="12">
        <v>19.909888500000001</v>
      </c>
      <c r="Y80" s="12">
        <v>1.1499914</v>
      </c>
      <c r="Z80" s="12">
        <v>-6.2282295000000003</v>
      </c>
      <c r="AA80" s="12">
        <v>74.108955800000004</v>
      </c>
      <c r="AB80" s="12">
        <v>12.1165886</v>
      </c>
      <c r="AC80" s="12">
        <v>30.882679899999999</v>
      </c>
      <c r="AD80" s="12">
        <v>30.0447548</v>
      </c>
      <c r="AE80" s="12">
        <v>45.357712300000003</v>
      </c>
      <c r="AF80" s="12">
        <v>3.1145246000000002</v>
      </c>
      <c r="AG80" s="12">
        <v>72.436410100000003</v>
      </c>
    </row>
    <row r="81" spans="1:33" s="11" customFormat="1" outlineLevel="1" x14ac:dyDescent="0.3">
      <c r="A81" s="11" t="s">
        <v>87</v>
      </c>
      <c r="B81" s="12">
        <v>3.0351661999999999</v>
      </c>
      <c r="C81" s="12">
        <v>101</v>
      </c>
      <c r="D81" s="12">
        <v>1.766642</v>
      </c>
      <c r="E81" s="17">
        <v>0</v>
      </c>
      <c r="F81" s="13">
        <v>53.68</v>
      </c>
      <c r="G81" s="12">
        <v>14.3040696</v>
      </c>
      <c r="H81" s="12">
        <v>5.0797822999999998</v>
      </c>
      <c r="I81" s="12">
        <v>1.8096549</v>
      </c>
      <c r="J81" s="12">
        <v>4.2867657000000001</v>
      </c>
      <c r="K81" s="12">
        <v>1.9730003</v>
      </c>
      <c r="L81" s="12">
        <v>5.8815001999999996</v>
      </c>
      <c r="M81" s="12">
        <v>8.5190736999999999</v>
      </c>
      <c r="N81" s="12">
        <v>14.8712786</v>
      </c>
      <c r="O81" s="12">
        <v>5.5038869999999998</v>
      </c>
      <c r="P81" s="7">
        <v>1168.68</v>
      </c>
      <c r="Q81" s="7">
        <v>193.136</v>
      </c>
      <c r="R81" s="7">
        <v>14.2</v>
      </c>
      <c r="S81" s="12">
        <v>1.0264872</v>
      </c>
      <c r="T81" s="12">
        <v>1.25</v>
      </c>
      <c r="U81" s="12">
        <v>104.179999</v>
      </c>
      <c r="V81" s="12">
        <v>135.84666669999999</v>
      </c>
      <c r="W81" s="12">
        <v>-0.24479799999999999</v>
      </c>
      <c r="X81" s="12">
        <v>27.095247499999999</v>
      </c>
      <c r="Y81" s="12">
        <v>7.2411203000000004</v>
      </c>
      <c r="Z81" s="12">
        <v>-6.0890513999999998</v>
      </c>
      <c r="AA81" s="12">
        <v>81.510011599999999</v>
      </c>
      <c r="AB81" s="12">
        <v>11.0420544</v>
      </c>
      <c r="AC81" s="12">
        <v>20.348769900000001</v>
      </c>
      <c r="AD81" s="12">
        <v>29.896137</v>
      </c>
      <c r="AE81" s="12">
        <v>41.935408600000002</v>
      </c>
      <c r="AF81" s="12">
        <v>3.6761843999999999</v>
      </c>
      <c r="AG81" s="12">
        <v>70.386558399999998</v>
      </c>
    </row>
    <row r="82" spans="1:33" s="11" customFormat="1" outlineLevel="1" x14ac:dyDescent="0.3">
      <c r="A82" s="11" t="s">
        <v>88</v>
      </c>
      <c r="B82" s="12">
        <v>2.3084487</v>
      </c>
      <c r="C82" s="12">
        <v>102.11333329999999</v>
      </c>
      <c r="D82" s="12">
        <v>1.6862509999999999</v>
      </c>
      <c r="E82" s="17">
        <v>0</v>
      </c>
      <c r="F82" s="13">
        <v>49.67</v>
      </c>
      <c r="G82" s="12">
        <v>16.995101600000002</v>
      </c>
      <c r="H82" s="12">
        <v>8.9115532999999996</v>
      </c>
      <c r="I82" s="12">
        <v>-0.89421079999999997</v>
      </c>
      <c r="J82" s="12">
        <v>4.1765441000000001</v>
      </c>
      <c r="K82" s="12">
        <v>2.3539710999999999</v>
      </c>
      <c r="L82" s="12">
        <v>5.1961615999999999</v>
      </c>
      <c r="M82" s="12">
        <v>11.8171094</v>
      </c>
      <c r="N82" s="12">
        <v>23.2947773</v>
      </c>
      <c r="O82" s="12">
        <v>7.0580018999999998</v>
      </c>
      <c r="P82" s="7">
        <v>1189.231</v>
      </c>
      <c r="Q82" s="7">
        <v>191.53299999999999</v>
      </c>
      <c r="R82" s="7">
        <v>13.9</v>
      </c>
      <c r="S82" s="12">
        <v>4.4899867999999996</v>
      </c>
      <c r="T82" s="12">
        <v>1.25</v>
      </c>
      <c r="U82" s="12">
        <v>103.021992</v>
      </c>
      <c r="V82" s="12">
        <v>134.40333330000001</v>
      </c>
      <c r="W82" s="12">
        <v>8.9055239999999998</v>
      </c>
      <c r="X82" s="12">
        <v>24.689051299999999</v>
      </c>
      <c r="Y82" s="12">
        <v>8.5358569000000006</v>
      </c>
      <c r="Z82" s="12">
        <v>-8.3818164999999993</v>
      </c>
      <c r="AA82" s="12">
        <v>81.151240400000006</v>
      </c>
      <c r="AB82" s="12">
        <v>11.100891000000001</v>
      </c>
      <c r="AC82" s="12">
        <v>23.3521155</v>
      </c>
      <c r="AD82" s="12">
        <v>29.303273699999998</v>
      </c>
      <c r="AE82" s="12">
        <v>45.234951000000002</v>
      </c>
      <c r="AF82" s="12">
        <v>4.1256988999999997</v>
      </c>
      <c r="AG82" s="12">
        <v>68.793092900000005</v>
      </c>
    </row>
    <row r="83" spans="1:33" s="11" customFormat="1" outlineLevel="1" x14ac:dyDescent="0.3">
      <c r="A83" s="11" t="s">
        <v>89</v>
      </c>
      <c r="B83" s="12">
        <v>3.0333996999999999</v>
      </c>
      <c r="C83" s="12">
        <v>102.1166667</v>
      </c>
      <c r="D83" s="12">
        <v>1.6895705000000001</v>
      </c>
      <c r="E83" s="17">
        <v>0</v>
      </c>
      <c r="F83" s="13">
        <v>52.11</v>
      </c>
      <c r="G83" s="12">
        <v>7.0384647999999999</v>
      </c>
      <c r="H83" s="12">
        <v>7.6127434999999997</v>
      </c>
      <c r="I83" s="12">
        <v>-1.3556488</v>
      </c>
      <c r="J83" s="12">
        <v>3.4214568999999999</v>
      </c>
      <c r="K83" s="12">
        <v>3.0746053</v>
      </c>
      <c r="L83" s="12">
        <v>3.0563698000000001</v>
      </c>
      <c r="M83" s="12">
        <v>3.2554561</v>
      </c>
      <c r="N83" s="12">
        <v>17.642470599999999</v>
      </c>
      <c r="O83" s="12">
        <v>9.7013207999999995</v>
      </c>
      <c r="P83" s="7">
        <v>1205.365</v>
      </c>
      <c r="Q83" s="7">
        <v>189.24600000000001</v>
      </c>
      <c r="R83" s="7">
        <v>13.6</v>
      </c>
      <c r="S83" s="12">
        <v>4.1122451</v>
      </c>
      <c r="T83" s="12">
        <v>1.25</v>
      </c>
      <c r="U83" s="12">
        <v>102.6359896</v>
      </c>
      <c r="V83" s="12">
        <v>132.8833333</v>
      </c>
      <c r="W83" s="12">
        <v>-6.6818073</v>
      </c>
      <c r="X83" s="12">
        <v>19.7710303</v>
      </c>
      <c r="Y83" s="12">
        <v>10.924545699999999</v>
      </c>
      <c r="Z83" s="12">
        <v>-4.9251313000000003</v>
      </c>
      <c r="AA83" s="12">
        <v>78.920413400000001</v>
      </c>
      <c r="AB83" s="12">
        <v>11.801907</v>
      </c>
      <c r="AC83" s="12">
        <v>23.497869999999999</v>
      </c>
      <c r="AD83" s="12">
        <v>38.272599100000001</v>
      </c>
      <c r="AE83" s="12">
        <v>51.178209899999999</v>
      </c>
      <c r="AF83" s="12">
        <v>5.0453577999999997</v>
      </c>
      <c r="AG83" s="12">
        <v>69.394003999999995</v>
      </c>
    </row>
    <row r="84" spans="1:33" s="11" customFormat="1" outlineLevel="1" x14ac:dyDescent="0.3">
      <c r="A84" s="11" t="s">
        <v>90</v>
      </c>
      <c r="B84" s="12">
        <v>2.9900169999999999</v>
      </c>
      <c r="C84" s="12">
        <v>102.6233333</v>
      </c>
      <c r="D84" s="12">
        <v>1.7146821999999999</v>
      </c>
      <c r="E84" s="17">
        <v>0</v>
      </c>
      <c r="F84" s="13">
        <v>61.53</v>
      </c>
      <c r="G84" s="12">
        <v>-5.6094277000000003</v>
      </c>
      <c r="H84" s="12">
        <v>1.6407940999999999</v>
      </c>
      <c r="I84" s="12">
        <v>-7.0513111000000004</v>
      </c>
      <c r="J84" s="12">
        <v>3.3632843000000001</v>
      </c>
      <c r="K84" s="12">
        <v>3.0800033</v>
      </c>
      <c r="L84" s="12">
        <v>-0.6786259</v>
      </c>
      <c r="M84" s="12">
        <v>2.5716529000000001</v>
      </c>
      <c r="N84" s="12">
        <v>-1.3677876</v>
      </c>
      <c r="O84" s="12">
        <v>10.5174503</v>
      </c>
      <c r="P84" s="7">
        <v>1216.5989999999999</v>
      </c>
      <c r="Q84" s="7">
        <v>187.78899999999999</v>
      </c>
      <c r="R84" s="7">
        <v>13.4</v>
      </c>
      <c r="S84" s="12">
        <v>2.4388269</v>
      </c>
      <c r="T84" s="12">
        <v>1.25</v>
      </c>
      <c r="U84" s="12">
        <v>103.31657269999999</v>
      </c>
      <c r="V84" s="12">
        <v>133.46666669999999</v>
      </c>
      <c r="W84" s="12">
        <v>-4.3697282</v>
      </c>
      <c r="X84" s="12">
        <v>2.1762975999999998</v>
      </c>
      <c r="Y84" s="12">
        <v>11.7440198</v>
      </c>
      <c r="Z84" s="12">
        <v>-10.2415357</v>
      </c>
      <c r="AA84" s="12">
        <v>74.337594899999999</v>
      </c>
      <c r="AB84" s="12">
        <v>12.009585299999999</v>
      </c>
      <c r="AC84" s="12">
        <v>30.5260544</v>
      </c>
      <c r="AD84" s="12">
        <v>28.935059200000001</v>
      </c>
      <c r="AE84" s="12">
        <v>47.771425700000002</v>
      </c>
      <c r="AF84" s="12">
        <v>5.6914544999999999</v>
      </c>
      <c r="AG84" s="12">
        <v>70.175227000000007</v>
      </c>
    </row>
    <row r="85" spans="1:33" s="11" customFormat="1" outlineLevel="1" x14ac:dyDescent="0.3">
      <c r="A85" s="11" t="s">
        <v>91</v>
      </c>
      <c r="B85" s="12">
        <v>2.2828298</v>
      </c>
      <c r="C85" s="12">
        <v>102.5466667</v>
      </c>
      <c r="D85" s="12">
        <v>1.5313532000000001</v>
      </c>
      <c r="E85" s="17">
        <v>0</v>
      </c>
      <c r="F85" s="13">
        <v>66.806666699999994</v>
      </c>
      <c r="G85" s="12">
        <v>5.3472565000000003</v>
      </c>
      <c r="H85" s="12">
        <v>3.8937634999999999</v>
      </c>
      <c r="I85" s="12">
        <v>1.3938155999999999</v>
      </c>
      <c r="J85" s="12">
        <v>4.0631154</v>
      </c>
      <c r="K85" s="12">
        <v>2.1343627000000001</v>
      </c>
      <c r="L85" s="12">
        <v>4.2428156000000001</v>
      </c>
      <c r="M85" s="12">
        <v>3.9024567999999999</v>
      </c>
      <c r="N85" s="12">
        <v>9.9067232000000001</v>
      </c>
      <c r="O85" s="12">
        <v>7.7296648000000001</v>
      </c>
      <c r="P85" s="7">
        <v>1226.1469999999999</v>
      </c>
      <c r="Q85" s="7">
        <v>174.547</v>
      </c>
      <c r="R85" s="7">
        <v>12.5</v>
      </c>
      <c r="S85" s="12">
        <v>4.2466537999999998</v>
      </c>
      <c r="T85" s="12">
        <v>1.25</v>
      </c>
      <c r="U85" s="12">
        <v>106.1709584</v>
      </c>
      <c r="V85" s="12">
        <v>132.52000000000001</v>
      </c>
      <c r="W85" s="12">
        <v>22.282208600000001</v>
      </c>
      <c r="X85" s="12">
        <v>8.8440651999999993</v>
      </c>
      <c r="Y85" s="12">
        <v>10.598730099999999</v>
      </c>
      <c r="Z85" s="12">
        <v>-6.3109310000000001</v>
      </c>
      <c r="AA85" s="12">
        <v>79.600592500000005</v>
      </c>
      <c r="AB85" s="12">
        <v>11.571632599999999</v>
      </c>
      <c r="AC85" s="12">
        <v>19.861232300000001</v>
      </c>
      <c r="AD85" s="12">
        <v>29.7677063</v>
      </c>
      <c r="AE85" s="12">
        <v>42.428554300000002</v>
      </c>
      <c r="AF85" s="12">
        <v>5.3118347000000004</v>
      </c>
      <c r="AG85" s="12">
        <v>66.373700299999996</v>
      </c>
    </row>
    <row r="86" spans="1:33" s="11" customFormat="1" outlineLevel="1" x14ac:dyDescent="0.3">
      <c r="A86" s="11" t="s">
        <v>92</v>
      </c>
      <c r="B86" s="12">
        <v>2.5023559999999998</v>
      </c>
      <c r="C86" s="12">
        <v>104.0133333</v>
      </c>
      <c r="D86" s="12">
        <v>1.8606777000000001</v>
      </c>
      <c r="E86" s="17">
        <v>0</v>
      </c>
      <c r="F86" s="13">
        <v>74.5</v>
      </c>
      <c r="G86" s="12">
        <v>0.56990019999999997</v>
      </c>
      <c r="H86" s="12">
        <v>0.94005669999999997</v>
      </c>
      <c r="I86" s="12">
        <v>-0.75883210000000001</v>
      </c>
      <c r="J86" s="12">
        <v>4.2345541000000004</v>
      </c>
      <c r="K86" s="12">
        <v>2.9597742999999999</v>
      </c>
      <c r="L86" s="12">
        <v>-1.8855219000000001</v>
      </c>
      <c r="M86" s="12">
        <v>2.5427867000000002</v>
      </c>
      <c r="N86" s="12">
        <v>5.3919645999999997</v>
      </c>
      <c r="O86" s="12">
        <v>-0.78432880000000005</v>
      </c>
      <c r="P86" s="7">
        <v>1227.973</v>
      </c>
      <c r="Q86" s="7">
        <v>174.01499999999999</v>
      </c>
      <c r="R86" s="7">
        <v>12.4</v>
      </c>
      <c r="S86" s="12">
        <v>2.5269583</v>
      </c>
      <c r="T86" s="12">
        <v>1</v>
      </c>
      <c r="U86" s="12">
        <v>105.2872162</v>
      </c>
      <c r="V86" s="12">
        <v>127.4033333</v>
      </c>
      <c r="W86" s="12">
        <v>28.525717</v>
      </c>
      <c r="X86" s="12">
        <v>14.508733899999999</v>
      </c>
      <c r="Y86" s="12">
        <v>5.0902323000000003</v>
      </c>
      <c r="Z86" s="12">
        <v>-4.9951638999999997</v>
      </c>
      <c r="AA86" s="12">
        <v>80.812216500000005</v>
      </c>
      <c r="AB86" s="12">
        <v>10.530664099999999</v>
      </c>
      <c r="AC86" s="12">
        <v>22.695305000000001</v>
      </c>
      <c r="AD86" s="12">
        <v>30.177611599999999</v>
      </c>
      <c r="AE86" s="12">
        <v>42.782023299999999</v>
      </c>
      <c r="AF86" s="12">
        <v>4.9152360000000002</v>
      </c>
      <c r="AG86" s="12">
        <v>65.762175999999997</v>
      </c>
    </row>
    <row r="87" spans="1:33" s="11" customFormat="1" outlineLevel="1" x14ac:dyDescent="0.3">
      <c r="A87" s="11" t="s">
        <v>93</v>
      </c>
      <c r="B87" s="12">
        <v>1.7229988000000001</v>
      </c>
      <c r="C87" s="12">
        <v>104.3666667</v>
      </c>
      <c r="D87" s="12">
        <v>2.2033621999999999</v>
      </c>
      <c r="E87" s="17">
        <v>0</v>
      </c>
      <c r="F87" s="13">
        <v>75.223333299999993</v>
      </c>
      <c r="G87" s="12">
        <v>-2.085693</v>
      </c>
      <c r="H87" s="12">
        <v>4.2027722000000001</v>
      </c>
      <c r="I87" s="12">
        <v>0.40684239999999999</v>
      </c>
      <c r="J87" s="12">
        <v>4.6045550000000004</v>
      </c>
      <c r="K87" s="12">
        <v>3.5376816999999998</v>
      </c>
      <c r="L87" s="12">
        <v>-1.0564496000000001</v>
      </c>
      <c r="M87" s="12">
        <v>3.2376105000000002</v>
      </c>
      <c r="N87" s="12">
        <v>1.0505817</v>
      </c>
      <c r="O87" s="12">
        <v>2.2917307</v>
      </c>
      <c r="P87" s="7">
        <v>1232.6659999999999</v>
      </c>
      <c r="Q87" s="7">
        <v>171.47399999999999</v>
      </c>
      <c r="R87" s="7">
        <v>12.2</v>
      </c>
      <c r="S87" s="12">
        <v>2.3576120999999999</v>
      </c>
      <c r="T87" s="12">
        <v>1</v>
      </c>
      <c r="U87" s="12">
        <v>104.880898</v>
      </c>
      <c r="V87" s="12">
        <v>125.99666670000001</v>
      </c>
      <c r="W87" s="12">
        <v>18.111950799999999</v>
      </c>
      <c r="X87" s="12">
        <v>11.745150900000001</v>
      </c>
      <c r="Y87" s="12">
        <v>7.8395428000000003</v>
      </c>
      <c r="Z87" s="12">
        <v>-4.5063309</v>
      </c>
      <c r="AA87" s="12">
        <v>77.921946899999995</v>
      </c>
      <c r="AB87" s="12">
        <v>11.1527347</v>
      </c>
      <c r="AC87" s="12">
        <v>22.863442200000001</v>
      </c>
      <c r="AD87" s="12">
        <v>38.170831800000002</v>
      </c>
      <c r="AE87" s="12">
        <v>49.2542689</v>
      </c>
      <c r="AF87" s="12">
        <v>4.2605715000000002</v>
      </c>
      <c r="AG87" s="12">
        <v>66.578926699999997</v>
      </c>
    </row>
    <row r="88" spans="1:33" s="11" customFormat="1" outlineLevel="1" x14ac:dyDescent="0.3">
      <c r="A88" s="11" t="s">
        <v>94</v>
      </c>
      <c r="B88" s="12">
        <v>1.7730376000000001</v>
      </c>
      <c r="C88" s="12">
        <v>104.64</v>
      </c>
      <c r="D88" s="12">
        <v>1.9651152000000001</v>
      </c>
      <c r="E88" s="17">
        <v>0</v>
      </c>
      <c r="F88" s="13">
        <v>67.713333300000002</v>
      </c>
      <c r="G88" s="12">
        <v>8.1782619000000008</v>
      </c>
      <c r="H88" s="12">
        <v>9.0522632999999999</v>
      </c>
      <c r="I88" s="12">
        <v>-7.0941337999999998</v>
      </c>
      <c r="J88" s="12">
        <v>3.1952102</v>
      </c>
      <c r="K88" s="12">
        <v>3.7008637000000002</v>
      </c>
      <c r="L88" s="12">
        <v>1.8698003000000001</v>
      </c>
      <c r="M88" s="12">
        <v>0.63245280000000004</v>
      </c>
      <c r="N88" s="12">
        <v>1.2151723000000001</v>
      </c>
      <c r="O88" s="12">
        <v>1.5211033</v>
      </c>
      <c r="P88" s="7">
        <v>1236.624</v>
      </c>
      <c r="Q88" s="7">
        <v>172.792</v>
      </c>
      <c r="R88" s="7">
        <v>12.3</v>
      </c>
      <c r="S88" s="12">
        <v>3.354803</v>
      </c>
      <c r="T88" s="12">
        <v>1</v>
      </c>
      <c r="U88" s="12">
        <v>105.1856366</v>
      </c>
      <c r="V88" s="12">
        <v>124.4266667</v>
      </c>
      <c r="W88" s="12">
        <v>5.414676</v>
      </c>
      <c r="X88" s="12">
        <v>8.8098583000000001</v>
      </c>
      <c r="Y88" s="12">
        <v>8.4230184000000001</v>
      </c>
      <c r="Z88" s="12">
        <v>-11.0078646</v>
      </c>
      <c r="AA88" s="12">
        <v>74.9893158</v>
      </c>
      <c r="AB88" s="12">
        <v>11.9392803</v>
      </c>
      <c r="AC88" s="12">
        <v>29.5968661</v>
      </c>
      <c r="AD88" s="12">
        <v>28.1917303</v>
      </c>
      <c r="AE88" s="12">
        <v>46.348657899999999</v>
      </c>
      <c r="AF88" s="12">
        <v>3.8662752999999999</v>
      </c>
      <c r="AG88" s="12">
        <v>67.652286599999996</v>
      </c>
    </row>
    <row r="89" spans="1:33" s="11" customFormat="1" outlineLevel="1" x14ac:dyDescent="0.3">
      <c r="A89" s="11" t="s">
        <v>95</v>
      </c>
      <c r="B89" s="12">
        <v>1.9308453999999999</v>
      </c>
      <c r="C89" s="12">
        <v>104.17</v>
      </c>
      <c r="D89" s="12">
        <v>1.5830191</v>
      </c>
      <c r="E89" s="17">
        <v>0</v>
      </c>
      <c r="F89" s="13">
        <v>63.17</v>
      </c>
      <c r="G89" s="12">
        <v>4.2990057999999998</v>
      </c>
      <c r="H89" s="12">
        <v>2.5800703</v>
      </c>
      <c r="I89" s="12">
        <v>0.94478580000000001</v>
      </c>
      <c r="J89" s="12">
        <v>2.1386554000000002</v>
      </c>
      <c r="K89" s="12">
        <v>3.8095108</v>
      </c>
      <c r="L89" s="12">
        <v>2.6361045999999999</v>
      </c>
      <c r="M89" s="12">
        <v>2.6725862999999999</v>
      </c>
      <c r="N89" s="12">
        <v>-3.1401454000000002</v>
      </c>
      <c r="O89" s="12">
        <v>1.2264085</v>
      </c>
      <c r="P89" s="7">
        <v>1243.7560000000001</v>
      </c>
      <c r="Q89" s="7">
        <v>171</v>
      </c>
      <c r="R89" s="7">
        <v>12.1</v>
      </c>
      <c r="S89" s="12">
        <v>4.8550209000000004</v>
      </c>
      <c r="T89" s="12">
        <v>1</v>
      </c>
      <c r="U89" s="12">
        <v>107.8571791</v>
      </c>
      <c r="V89" s="12">
        <v>124.6466667</v>
      </c>
      <c r="W89" s="12">
        <v>-11.7198475</v>
      </c>
      <c r="X89" s="12">
        <v>5.3504395000000002</v>
      </c>
      <c r="Y89" s="12">
        <v>7.8632492999999997</v>
      </c>
      <c r="Z89" s="12">
        <v>-8.7657168999999993</v>
      </c>
      <c r="AA89" s="12">
        <v>81.754165299999997</v>
      </c>
      <c r="AB89" s="12">
        <v>11.4819172</v>
      </c>
      <c r="AC89" s="12">
        <v>20.0965278</v>
      </c>
      <c r="AD89" s="12">
        <v>28.751603200000002</v>
      </c>
      <c r="AE89" s="12">
        <v>41.969580700000002</v>
      </c>
      <c r="AF89" s="12">
        <v>4.7115308999999996</v>
      </c>
      <c r="AG89" s="12">
        <v>65.960620500000005</v>
      </c>
    </row>
    <row r="90" spans="1:33" s="11" customFormat="1" outlineLevel="1" x14ac:dyDescent="0.3">
      <c r="A90" s="11" t="s">
        <v>96</v>
      </c>
      <c r="B90" s="12">
        <v>1.5959346999999999</v>
      </c>
      <c r="C90" s="12">
        <v>105.7566667</v>
      </c>
      <c r="D90" s="12">
        <v>1.6760672000000001</v>
      </c>
      <c r="E90" s="17">
        <v>0</v>
      </c>
      <c r="F90" s="13">
        <v>68.923333299999996</v>
      </c>
      <c r="G90" s="12">
        <v>8.6182621000000008</v>
      </c>
      <c r="H90" s="12">
        <v>5.4688268999999998</v>
      </c>
      <c r="I90" s="12">
        <v>-1.5828454000000001</v>
      </c>
      <c r="J90" s="12">
        <v>1.9563961000000001</v>
      </c>
      <c r="K90" s="12">
        <v>4.3422676999999998</v>
      </c>
      <c r="L90" s="12">
        <v>4.1396015000000004</v>
      </c>
      <c r="M90" s="12">
        <v>-0.61106229999999995</v>
      </c>
      <c r="N90" s="12">
        <v>-9.22732E-2</v>
      </c>
      <c r="O90" s="12">
        <v>5.4659383000000004</v>
      </c>
      <c r="P90" s="7">
        <v>1270.0060000000001</v>
      </c>
      <c r="Q90" s="7">
        <v>164.70400000000001</v>
      </c>
      <c r="R90" s="7">
        <v>11.5</v>
      </c>
      <c r="S90" s="12">
        <v>4.4709478000000002</v>
      </c>
      <c r="T90" s="12">
        <v>1</v>
      </c>
      <c r="U90" s="12">
        <v>106.76011990000001</v>
      </c>
      <c r="V90" s="12">
        <v>123.11</v>
      </c>
      <c r="W90" s="12">
        <v>-6.7127708999999998</v>
      </c>
      <c r="X90" s="12">
        <v>3.4405641</v>
      </c>
      <c r="Y90" s="12">
        <v>9.0313333</v>
      </c>
      <c r="Z90" s="12">
        <v>-8.1431839000000004</v>
      </c>
      <c r="AA90" s="12">
        <v>82.242964799999996</v>
      </c>
      <c r="AB90" s="12">
        <v>10.7394114</v>
      </c>
      <c r="AC90" s="12">
        <v>21.855089400000001</v>
      </c>
      <c r="AD90" s="12">
        <v>29.136446299999999</v>
      </c>
      <c r="AE90" s="12">
        <v>43.5421719</v>
      </c>
      <c r="AF90" s="12">
        <v>5.4527095000000001</v>
      </c>
      <c r="AG90" s="12">
        <v>65.339485699999997</v>
      </c>
    </row>
    <row r="91" spans="1:33" s="11" customFormat="1" outlineLevel="1" x14ac:dyDescent="0.3">
      <c r="A91" s="11" t="s">
        <v>97</v>
      </c>
      <c r="B91" s="12">
        <v>2.3612953000000001</v>
      </c>
      <c r="C91" s="12">
        <v>105.74</v>
      </c>
      <c r="D91" s="12">
        <v>1.3158734999999999</v>
      </c>
      <c r="E91" s="17">
        <v>0</v>
      </c>
      <c r="F91" s="13">
        <v>61.93</v>
      </c>
      <c r="G91" s="12">
        <v>6.2954695000000003</v>
      </c>
      <c r="H91" s="12">
        <v>4.8327932000000002</v>
      </c>
      <c r="I91" s="12">
        <v>2.94834E-2</v>
      </c>
      <c r="J91" s="12">
        <v>4.3508921000000003</v>
      </c>
      <c r="K91" s="12">
        <v>5.1756133999999996</v>
      </c>
      <c r="L91" s="12">
        <v>2.0630708000000002</v>
      </c>
      <c r="M91" s="12">
        <v>-2.3188076999999998</v>
      </c>
      <c r="N91" s="12">
        <v>6.5113947999999997</v>
      </c>
      <c r="O91" s="12">
        <v>3.5309238999999999</v>
      </c>
      <c r="P91" s="7">
        <v>1273.7090000000001</v>
      </c>
      <c r="Q91" s="7">
        <v>163.43199999999999</v>
      </c>
      <c r="R91" s="7">
        <v>11.4</v>
      </c>
      <c r="S91" s="12">
        <v>3.7088873000000002</v>
      </c>
      <c r="T91" s="12">
        <v>1</v>
      </c>
      <c r="U91" s="12">
        <v>106.3538016</v>
      </c>
      <c r="V91" s="12">
        <v>121.60666670000001</v>
      </c>
      <c r="W91" s="12">
        <v>2.0930485000000001</v>
      </c>
      <c r="X91" s="12">
        <v>8.5136573000000002</v>
      </c>
      <c r="Y91" s="12">
        <v>7.8577320999999998</v>
      </c>
      <c r="Z91" s="12">
        <v>-4.9833996000000003</v>
      </c>
      <c r="AA91" s="12">
        <v>78.562313200000006</v>
      </c>
      <c r="AB91" s="12">
        <v>10.988895400000001</v>
      </c>
      <c r="AC91" s="12">
        <v>21.2340421</v>
      </c>
      <c r="AD91" s="12">
        <v>37.993960800000004</v>
      </c>
      <c r="AE91" s="12">
        <v>48.719687499999999</v>
      </c>
      <c r="AF91" s="12">
        <v>6.1322086000000002</v>
      </c>
      <c r="AG91" s="12">
        <v>65.636665800000003</v>
      </c>
    </row>
    <row r="92" spans="1:33" s="11" customFormat="1" outlineLevel="1" x14ac:dyDescent="0.3">
      <c r="A92" s="11" t="s">
        <v>98</v>
      </c>
      <c r="B92" s="12">
        <v>1.3592039</v>
      </c>
      <c r="C92" s="12">
        <v>106.0066667</v>
      </c>
      <c r="D92" s="12">
        <v>1.3060653</v>
      </c>
      <c r="E92" s="17">
        <v>0</v>
      </c>
      <c r="F92" s="13">
        <v>63.41</v>
      </c>
      <c r="G92" s="12">
        <v>-3.6248244000000001</v>
      </c>
      <c r="H92" s="12">
        <v>-3.1775452</v>
      </c>
      <c r="I92" s="12">
        <v>-6.5764288999999998</v>
      </c>
      <c r="J92" s="12">
        <v>-3.1535399999999998E-2</v>
      </c>
      <c r="K92" s="12">
        <v>-0.18934329999999999</v>
      </c>
      <c r="L92" s="12">
        <v>2.8205893999999998</v>
      </c>
      <c r="M92" s="12">
        <v>-10.5905168</v>
      </c>
      <c r="N92" s="12">
        <v>6.1922521000000001</v>
      </c>
      <c r="O92" s="12">
        <v>-1.1299503</v>
      </c>
      <c r="P92" s="7">
        <v>1274.857</v>
      </c>
      <c r="Q92" s="7">
        <v>160.03</v>
      </c>
      <c r="R92" s="7">
        <v>11.2</v>
      </c>
      <c r="S92" s="12">
        <v>2.1907019000000001</v>
      </c>
      <c r="T92" s="12">
        <v>1</v>
      </c>
      <c r="U92" s="12">
        <v>106.5163289</v>
      </c>
      <c r="V92" s="12">
        <v>122.69333330000001</v>
      </c>
      <c r="W92" s="12">
        <v>14.875072599999999</v>
      </c>
      <c r="X92" s="12">
        <v>6.9682497999999997</v>
      </c>
      <c r="Y92" s="12">
        <v>1.3319894000000001</v>
      </c>
      <c r="Z92" s="12">
        <v>-9.8863727000000008</v>
      </c>
      <c r="AA92" s="12">
        <v>74.435874200000001</v>
      </c>
      <c r="AB92" s="12">
        <v>12.2188167</v>
      </c>
      <c r="AC92" s="12">
        <v>25.860188600000001</v>
      </c>
      <c r="AD92" s="12">
        <v>29.137266</v>
      </c>
      <c r="AE92" s="12">
        <v>45.402755599999999</v>
      </c>
      <c r="AF92" s="12">
        <v>6.7812716000000002</v>
      </c>
      <c r="AG92" s="12">
        <v>65.761791099999996</v>
      </c>
    </row>
    <row r="93" spans="1:33" s="11" customFormat="1" outlineLevel="1" x14ac:dyDescent="0.3">
      <c r="A93" s="11" t="s">
        <v>99</v>
      </c>
      <c r="B93" s="12">
        <v>-2.2061226999999999</v>
      </c>
      <c r="C93" s="12">
        <v>105.74666670000001</v>
      </c>
      <c r="D93" s="12">
        <v>1.5135516</v>
      </c>
      <c r="E93" s="17">
        <v>0</v>
      </c>
      <c r="F93" s="13">
        <v>50.44</v>
      </c>
      <c r="G93" s="12">
        <v>2.2544602999999999</v>
      </c>
      <c r="H93" s="12">
        <v>-3.7667871000000002</v>
      </c>
      <c r="I93" s="12">
        <v>-0.73141060000000002</v>
      </c>
      <c r="J93" s="12">
        <v>-2.2360616000000002</v>
      </c>
      <c r="K93" s="12">
        <v>4.8512820000000003</v>
      </c>
      <c r="L93" s="12">
        <v>0.93532409999999999</v>
      </c>
      <c r="M93" s="12">
        <v>-15.170464000000001</v>
      </c>
      <c r="N93" s="12">
        <v>-8.0651191000000004</v>
      </c>
      <c r="O93" s="12">
        <v>-6.1309411999999996</v>
      </c>
      <c r="P93" s="7">
        <v>1258.057</v>
      </c>
      <c r="Q93" s="7">
        <v>162.041</v>
      </c>
      <c r="R93" s="7">
        <v>11.4</v>
      </c>
      <c r="S93" s="12">
        <v>3.3009257000000001</v>
      </c>
      <c r="T93" s="12">
        <v>0.5</v>
      </c>
      <c r="U93" s="12">
        <v>109.5637158</v>
      </c>
      <c r="V93" s="12">
        <v>122.84</v>
      </c>
      <c r="W93" s="12">
        <v>-1.5685382999999999</v>
      </c>
      <c r="X93" s="12">
        <v>-4.4585268999999998</v>
      </c>
      <c r="Y93" s="12">
        <v>-4.8535738999999998</v>
      </c>
      <c r="Z93" s="12">
        <v>-7.5386537999999996</v>
      </c>
      <c r="AA93" s="12">
        <v>87.438296800000003</v>
      </c>
      <c r="AB93" s="12">
        <v>11.6667176</v>
      </c>
      <c r="AC93" s="12">
        <v>17.059867700000002</v>
      </c>
      <c r="AD93" s="12">
        <v>27.122608100000001</v>
      </c>
      <c r="AE93" s="12">
        <v>39.471660800000002</v>
      </c>
      <c r="AF93" s="12">
        <v>8.3906487999999992</v>
      </c>
      <c r="AG93" s="12">
        <v>70.5574285</v>
      </c>
    </row>
    <row r="94" spans="1:33" s="11" customFormat="1" outlineLevel="1" x14ac:dyDescent="0.3">
      <c r="A94" s="11" t="s">
        <v>100</v>
      </c>
      <c r="B94" s="12">
        <v>-13.380244299999999</v>
      </c>
      <c r="C94" s="12">
        <v>106.50333329999999</v>
      </c>
      <c r="D94" s="12">
        <v>0.70602319999999996</v>
      </c>
      <c r="E94" s="17">
        <v>0</v>
      </c>
      <c r="F94" s="13">
        <v>29.343333300000001</v>
      </c>
      <c r="G94" s="12">
        <v>1.4540384</v>
      </c>
      <c r="H94" s="12">
        <v>-22.890094300000001</v>
      </c>
      <c r="I94" s="12">
        <v>-9.0806619000000008</v>
      </c>
      <c r="J94" s="12">
        <v>-11.2186334</v>
      </c>
      <c r="K94" s="12">
        <v>-8.7925736000000008</v>
      </c>
      <c r="L94" s="12">
        <v>0.42242780000000002</v>
      </c>
      <c r="M94" s="12">
        <v>-12.855703699999999</v>
      </c>
      <c r="N94" s="12">
        <v>-51.385531200000003</v>
      </c>
      <c r="O94" s="12">
        <v>-35.789680799999999</v>
      </c>
      <c r="P94" s="7">
        <v>1224.8230000000001</v>
      </c>
      <c r="Q94" s="7">
        <v>166.12700000000001</v>
      </c>
      <c r="R94" s="7">
        <v>11.9</v>
      </c>
      <c r="S94" s="12">
        <v>2.8568715</v>
      </c>
      <c r="T94" s="12">
        <v>0.5</v>
      </c>
      <c r="U94" s="12">
        <v>108.8323429</v>
      </c>
      <c r="V94" s="12">
        <v>124.51</v>
      </c>
      <c r="W94" s="12">
        <v>-22.605515499999999</v>
      </c>
      <c r="X94" s="12">
        <v>-53.907231000000003</v>
      </c>
      <c r="Y94" s="12">
        <v>-36.468781399999997</v>
      </c>
      <c r="Z94" s="12">
        <v>-11.9006361</v>
      </c>
      <c r="AA94" s="12">
        <v>86.486411899999993</v>
      </c>
      <c r="AB94" s="12">
        <v>12.180593099999999</v>
      </c>
      <c r="AC94" s="12">
        <v>21.684315300000002</v>
      </c>
      <c r="AD94" s="12">
        <v>15.3759903</v>
      </c>
      <c r="AE94" s="12">
        <v>31.655801499999999</v>
      </c>
      <c r="AF94" s="12">
        <v>5.6618589000000004</v>
      </c>
      <c r="AG94" s="12">
        <v>76.824640700000003</v>
      </c>
    </row>
    <row r="95" spans="1:33" s="11" customFormat="1" outlineLevel="1" x14ac:dyDescent="0.3">
      <c r="A95" s="11" t="s">
        <v>101</v>
      </c>
      <c r="B95" s="12">
        <v>-3.6984297000000002</v>
      </c>
      <c r="C95" s="12">
        <v>106.27</v>
      </c>
      <c r="D95" s="12">
        <v>0.50122940000000005</v>
      </c>
      <c r="E95" s="17">
        <v>0</v>
      </c>
      <c r="F95" s="13">
        <v>42.963333300000002</v>
      </c>
      <c r="G95" s="12">
        <v>13.849137499999999</v>
      </c>
      <c r="H95" s="12">
        <v>-3.9020842</v>
      </c>
      <c r="I95" s="12">
        <v>-4.8946744000000004</v>
      </c>
      <c r="J95" s="12">
        <v>-2.8875502000000002</v>
      </c>
      <c r="K95" s="12">
        <v>-6.3076907000000002</v>
      </c>
      <c r="L95" s="12">
        <v>-0.46669699999999997</v>
      </c>
      <c r="M95" s="12">
        <v>5.8560296999999997</v>
      </c>
      <c r="N95" s="12">
        <v>-33.710843599999997</v>
      </c>
      <c r="O95" s="12">
        <v>-23.8049271</v>
      </c>
      <c r="P95" s="7">
        <v>1259.047</v>
      </c>
      <c r="Q95" s="7">
        <v>164.803</v>
      </c>
      <c r="R95" s="7">
        <v>11.6</v>
      </c>
      <c r="S95" s="12">
        <v>1.8218623</v>
      </c>
      <c r="T95" s="12">
        <v>0.5</v>
      </c>
      <c r="U95" s="12">
        <v>107.8368632</v>
      </c>
      <c r="V95" s="12">
        <v>123.94666669999999</v>
      </c>
      <c r="W95" s="12">
        <v>-3.1230083</v>
      </c>
      <c r="X95" s="12">
        <v>-36.657850199999999</v>
      </c>
      <c r="Y95" s="12">
        <v>-24.677108100000002</v>
      </c>
      <c r="Z95" s="12">
        <v>-5.5873185999999997</v>
      </c>
      <c r="AA95" s="12">
        <v>76.211093199999993</v>
      </c>
      <c r="AB95" s="12">
        <v>11.096490599999999</v>
      </c>
      <c r="AC95" s="12">
        <v>22.9111324</v>
      </c>
      <c r="AD95" s="12">
        <v>24.9184375</v>
      </c>
      <c r="AE95" s="12">
        <v>37.995821800000002</v>
      </c>
      <c r="AF95" s="12">
        <v>5.6934241999999999</v>
      </c>
      <c r="AG95" s="12">
        <v>76.530182199999999</v>
      </c>
    </row>
    <row r="96" spans="1:33" s="11" customFormat="1" outlineLevel="1" x14ac:dyDescent="0.3">
      <c r="A96" s="11" t="s">
        <v>102</v>
      </c>
      <c r="B96" s="12">
        <v>-3.2236577</v>
      </c>
      <c r="C96" s="12">
        <v>106.2833333</v>
      </c>
      <c r="D96" s="12">
        <v>0.26098979999999999</v>
      </c>
      <c r="E96" s="17">
        <v>0</v>
      </c>
      <c r="F96" s="13">
        <v>44.29</v>
      </c>
      <c r="G96" s="12">
        <v>16.685010599999998</v>
      </c>
      <c r="H96" s="12">
        <v>1.0412739</v>
      </c>
      <c r="I96" s="12">
        <v>-11.492009899999999</v>
      </c>
      <c r="J96" s="12">
        <v>3.7075298000000001</v>
      </c>
      <c r="K96" s="12">
        <v>-1.5046117999999999</v>
      </c>
      <c r="L96" s="12">
        <v>4.6134383000000003</v>
      </c>
      <c r="M96" s="12">
        <v>12.2689921</v>
      </c>
      <c r="N96" s="12">
        <v>-13.2268758</v>
      </c>
      <c r="O96" s="12">
        <v>-10.631483899999999</v>
      </c>
      <c r="P96" s="7">
        <v>1231.452</v>
      </c>
      <c r="Q96" s="7">
        <v>165.48500000000001</v>
      </c>
      <c r="R96" s="7">
        <v>11.8</v>
      </c>
      <c r="S96" s="12">
        <v>2.7928467000000001</v>
      </c>
      <c r="T96" s="12">
        <v>0.5</v>
      </c>
      <c r="U96" s="12">
        <v>108.1720758</v>
      </c>
      <c r="V96" s="12">
        <v>123.77</v>
      </c>
      <c r="W96" s="12">
        <v>3.2271117999999999</v>
      </c>
      <c r="X96" s="12">
        <v>-18.3831466</v>
      </c>
      <c r="Y96" s="12">
        <v>-10.996814499999999</v>
      </c>
      <c r="Z96" s="12">
        <v>-9.6940390999999995</v>
      </c>
      <c r="AA96" s="12">
        <v>71.375362100000004</v>
      </c>
      <c r="AB96" s="12">
        <v>12.4264858</v>
      </c>
      <c r="AC96" s="12">
        <v>28.0664008</v>
      </c>
      <c r="AD96" s="12">
        <v>23.126886800000001</v>
      </c>
      <c r="AE96" s="12">
        <v>39.3051587</v>
      </c>
      <c r="AF96" s="12">
        <v>6.6451570000000002</v>
      </c>
      <c r="AG96" s="12">
        <v>74.326023199999995</v>
      </c>
    </row>
    <row r="97" spans="1:33" s="11" customFormat="1" outlineLevel="1" x14ac:dyDescent="0.3">
      <c r="A97" s="11" t="s">
        <v>103</v>
      </c>
      <c r="B97" s="12">
        <v>-0.1765746</v>
      </c>
      <c r="C97" s="12">
        <v>107.21</v>
      </c>
      <c r="D97" s="12">
        <v>1.3838102999999999</v>
      </c>
      <c r="E97" s="17">
        <v>0</v>
      </c>
      <c r="F97" s="13">
        <v>60.82</v>
      </c>
      <c r="G97" s="12">
        <v>10.4827078</v>
      </c>
      <c r="H97" s="12">
        <v>4.9917005999999997</v>
      </c>
      <c r="I97" s="12">
        <v>-2.1619587</v>
      </c>
      <c r="J97" s="12">
        <v>5.3317386999999998</v>
      </c>
      <c r="K97" s="12">
        <v>-1.8996373</v>
      </c>
      <c r="L97" s="12">
        <v>7.1599427999999996</v>
      </c>
      <c r="M97" s="12">
        <v>23.6874042</v>
      </c>
      <c r="N97" s="12">
        <v>3.8041697999999999</v>
      </c>
      <c r="O97" s="12">
        <v>7.6535852000000002</v>
      </c>
      <c r="P97" s="7">
        <v>1224.9259999999999</v>
      </c>
      <c r="Q97" s="7">
        <v>165.14400000000001</v>
      </c>
      <c r="R97" s="7">
        <v>11.9</v>
      </c>
      <c r="S97" s="12">
        <v>5.2355726000000002</v>
      </c>
      <c r="T97" s="12">
        <v>0.5</v>
      </c>
      <c r="U97" s="12">
        <v>110.5896693</v>
      </c>
      <c r="V97" s="12">
        <v>123.4933333</v>
      </c>
      <c r="W97" s="12">
        <v>22.4595843</v>
      </c>
      <c r="X97" s="12">
        <v>0.42369879999999999</v>
      </c>
      <c r="Y97" s="12">
        <v>7.8502533000000003</v>
      </c>
      <c r="Z97" s="12">
        <v>-8.8694626999999997</v>
      </c>
      <c r="AA97" s="12">
        <v>82.290189799999993</v>
      </c>
      <c r="AB97" s="12">
        <v>12.3149643</v>
      </c>
      <c r="AC97" s="12">
        <v>19.869357699999998</v>
      </c>
      <c r="AD97" s="12">
        <v>25.772938400000001</v>
      </c>
      <c r="AE97" s="12">
        <v>40.235013899999998</v>
      </c>
      <c r="AF97" s="12">
        <v>4.8161630999999998</v>
      </c>
      <c r="AG97" s="12">
        <v>68.432495599999996</v>
      </c>
    </row>
    <row r="98" spans="1:33" s="11" customFormat="1" outlineLevel="1" x14ac:dyDescent="0.3">
      <c r="A98" s="11" t="s">
        <v>104</v>
      </c>
      <c r="B98" s="12">
        <v>14.630134099999999</v>
      </c>
      <c r="C98" s="12">
        <v>108.82</v>
      </c>
      <c r="D98" s="12">
        <v>2.1752058000000001</v>
      </c>
      <c r="E98" s="17">
        <v>0</v>
      </c>
      <c r="F98" s="13">
        <v>68.833333300000007</v>
      </c>
      <c r="G98" s="12">
        <v>14.5999205</v>
      </c>
      <c r="H98" s="12">
        <v>37.4759052</v>
      </c>
      <c r="I98" s="12">
        <v>-4.1226986999999999</v>
      </c>
      <c r="J98" s="12">
        <v>18.5441219</v>
      </c>
      <c r="K98" s="12">
        <v>8.3883138000000006</v>
      </c>
      <c r="L98" s="12">
        <v>11.7316346</v>
      </c>
      <c r="M98" s="12">
        <v>34.929471700000001</v>
      </c>
      <c r="N98" s="12">
        <v>137.04462100000001</v>
      </c>
      <c r="O98" s="12">
        <v>53.361506900000002</v>
      </c>
      <c r="P98" s="7">
        <v>1238.04561761422</v>
      </c>
      <c r="Q98" s="7">
        <v>161.92724150763499</v>
      </c>
      <c r="R98" s="7">
        <v>11.6</v>
      </c>
      <c r="S98" s="12">
        <v>4.7295426000000003</v>
      </c>
      <c r="T98" s="12">
        <v>0.5</v>
      </c>
      <c r="U98" s="12">
        <v>110.7725126</v>
      </c>
      <c r="V98" s="12">
        <v>122.98</v>
      </c>
      <c r="W98" s="12">
        <v>50.996168599999997</v>
      </c>
      <c r="X98" s="12">
        <v>142.69883859999999</v>
      </c>
      <c r="Y98" s="12">
        <v>58.266431900000001</v>
      </c>
      <c r="Z98" s="12">
        <v>-5.6728820000000004</v>
      </c>
      <c r="AA98" s="12">
        <v>77.031276099999999</v>
      </c>
      <c r="AB98" s="12">
        <v>11.4356071</v>
      </c>
      <c r="AC98" s="12">
        <v>23.687756400000001</v>
      </c>
      <c r="AD98" s="12">
        <v>29.547768399999999</v>
      </c>
      <c r="AE98" s="12">
        <v>39.677378400000002</v>
      </c>
      <c r="AF98" s="12">
        <v>10.088104299999999</v>
      </c>
      <c r="AG98" s="12">
        <v>68.619493300000002</v>
      </c>
    </row>
    <row r="99" spans="1:33" s="11" customFormat="1" outlineLevel="1" x14ac:dyDescent="0.3">
      <c r="A99" s="11" t="s">
        <v>105</v>
      </c>
      <c r="B99" s="12">
        <v>4.8925850000000004</v>
      </c>
      <c r="C99" s="12">
        <v>109.55666669999999</v>
      </c>
      <c r="D99" s="12">
        <v>3.0927511999999999</v>
      </c>
      <c r="E99" s="17">
        <v>0</v>
      </c>
      <c r="F99" s="13">
        <v>73.47</v>
      </c>
      <c r="G99" s="12">
        <v>4.7507751000000003</v>
      </c>
      <c r="H99" s="12">
        <v>17.876592200000001</v>
      </c>
      <c r="I99" s="12">
        <v>-1.4752896</v>
      </c>
      <c r="J99" s="12">
        <v>6.8877655999999998</v>
      </c>
      <c r="K99" s="12">
        <v>6.1289017000000001</v>
      </c>
      <c r="L99" s="12">
        <v>5.8417665999999997</v>
      </c>
      <c r="M99" s="12">
        <v>9.6585978000000008</v>
      </c>
      <c r="N99" s="12">
        <v>71.183829200000005</v>
      </c>
      <c r="O99" s="12">
        <v>35.5641289</v>
      </c>
      <c r="P99" s="7">
        <v>1267.6400000000001</v>
      </c>
      <c r="Q99" s="7">
        <v>160.81399999999999</v>
      </c>
      <c r="R99" s="7">
        <v>11.3</v>
      </c>
      <c r="S99" s="12">
        <v>6.8541134000000001</v>
      </c>
      <c r="T99" s="12">
        <v>0.5</v>
      </c>
      <c r="U99" s="12">
        <v>110.4068261</v>
      </c>
      <c r="V99" s="12">
        <v>121.82</v>
      </c>
      <c r="W99" s="12">
        <v>14.4517544</v>
      </c>
      <c r="X99" s="12">
        <v>77.028009800000007</v>
      </c>
      <c r="Y99" s="12">
        <v>42.816151599999998</v>
      </c>
      <c r="Z99" s="12">
        <v>-2.7526413000000001</v>
      </c>
      <c r="AA99" s="12">
        <v>75.279912600000003</v>
      </c>
      <c r="AB99" s="12">
        <v>11.2120681</v>
      </c>
      <c r="AC99" s="12">
        <v>23.237154499999999</v>
      </c>
      <c r="AD99" s="12">
        <v>39.368567400000003</v>
      </c>
      <c r="AE99" s="12">
        <v>48.423848499999998</v>
      </c>
      <c r="AF99" s="12">
        <v>10.419501</v>
      </c>
      <c r="AG99" s="12">
        <v>69.074084799999994</v>
      </c>
    </row>
    <row r="100" spans="1:33" s="11" customFormat="1" outlineLevel="1" x14ac:dyDescent="0.3">
      <c r="A100" s="11" t="s">
        <v>106</v>
      </c>
      <c r="B100" s="12">
        <v>5.3916862999999999</v>
      </c>
      <c r="C100" s="12">
        <v>111.5333333</v>
      </c>
      <c r="D100" s="12">
        <v>4.9396268000000001</v>
      </c>
      <c r="E100" s="17">
        <v>0</v>
      </c>
      <c r="F100" s="13">
        <v>79.586666699999995</v>
      </c>
      <c r="G100" s="12">
        <v>13.8440955</v>
      </c>
      <c r="H100" s="12">
        <v>21.386306399999999</v>
      </c>
      <c r="I100" s="12">
        <v>-10.1085165</v>
      </c>
      <c r="J100" s="12">
        <v>5.1456359999999997</v>
      </c>
      <c r="K100" s="12">
        <v>6.1655907000000001</v>
      </c>
      <c r="L100" s="12">
        <v>6.4577121000000002</v>
      </c>
      <c r="M100" s="12">
        <v>13.561266</v>
      </c>
      <c r="N100" s="12">
        <v>28.554454700000001</v>
      </c>
      <c r="O100" s="12">
        <v>32.4528155</v>
      </c>
      <c r="P100" s="7">
        <v>1264.384</v>
      </c>
      <c r="Q100" s="7">
        <v>162.35300000000001</v>
      </c>
      <c r="R100" s="7">
        <v>11.4</v>
      </c>
      <c r="S100" s="12">
        <v>8.3965715000000003</v>
      </c>
      <c r="T100" s="12">
        <v>0.5</v>
      </c>
      <c r="U100" s="12">
        <v>111.51404340000001</v>
      </c>
      <c r="V100" s="12">
        <v>121.55</v>
      </c>
      <c r="W100" s="12">
        <v>20.678165400000001</v>
      </c>
      <c r="X100" s="12">
        <v>44.933216299999998</v>
      </c>
      <c r="Y100" s="12">
        <v>42.049682400000002</v>
      </c>
      <c r="Z100" s="12">
        <v>-13.456756499999999</v>
      </c>
      <c r="AA100" s="12">
        <v>70.525299500000003</v>
      </c>
      <c r="AB100" s="12">
        <v>12.7124209</v>
      </c>
      <c r="AC100" s="12">
        <v>29.837316399999999</v>
      </c>
      <c r="AD100" s="12">
        <v>30.000972699999998</v>
      </c>
      <c r="AE100" s="12">
        <v>49.970686399999998</v>
      </c>
      <c r="AF100" s="12">
        <v>11.775623100000001</v>
      </c>
      <c r="AG100" s="12">
        <v>74.504938499999994</v>
      </c>
    </row>
    <row r="101" spans="1:33" outlineLevel="1" x14ac:dyDescent="0.3">
      <c r="A101" t="s">
        <v>108</v>
      </c>
      <c r="B101" s="12">
        <v>5.7284746999999996</v>
      </c>
      <c r="C101" s="12">
        <v>114.2266667</v>
      </c>
      <c r="D101" s="12">
        <v>6.5447875</v>
      </c>
      <c r="E101" s="17">
        <v>0</v>
      </c>
      <c r="F101" s="12">
        <v>100.2966667</v>
      </c>
      <c r="G101" s="12">
        <v>-0.53812249999999995</v>
      </c>
      <c r="H101" s="12">
        <v>27.480926199999999</v>
      </c>
      <c r="I101" s="12">
        <v>4.6129265000000004</v>
      </c>
      <c r="J101" s="12">
        <v>7.2191495000000003</v>
      </c>
      <c r="K101" s="12">
        <v>7.8424415999999999</v>
      </c>
      <c r="L101" s="12">
        <v>-5.060994</v>
      </c>
      <c r="M101" s="12">
        <v>15.987825300000001</v>
      </c>
      <c r="N101" s="12">
        <v>27.824030700000002</v>
      </c>
      <c r="O101" s="12">
        <v>17.5983892</v>
      </c>
      <c r="P101" s="7">
        <v>1266.652</v>
      </c>
      <c r="Q101" s="7">
        <v>161.75899999999999</v>
      </c>
      <c r="R101" s="7">
        <v>11.3</v>
      </c>
      <c r="S101" s="12">
        <v>5.7534051000000002</v>
      </c>
      <c r="T101" s="12">
        <v>1</v>
      </c>
      <c r="U101" s="12">
        <v>115.5061202</v>
      </c>
      <c r="V101" s="12">
        <v>121.9233333</v>
      </c>
      <c r="W101" s="12">
        <v>2.6685525999999999</v>
      </c>
      <c r="X101" s="12">
        <v>58.454089199999999</v>
      </c>
      <c r="Y101" s="12">
        <v>32.241017200000002</v>
      </c>
      <c r="Z101" s="12">
        <v>-6.3211031999999996</v>
      </c>
      <c r="AA101" s="12">
        <v>79.197077899999996</v>
      </c>
      <c r="AB101" s="12">
        <v>10.378977600000001</v>
      </c>
      <c r="AC101" s="12">
        <v>20.835866899999999</v>
      </c>
      <c r="AD101" s="12">
        <v>34.7000806</v>
      </c>
      <c r="AE101" s="12">
        <v>45.212672499999996</v>
      </c>
      <c r="AF101" s="12">
        <v>13.795568899999999</v>
      </c>
      <c r="AG101" s="12">
        <v>65.433819200000002</v>
      </c>
    </row>
    <row r="102" spans="1:33" outlineLevel="1" x14ac:dyDescent="0.3">
      <c r="A102" t="s">
        <v>109</v>
      </c>
      <c r="B102" s="12">
        <v>4.2015890999999996</v>
      </c>
      <c r="C102" s="12">
        <v>118.4333333</v>
      </c>
      <c r="D102" s="12">
        <v>8.8341604</v>
      </c>
      <c r="E102" s="17">
        <v>0</v>
      </c>
      <c r="F102" s="12">
        <v>113.5433333</v>
      </c>
      <c r="G102" s="12">
        <v>0.9553237</v>
      </c>
      <c r="H102" s="12">
        <v>12.0382645</v>
      </c>
      <c r="I102" s="12">
        <v>-1.1940253999999999</v>
      </c>
      <c r="J102" s="12">
        <v>3.2129416000000002</v>
      </c>
      <c r="K102" s="12">
        <v>8.7820967000000003</v>
      </c>
      <c r="L102" s="12">
        <v>-8.1150379000000008</v>
      </c>
      <c r="M102" s="12">
        <v>-4.8709028999999999</v>
      </c>
      <c r="N102" s="12">
        <v>8.7088674000000008</v>
      </c>
      <c r="O102" s="12">
        <v>17.762911200000001</v>
      </c>
      <c r="P102" s="7">
        <v>1288.4839999999999</v>
      </c>
      <c r="Q102" s="7">
        <v>160.14099999999999</v>
      </c>
      <c r="R102" s="7">
        <v>11.1</v>
      </c>
      <c r="S102" s="12">
        <v>6.9758420000000001</v>
      </c>
      <c r="T102" s="12">
        <v>1</v>
      </c>
      <c r="U102" s="12">
        <v>118.2386104</v>
      </c>
      <c r="V102" s="12">
        <v>120.4233333</v>
      </c>
      <c r="W102" s="12">
        <v>-2.0045674</v>
      </c>
      <c r="X102" s="12">
        <v>45.546384400000001</v>
      </c>
      <c r="Y102" s="12">
        <v>33.423009499999999</v>
      </c>
      <c r="Z102" s="12">
        <v>-4.2939157000000003</v>
      </c>
      <c r="AA102" s="12">
        <v>78.523907300000005</v>
      </c>
      <c r="AB102" s="12">
        <v>9.5543619999999994</v>
      </c>
      <c r="AC102" s="12">
        <v>21.072239499999998</v>
      </c>
      <c r="AD102" s="12">
        <v>37.146633000000001</v>
      </c>
      <c r="AE102" s="12">
        <v>45.7437386</v>
      </c>
      <c r="AF102" s="12">
        <v>13.884214500000001</v>
      </c>
      <c r="AG102" s="12">
        <v>65.001521100000005</v>
      </c>
    </row>
    <row r="103" spans="1:33" outlineLevel="1" x14ac:dyDescent="0.3">
      <c r="A103" t="s">
        <v>110</v>
      </c>
      <c r="B103" s="12">
        <v>2.5907767000000002</v>
      </c>
      <c r="C103" s="12">
        <v>120.83</v>
      </c>
      <c r="D103" s="12">
        <v>10.289956500000001</v>
      </c>
      <c r="E103" s="17">
        <v>0.75</v>
      </c>
      <c r="F103" s="12">
        <v>100.7133333</v>
      </c>
      <c r="G103" s="12">
        <v>3.8674743999999999</v>
      </c>
      <c r="H103" s="12">
        <v>10.0505703</v>
      </c>
      <c r="I103" s="12">
        <v>0.20074059999999999</v>
      </c>
      <c r="J103" s="12">
        <v>4.9356773</v>
      </c>
      <c r="K103" s="12">
        <v>7.9114367000000003</v>
      </c>
      <c r="L103" s="12">
        <v>-3.2907158999999999</v>
      </c>
      <c r="M103" s="12">
        <v>7.3724819999999998</v>
      </c>
      <c r="N103" s="12">
        <v>0.20453170000000001</v>
      </c>
      <c r="O103" s="12">
        <v>16.2858336</v>
      </c>
      <c r="P103" s="7">
        <v>1321.5119999999999</v>
      </c>
      <c r="Q103" s="7">
        <v>156.245</v>
      </c>
      <c r="R103" s="7">
        <v>10.6</v>
      </c>
      <c r="S103" s="12">
        <v>9.1751573000000004</v>
      </c>
      <c r="T103" s="12">
        <v>1.75</v>
      </c>
      <c r="U103" s="12">
        <v>119.0817208</v>
      </c>
      <c r="V103" s="12">
        <v>117.14333329999999</v>
      </c>
      <c r="W103" s="12">
        <v>10.6246407</v>
      </c>
      <c r="X103" s="12">
        <v>37.255759400000002</v>
      </c>
      <c r="Y103" s="12">
        <v>30.983943</v>
      </c>
      <c r="Z103" s="12">
        <v>-3.1385689000000001</v>
      </c>
      <c r="AA103" s="12">
        <v>74.667193299999994</v>
      </c>
      <c r="AB103" s="12">
        <v>9.7044382000000002</v>
      </c>
      <c r="AC103" s="12">
        <v>22.8612891</v>
      </c>
      <c r="AD103" s="12">
        <v>44.7017235</v>
      </c>
      <c r="AE103" s="12">
        <v>52.476961600000003</v>
      </c>
      <c r="AF103" s="12">
        <v>13.6284697</v>
      </c>
      <c r="AG103" s="12">
        <v>64.830921399999994</v>
      </c>
    </row>
    <row r="104" spans="1:33" outlineLevel="1" x14ac:dyDescent="0.3">
      <c r="A104" t="s">
        <v>111</v>
      </c>
      <c r="B104" s="12">
        <v>1.4006327999999999</v>
      </c>
      <c r="C104" s="12">
        <v>123.8</v>
      </c>
      <c r="D104" s="12">
        <v>10.9982068</v>
      </c>
      <c r="E104" s="17">
        <v>1.9166666999999999</v>
      </c>
      <c r="F104" s="12">
        <v>88.556666699999994</v>
      </c>
      <c r="G104" s="12">
        <v>25.421225</v>
      </c>
      <c r="H104" s="12">
        <v>2.6030042</v>
      </c>
      <c r="I104" s="12">
        <v>-16.797488099999999</v>
      </c>
      <c r="J104" s="12">
        <v>4.4376262000000004</v>
      </c>
      <c r="K104" s="12">
        <v>4.7957533999999997</v>
      </c>
      <c r="L104" s="12">
        <v>-2.5815785</v>
      </c>
      <c r="M104" s="12">
        <v>9.8087145000000007</v>
      </c>
      <c r="N104" s="12">
        <v>0.58843719999999999</v>
      </c>
      <c r="O104" s="12">
        <v>3.1378927999999999</v>
      </c>
      <c r="P104" s="7">
        <v>1316.8720000000001</v>
      </c>
      <c r="Q104" s="7">
        <v>160.172</v>
      </c>
      <c r="R104" s="7">
        <v>10.8</v>
      </c>
      <c r="S104" s="12">
        <v>10.8268278</v>
      </c>
      <c r="T104" s="12">
        <v>2.75</v>
      </c>
      <c r="U104" s="12">
        <v>120.2803596</v>
      </c>
      <c r="V104" s="12">
        <v>116.4333333</v>
      </c>
      <c r="W104" s="12">
        <v>0.72275460000000002</v>
      </c>
      <c r="X104" s="12">
        <v>31.8521161</v>
      </c>
      <c r="Y104" s="12">
        <v>14.0508995</v>
      </c>
      <c r="Z104" s="12">
        <v>-9.7836441999999995</v>
      </c>
      <c r="AA104" s="12">
        <v>69.437992600000001</v>
      </c>
      <c r="AB104" s="12">
        <v>11.0876614</v>
      </c>
      <c r="AC104" s="12">
        <v>30.241837799999999</v>
      </c>
      <c r="AD104" s="12">
        <v>32.865380399999999</v>
      </c>
      <c r="AE104" s="12">
        <v>47.336442900000002</v>
      </c>
      <c r="AF104" s="12">
        <v>11.8865535</v>
      </c>
      <c r="AG104" s="12">
        <v>64.471810899999994</v>
      </c>
    </row>
    <row r="105" spans="1:33" x14ac:dyDescent="0.3">
      <c r="A105" t="s">
        <v>112</v>
      </c>
      <c r="B105" s="12">
        <v>1.3448477999999999</v>
      </c>
      <c r="C105" s="12">
        <v>124.9666667</v>
      </c>
      <c r="D105" s="12">
        <v>9.4023579000000002</v>
      </c>
      <c r="E105" s="17">
        <v>3</v>
      </c>
      <c r="F105" s="12">
        <v>81.173333299999996</v>
      </c>
      <c r="G105" s="12">
        <v>6.5953223999999997</v>
      </c>
      <c r="H105" s="12">
        <v>12.0120843</v>
      </c>
      <c r="I105" s="12">
        <v>5.9573245999999997</v>
      </c>
      <c r="J105" s="12">
        <v>2.8701075999999999</v>
      </c>
      <c r="K105" s="12">
        <v>3.4120466</v>
      </c>
      <c r="L105" s="12">
        <v>4.0783218000000003</v>
      </c>
      <c r="M105" s="12">
        <v>6.9124204999999996</v>
      </c>
      <c r="N105" s="12">
        <v>8.2859844000000002</v>
      </c>
      <c r="O105" s="12">
        <v>7.2311038999999999</v>
      </c>
      <c r="P105" s="7">
        <v>1321.914</v>
      </c>
      <c r="Q105" s="7">
        <v>160.92599999999999</v>
      </c>
      <c r="R105" s="7">
        <v>10.9</v>
      </c>
      <c r="S105" s="12">
        <v>9.2231863000000001</v>
      </c>
      <c r="T105" s="12">
        <v>3</v>
      </c>
      <c r="U105" s="12">
        <v>123.0331657</v>
      </c>
      <c r="V105" s="12">
        <v>115.4866667</v>
      </c>
      <c r="W105" s="12">
        <v>-6.5944159000000004</v>
      </c>
      <c r="X105" s="12">
        <v>24.969776100000001</v>
      </c>
      <c r="Y105" s="12">
        <v>14.5156975</v>
      </c>
      <c r="Z105" s="12">
        <v>-2.8545767999999998</v>
      </c>
      <c r="AA105" s="12">
        <v>78.158656800000003</v>
      </c>
      <c r="AB105" s="12">
        <v>10.1583688</v>
      </c>
      <c r="AC105" s="12">
        <v>21.255709199999998</v>
      </c>
      <c r="AD105" s="12">
        <v>37.565406299999999</v>
      </c>
      <c r="AE105" s="12">
        <v>44.811162400000001</v>
      </c>
      <c r="AF105" s="12">
        <v>11.115243</v>
      </c>
      <c r="AG105" s="19">
        <v>59.390467999999998</v>
      </c>
    </row>
    <row r="106" spans="1:33" x14ac:dyDescent="0.3">
      <c r="A106" t="s">
        <v>113</v>
      </c>
      <c r="B106" s="12">
        <v>0.20197219999999999</v>
      </c>
      <c r="C106" s="12">
        <v>126.9766667</v>
      </c>
      <c r="D106" s="12">
        <v>7.2136222999999999</v>
      </c>
      <c r="E106" s="17">
        <v>3.75</v>
      </c>
      <c r="F106" s="12">
        <v>78.316666699999999</v>
      </c>
      <c r="G106" s="12">
        <v>1.2754729</v>
      </c>
      <c r="H106" s="12">
        <v>17.023005999999999</v>
      </c>
      <c r="I106" s="12">
        <v>2.5153601999999999</v>
      </c>
      <c r="J106" s="12">
        <v>3.3802460000000001</v>
      </c>
      <c r="K106" s="12">
        <v>4.1757777000000003</v>
      </c>
      <c r="L106" s="12">
        <v>9.2947047000000005</v>
      </c>
      <c r="M106" s="12">
        <v>11.2041822</v>
      </c>
      <c r="N106" s="12">
        <v>-1.5346564</v>
      </c>
      <c r="O106" s="12">
        <v>2.4645676999999999</v>
      </c>
      <c r="P106" s="7">
        <v>1323.46</v>
      </c>
      <c r="Q106" s="7">
        <v>158.70400000000001</v>
      </c>
      <c r="R106" s="7">
        <v>10.7</v>
      </c>
      <c r="S106" s="12">
        <v>16.877658</v>
      </c>
      <c r="T106" s="12">
        <v>3</v>
      </c>
      <c r="U106" s="12">
        <v>123.6832749</v>
      </c>
      <c r="V106" s="12">
        <v>110.24666670000001</v>
      </c>
      <c r="W106" s="12">
        <v>-7.7334714</v>
      </c>
      <c r="X106" s="12">
        <v>12.8897394</v>
      </c>
      <c r="Y106" s="12">
        <v>11.888026200000001</v>
      </c>
      <c r="Z106" s="12">
        <v>-3.5923701000000001</v>
      </c>
      <c r="AA106" s="12">
        <v>78.426897800000006</v>
      </c>
      <c r="AB106" s="12">
        <v>10.3566371</v>
      </c>
      <c r="AC106" s="12">
        <v>22.325755999999998</v>
      </c>
      <c r="AD106" s="12">
        <v>35.202418000000002</v>
      </c>
      <c r="AE106" s="12">
        <v>43.0470404</v>
      </c>
      <c r="AF106" s="12">
        <v>8.0849718999999993</v>
      </c>
      <c r="AG106" s="19">
        <v>60.806469700000001</v>
      </c>
    </row>
    <row r="107" spans="1:33" x14ac:dyDescent="0.3">
      <c r="A107" t="s">
        <v>114</v>
      </c>
      <c r="B107" s="12">
        <v>-0.19771859999999999</v>
      </c>
      <c r="C107" s="12">
        <v>127.6866667</v>
      </c>
      <c r="D107" s="12">
        <v>5.6746392999999999</v>
      </c>
      <c r="E107" s="17">
        <v>4.25</v>
      </c>
      <c r="F107" s="12">
        <v>86.66</v>
      </c>
      <c r="G107" s="12">
        <v>4.3998543999999997</v>
      </c>
      <c r="H107" s="12">
        <v>7.1836767000000004</v>
      </c>
      <c r="I107" s="12">
        <v>0.89347220000000005</v>
      </c>
      <c r="J107" s="12">
        <v>3.4637522000000001</v>
      </c>
      <c r="K107" s="12">
        <v>2.0601788999999999</v>
      </c>
      <c r="L107" s="12">
        <v>12.284933300000001</v>
      </c>
      <c r="M107" s="12">
        <v>2.1147206999999999</v>
      </c>
      <c r="N107" s="12">
        <v>17.905341499999999</v>
      </c>
      <c r="O107" s="12">
        <v>-2.0487166000000001</v>
      </c>
      <c r="P107" s="7">
        <v>1338.0219999999999</v>
      </c>
      <c r="Q107" s="7">
        <v>157.65100000000001</v>
      </c>
      <c r="R107" s="7">
        <v>10.5</v>
      </c>
      <c r="S107" s="12">
        <v>16.024215699999999</v>
      </c>
      <c r="T107" s="12">
        <v>3</v>
      </c>
      <c r="U107" s="12">
        <v>123.9169079</v>
      </c>
      <c r="V107" s="12">
        <v>105.25333329999999</v>
      </c>
      <c r="W107" s="12">
        <v>-9.7860916000000007</v>
      </c>
      <c r="X107" s="12">
        <v>34.175693699999997</v>
      </c>
      <c r="Y107" s="12">
        <v>9.5754874000000001</v>
      </c>
      <c r="Z107" s="12">
        <v>6.3781791999999999</v>
      </c>
      <c r="AA107" s="12">
        <v>73.946126699999994</v>
      </c>
      <c r="AB107" s="12">
        <v>11.1344887</v>
      </c>
      <c r="AC107" s="12">
        <v>22.400115100000001</v>
      </c>
      <c r="AD107" s="12">
        <v>49.960472299999999</v>
      </c>
      <c r="AE107" s="12">
        <v>47.951091699999999</v>
      </c>
      <c r="AF107" s="12">
        <v>8.6675628000000007</v>
      </c>
      <c r="AG107" s="19">
        <v>60.082380800000003</v>
      </c>
    </row>
    <row r="108" spans="1:33" x14ac:dyDescent="0.3">
      <c r="A108" t="s">
        <v>115</v>
      </c>
      <c r="B108" s="7" t="s">
        <v>107</v>
      </c>
      <c r="C108" s="12">
        <v>127.9933333</v>
      </c>
      <c r="D108" s="12">
        <v>3.3871836000000002</v>
      </c>
      <c r="E108" s="17">
        <v>4.5</v>
      </c>
      <c r="F108" s="12">
        <v>83.723333299999993</v>
      </c>
      <c r="G108" s="7" t="s">
        <v>107</v>
      </c>
      <c r="H108" s="7" t="s">
        <v>107</v>
      </c>
      <c r="I108" s="7" t="s">
        <v>107</v>
      </c>
      <c r="J108" s="7" t="s">
        <v>107</v>
      </c>
      <c r="K108" s="7" t="s">
        <v>107</v>
      </c>
      <c r="L108" s="7" t="s">
        <v>107</v>
      </c>
      <c r="M108" s="7" t="s">
        <v>107</v>
      </c>
      <c r="N108" s="7" t="s">
        <v>107</v>
      </c>
      <c r="O108" s="7" t="s">
        <v>107</v>
      </c>
      <c r="P108" s="7" t="s">
        <v>107</v>
      </c>
      <c r="Q108" s="7" t="s">
        <v>107</v>
      </c>
      <c r="R108" s="7" t="s">
        <v>107</v>
      </c>
      <c r="S108" s="7" t="s">
        <v>107</v>
      </c>
      <c r="T108" s="12">
        <v>3.25</v>
      </c>
      <c r="U108" s="12">
        <v>124.9530195</v>
      </c>
      <c r="V108" s="12">
        <v>104.2133333</v>
      </c>
      <c r="W108" s="7" t="s">
        <v>107</v>
      </c>
      <c r="X108" s="7" t="s">
        <v>107</v>
      </c>
      <c r="Y108" s="7" t="s">
        <v>107</v>
      </c>
      <c r="Z108" s="7" t="s">
        <v>107</v>
      </c>
      <c r="AA108" s="7" t="s">
        <v>107</v>
      </c>
      <c r="AB108" s="7" t="s">
        <v>107</v>
      </c>
      <c r="AC108" s="7" t="s">
        <v>107</v>
      </c>
      <c r="AD108" s="7" t="s">
        <v>107</v>
      </c>
      <c r="AE108" s="7" t="s">
        <v>107</v>
      </c>
      <c r="AF108" s="7" t="s">
        <v>107</v>
      </c>
      <c r="AG108" s="7" t="s">
        <v>107</v>
      </c>
    </row>
  </sheetData>
  <pageMargins left="0.7" right="0.7" top="0.75" bottom="0.75" header="0.3" footer="0.3"/>
  <pageSetup paperSize="9" orientation="portrait" horizontalDpi="90" verticalDpi="9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E41BC-136B-4156-A55E-B00A9AB15953}">
  <sheetPr codeName="Tabelle18">
    <tabColor rgb="FF7030A0"/>
  </sheetPr>
  <dimension ref="A1:AG108"/>
  <sheetViews>
    <sheetView workbookViewId="0">
      <pane xSplit="1" ySplit="12" topLeftCell="AA13" activePane="bottomRight" state="frozen"/>
      <selection activeCell="E12" sqref="E12"/>
      <selection pane="topRight" activeCell="E12" sqref="E12"/>
      <selection pane="bottomLeft" activeCell="E12" sqref="E12"/>
      <selection pane="bottomRight" activeCell="AG10" sqref="AG10"/>
    </sheetView>
  </sheetViews>
  <sheetFormatPr defaultColWidth="9.109375" defaultRowHeight="14.4" outlineLevelRow="1" x14ac:dyDescent="0.3"/>
  <cols>
    <col min="2" max="2" width="11.5546875" bestFit="1" customWidth="1"/>
    <col min="4" max="4" width="12.44140625" customWidth="1"/>
    <col min="7" max="7" width="12.44140625" bestFit="1" customWidth="1"/>
    <col min="8" max="8" width="12.33203125" customWidth="1"/>
    <col min="18" max="18" width="11.109375" bestFit="1" customWidth="1"/>
    <col min="19" max="19" width="12.44140625" bestFit="1" customWidth="1"/>
    <col min="24" max="24" width="12.5546875" bestFit="1" customWidth="1"/>
    <col min="25" max="25" width="12.6640625" bestFit="1" customWidth="1"/>
    <col min="27" max="27" width="13.6640625" customWidth="1"/>
    <col min="33" max="33" width="9.109375" style="15"/>
  </cols>
  <sheetData>
    <row r="1" spans="1:33" s="8" customFormat="1" x14ac:dyDescent="0.3">
      <c r="A1" s="8" t="s">
        <v>0</v>
      </c>
      <c r="B1" s="8" t="s">
        <v>1</v>
      </c>
      <c r="C1" s="8" t="s">
        <v>2</v>
      </c>
      <c r="D1" s="8" t="s">
        <v>3</v>
      </c>
      <c r="E1" s="14" t="s">
        <v>4</v>
      </c>
      <c r="F1" s="8" t="s">
        <v>5</v>
      </c>
      <c r="G1" s="8" t="s">
        <v>6</v>
      </c>
      <c r="H1" s="8" t="s">
        <v>254</v>
      </c>
      <c r="I1" s="8" t="s">
        <v>7</v>
      </c>
      <c r="J1" s="8" t="s">
        <v>230</v>
      </c>
      <c r="K1" s="8" t="s">
        <v>231</v>
      </c>
      <c r="L1" s="8" t="s">
        <v>232</v>
      </c>
      <c r="M1" s="8" t="s">
        <v>233</v>
      </c>
      <c r="N1" s="8" t="s">
        <v>234</v>
      </c>
      <c r="O1" s="8" t="s">
        <v>235</v>
      </c>
      <c r="P1" s="8" t="s">
        <v>8</v>
      </c>
      <c r="Q1" s="8" t="s">
        <v>9</v>
      </c>
      <c r="R1" s="8" t="s">
        <v>10</v>
      </c>
      <c r="S1" s="8" t="s">
        <v>11</v>
      </c>
      <c r="T1" s="14" t="s">
        <v>12</v>
      </c>
      <c r="U1" s="8" t="s">
        <v>13</v>
      </c>
      <c r="V1" s="8" t="s">
        <v>14</v>
      </c>
      <c r="W1" s="8" t="s">
        <v>15</v>
      </c>
      <c r="X1" s="8" t="s">
        <v>16</v>
      </c>
      <c r="Y1" s="8" t="s">
        <v>17</v>
      </c>
      <c r="Z1" s="8" t="s">
        <v>18</v>
      </c>
      <c r="AA1" s="9" t="s">
        <v>248</v>
      </c>
      <c r="AB1" s="8" t="s">
        <v>236</v>
      </c>
      <c r="AC1" s="8" t="s">
        <v>237</v>
      </c>
      <c r="AD1" s="8" t="s">
        <v>238</v>
      </c>
      <c r="AE1" s="8" t="s">
        <v>239</v>
      </c>
      <c r="AF1" s="14" t="s">
        <v>255</v>
      </c>
    </row>
    <row r="2" spans="1:33" s="10" customFormat="1" outlineLevel="1" x14ac:dyDescent="0.3">
      <c r="A2" s="16" t="s">
        <v>1292</v>
      </c>
      <c r="B2" s="26"/>
      <c r="C2" s="26"/>
      <c r="D2" s="26" t="s">
        <v>198</v>
      </c>
      <c r="E2" s="26"/>
      <c r="F2" s="26"/>
      <c r="G2" s="26" t="s">
        <v>1025</v>
      </c>
      <c r="H2" s="26" t="s">
        <v>1027</v>
      </c>
      <c r="I2" s="26"/>
      <c r="J2" s="26" t="s">
        <v>955</v>
      </c>
      <c r="K2" s="26" t="s">
        <v>957</v>
      </c>
      <c r="L2" s="26" t="s">
        <v>959</v>
      </c>
      <c r="M2" s="26" t="s">
        <v>961</v>
      </c>
      <c r="N2" s="26" t="s">
        <v>963</v>
      </c>
      <c r="O2" s="26" t="s">
        <v>965</v>
      </c>
      <c r="P2" s="26"/>
      <c r="Q2" s="26"/>
      <c r="R2" s="26"/>
      <c r="S2" s="26" t="s">
        <v>971</v>
      </c>
      <c r="T2" s="26"/>
      <c r="U2" s="26"/>
      <c r="V2" s="26"/>
      <c r="W2" s="26" t="s">
        <v>976</v>
      </c>
      <c r="X2" s="26" t="s">
        <v>1029</v>
      </c>
      <c r="Y2" s="26" t="s">
        <v>1031</v>
      </c>
      <c r="Z2" s="26"/>
      <c r="AA2" s="26"/>
      <c r="AB2" s="26"/>
      <c r="AC2" s="26"/>
      <c r="AD2" s="26"/>
      <c r="AE2" s="26"/>
      <c r="AF2" s="26" t="s">
        <v>984</v>
      </c>
      <c r="AG2" s="26"/>
    </row>
    <row r="3" spans="1:33" outlineLevel="1" x14ac:dyDescent="0.3">
      <c r="A3" s="16" t="s">
        <v>1293</v>
      </c>
      <c r="B3" s="27" t="s">
        <v>123</v>
      </c>
      <c r="C3" s="27" t="s">
        <v>195</v>
      </c>
      <c r="D3" s="27" t="s">
        <v>195</v>
      </c>
      <c r="E3" s="27" t="s">
        <v>186</v>
      </c>
      <c r="F3" s="27" t="s">
        <v>125</v>
      </c>
      <c r="G3" s="27" t="s">
        <v>952</v>
      </c>
      <c r="H3" s="27" t="s">
        <v>952</v>
      </c>
      <c r="I3" s="27" t="s">
        <v>952</v>
      </c>
      <c r="J3" s="27" t="s">
        <v>1272</v>
      </c>
      <c r="K3" s="27" t="s">
        <v>125</v>
      </c>
      <c r="L3" s="27" t="s">
        <v>125</v>
      </c>
      <c r="M3" s="27" t="s">
        <v>125</v>
      </c>
      <c r="N3" s="27" t="s">
        <v>125</v>
      </c>
      <c r="O3" s="27" t="s">
        <v>125</v>
      </c>
      <c r="P3" s="27" t="s">
        <v>1267</v>
      </c>
      <c r="Q3" s="27" t="s">
        <v>969</v>
      </c>
      <c r="R3" s="27" t="s">
        <v>969</v>
      </c>
      <c r="S3" s="27" t="s">
        <v>973</v>
      </c>
      <c r="T3" s="27" t="s">
        <v>186</v>
      </c>
      <c r="U3" s="27" t="s">
        <v>125</v>
      </c>
      <c r="V3" s="27" t="s">
        <v>125</v>
      </c>
      <c r="W3" s="27" t="s">
        <v>1283</v>
      </c>
      <c r="X3" s="27" t="s">
        <v>207</v>
      </c>
      <c r="Y3" s="27" t="s">
        <v>207</v>
      </c>
      <c r="Z3" s="27" t="s">
        <v>203</v>
      </c>
      <c r="AA3" s="27" t="s">
        <v>125</v>
      </c>
      <c r="AB3" s="27" t="s">
        <v>125</v>
      </c>
      <c r="AC3" s="27" t="s">
        <v>125</v>
      </c>
      <c r="AD3" s="27" t="s">
        <v>125</v>
      </c>
      <c r="AE3" s="27" t="s">
        <v>125</v>
      </c>
      <c r="AF3" s="27" t="s">
        <v>125</v>
      </c>
      <c r="AG3" s="23"/>
    </row>
    <row r="4" spans="1:33" outlineLevel="1" x14ac:dyDescent="0.3">
      <c r="A4" s="16" t="s">
        <v>1288</v>
      </c>
      <c r="B4" s="2">
        <v>144396</v>
      </c>
      <c r="C4" s="2">
        <v>77811</v>
      </c>
      <c r="D4" s="2">
        <v>77812</v>
      </c>
      <c r="E4" s="2">
        <v>144399</v>
      </c>
      <c r="F4" s="27">
        <v>101874</v>
      </c>
      <c r="G4" s="2">
        <v>81846</v>
      </c>
      <c r="H4" s="2">
        <v>81839</v>
      </c>
      <c r="I4" s="2">
        <v>89221</v>
      </c>
      <c r="J4" s="2">
        <v>88620</v>
      </c>
      <c r="K4" s="27">
        <v>90863</v>
      </c>
      <c r="L4" s="27">
        <v>90907</v>
      </c>
      <c r="M4" s="27">
        <v>90929</v>
      </c>
      <c r="N4" s="27">
        <v>90973</v>
      </c>
      <c r="O4" s="27">
        <v>90995</v>
      </c>
      <c r="P4" s="2">
        <v>143839</v>
      </c>
      <c r="Q4" s="2">
        <v>143843</v>
      </c>
      <c r="R4" s="2">
        <v>143844</v>
      </c>
      <c r="S4" s="2">
        <v>319</v>
      </c>
      <c r="T4" s="2">
        <v>117771</v>
      </c>
      <c r="U4" s="27">
        <v>91639</v>
      </c>
      <c r="V4" s="27">
        <v>973</v>
      </c>
      <c r="W4" s="2">
        <v>71107</v>
      </c>
      <c r="X4" s="2">
        <v>87252</v>
      </c>
      <c r="Y4" s="2">
        <v>87289</v>
      </c>
      <c r="Z4" s="2">
        <v>88722</v>
      </c>
      <c r="AA4" s="27">
        <v>90335</v>
      </c>
      <c r="AB4" s="27">
        <v>90379</v>
      </c>
      <c r="AC4" s="27">
        <v>90401</v>
      </c>
      <c r="AD4" s="27">
        <v>90489</v>
      </c>
      <c r="AE4" s="27">
        <v>90511</v>
      </c>
      <c r="AF4" s="27">
        <v>89609</v>
      </c>
      <c r="AG4" s="27"/>
    </row>
    <row r="5" spans="1:33" outlineLevel="1" x14ac:dyDescent="0.3">
      <c r="A5" t="s">
        <v>1291</v>
      </c>
      <c r="B5" s="27" t="s">
        <v>221</v>
      </c>
      <c r="C5" s="27" t="s">
        <v>194</v>
      </c>
      <c r="D5" s="27" t="s">
        <v>199</v>
      </c>
      <c r="E5" s="27" t="s">
        <v>253</v>
      </c>
      <c r="F5" s="27" t="s">
        <v>189</v>
      </c>
      <c r="G5" s="27" t="s">
        <v>1026</v>
      </c>
      <c r="H5" s="27" t="s">
        <v>1028</v>
      </c>
      <c r="I5" s="27" t="s">
        <v>951</v>
      </c>
      <c r="J5" s="27" t="s">
        <v>956</v>
      </c>
      <c r="K5" s="27" t="s">
        <v>958</v>
      </c>
      <c r="L5" s="27" t="s">
        <v>960</v>
      </c>
      <c r="M5" s="27" t="s">
        <v>962</v>
      </c>
      <c r="N5" s="27" t="s">
        <v>964</v>
      </c>
      <c r="O5" s="27" t="s">
        <v>966</v>
      </c>
      <c r="P5" s="27" t="s">
        <v>967</v>
      </c>
      <c r="Q5" s="27" t="s">
        <v>968</v>
      </c>
      <c r="R5" s="27" t="s">
        <v>970</v>
      </c>
      <c r="S5" s="27" t="s">
        <v>972</v>
      </c>
      <c r="T5" s="27" t="s">
        <v>1306</v>
      </c>
      <c r="U5" s="27" t="s">
        <v>974</v>
      </c>
      <c r="V5" s="27" t="s">
        <v>975</v>
      </c>
      <c r="W5" s="27" t="s">
        <v>977</v>
      </c>
      <c r="X5" s="27" t="s">
        <v>1030</v>
      </c>
      <c r="Y5" s="27" t="s">
        <v>1032</v>
      </c>
      <c r="Z5" s="27" t="s">
        <v>978</v>
      </c>
      <c r="AA5" s="27" t="s">
        <v>979</v>
      </c>
      <c r="AB5" s="27" t="s">
        <v>980</v>
      </c>
      <c r="AC5" s="27" t="s">
        <v>981</v>
      </c>
      <c r="AD5" s="27" t="s">
        <v>982</v>
      </c>
      <c r="AE5" s="27" t="s">
        <v>983</v>
      </c>
      <c r="AF5" s="27" t="s">
        <v>985</v>
      </c>
      <c r="AG5" s="27"/>
    </row>
    <row r="6" spans="1:33" outlineLevel="1" x14ac:dyDescent="0.3">
      <c r="A6" t="s">
        <v>1289</v>
      </c>
      <c r="B6" s="27" t="s">
        <v>222</v>
      </c>
      <c r="C6" s="27" t="s">
        <v>196</v>
      </c>
      <c r="D6" s="27" t="s">
        <v>196</v>
      </c>
      <c r="E6" s="27" t="s">
        <v>187</v>
      </c>
      <c r="F6" s="27" t="s">
        <v>190</v>
      </c>
      <c r="G6" s="27" t="s">
        <v>953</v>
      </c>
      <c r="H6" s="27" t="s">
        <v>953</v>
      </c>
      <c r="I6" s="27" t="s">
        <v>953</v>
      </c>
      <c r="J6" s="27" t="s">
        <v>953</v>
      </c>
      <c r="K6" s="27" t="s">
        <v>953</v>
      </c>
      <c r="L6" s="27" t="s">
        <v>953</v>
      </c>
      <c r="M6" s="27" t="s">
        <v>953</v>
      </c>
      <c r="N6" s="27" t="s">
        <v>953</v>
      </c>
      <c r="O6" s="27" t="s">
        <v>953</v>
      </c>
      <c r="P6" s="27" t="s">
        <v>953</v>
      </c>
      <c r="Q6" s="27" t="s">
        <v>953</v>
      </c>
      <c r="R6" s="27" t="s">
        <v>953</v>
      </c>
      <c r="S6" s="27" t="s">
        <v>953</v>
      </c>
      <c r="T6" s="27" t="s">
        <v>953</v>
      </c>
      <c r="U6" s="27" t="s">
        <v>953</v>
      </c>
      <c r="V6" s="27" t="s">
        <v>953</v>
      </c>
      <c r="W6" s="27" t="s">
        <v>953</v>
      </c>
      <c r="X6" s="27" t="s">
        <v>953</v>
      </c>
      <c r="Y6" s="27" t="s">
        <v>953</v>
      </c>
      <c r="Z6" s="27" t="s">
        <v>953</v>
      </c>
      <c r="AA6" s="27" t="s">
        <v>953</v>
      </c>
      <c r="AB6" s="27" t="s">
        <v>953</v>
      </c>
      <c r="AC6" s="27" t="s">
        <v>953</v>
      </c>
      <c r="AD6" s="27" t="s">
        <v>953</v>
      </c>
      <c r="AE6" s="27" t="s">
        <v>953</v>
      </c>
      <c r="AF6" s="27" t="s">
        <v>953</v>
      </c>
      <c r="AG6" s="23"/>
    </row>
    <row r="7" spans="1:33" outlineLevel="1" x14ac:dyDescent="0.3">
      <c r="A7" t="s">
        <v>1290</v>
      </c>
      <c r="B7" s="27" t="s">
        <v>223</v>
      </c>
      <c r="C7" s="27" t="s">
        <v>197</v>
      </c>
      <c r="D7" s="27" t="s">
        <v>197</v>
      </c>
      <c r="E7" s="27" t="s">
        <v>188</v>
      </c>
      <c r="F7" s="27" t="s">
        <v>191</v>
      </c>
      <c r="G7" s="27" t="s">
        <v>954</v>
      </c>
      <c r="H7" s="27" t="s">
        <v>954</v>
      </c>
      <c r="I7" s="27" t="s">
        <v>954</v>
      </c>
      <c r="J7" s="27" t="s">
        <v>954</v>
      </c>
      <c r="K7" s="27" t="s">
        <v>954</v>
      </c>
      <c r="L7" s="27" t="s">
        <v>954</v>
      </c>
      <c r="M7" s="27" t="s">
        <v>954</v>
      </c>
      <c r="N7" s="27" t="s">
        <v>954</v>
      </c>
      <c r="O7" s="27" t="s">
        <v>954</v>
      </c>
      <c r="P7" s="27" t="s">
        <v>954</v>
      </c>
      <c r="Q7" s="27" t="s">
        <v>954</v>
      </c>
      <c r="R7" s="27" t="s">
        <v>954</v>
      </c>
      <c r="S7" s="27" t="s">
        <v>954</v>
      </c>
      <c r="T7" s="27" t="s">
        <v>954</v>
      </c>
      <c r="U7" s="27" t="s">
        <v>954</v>
      </c>
      <c r="V7" s="27" t="s">
        <v>954</v>
      </c>
      <c r="W7" s="27" t="s">
        <v>954</v>
      </c>
      <c r="X7" s="27" t="s">
        <v>954</v>
      </c>
      <c r="Y7" s="27" t="s">
        <v>954</v>
      </c>
      <c r="Z7" s="27" t="s">
        <v>954</v>
      </c>
      <c r="AA7" s="27" t="s">
        <v>954</v>
      </c>
      <c r="AB7" s="27" t="s">
        <v>954</v>
      </c>
      <c r="AC7" s="27" t="s">
        <v>954</v>
      </c>
      <c r="AD7" s="27" t="s">
        <v>954</v>
      </c>
      <c r="AE7" s="27" t="s">
        <v>954</v>
      </c>
      <c r="AF7" s="27" t="s">
        <v>954</v>
      </c>
      <c r="AG7" s="23"/>
    </row>
    <row r="8" spans="1:33" outlineLevel="1" x14ac:dyDescent="0.3">
      <c r="A8" s="16" t="s">
        <v>489</v>
      </c>
      <c r="B8" s="27" t="s">
        <v>120</v>
      </c>
      <c r="C8" s="27" t="s">
        <v>163</v>
      </c>
      <c r="D8" s="27" t="s">
        <v>163</v>
      </c>
      <c r="E8" s="27" t="s">
        <v>159</v>
      </c>
      <c r="F8" s="27"/>
      <c r="G8" s="27" t="s">
        <v>179</v>
      </c>
      <c r="H8" s="27" t="s">
        <v>173</v>
      </c>
      <c r="I8" s="27" t="s">
        <v>182</v>
      </c>
      <c r="J8" s="27" t="s">
        <v>120</v>
      </c>
      <c r="K8" s="27" t="s">
        <v>126</v>
      </c>
      <c r="L8" s="27" t="s">
        <v>129</v>
      </c>
      <c r="M8" s="27" t="s">
        <v>132</v>
      </c>
      <c r="N8" s="27" t="s">
        <v>135</v>
      </c>
      <c r="O8" s="27" t="s">
        <v>138</v>
      </c>
      <c r="P8" s="27" t="s">
        <v>141</v>
      </c>
      <c r="Q8" s="27" t="s">
        <v>146</v>
      </c>
      <c r="R8" s="27" t="s">
        <v>149</v>
      </c>
      <c r="S8" s="27" t="s">
        <v>154</v>
      </c>
      <c r="T8" s="27" t="s">
        <v>159</v>
      </c>
      <c r="U8" s="27" t="s">
        <v>163</v>
      </c>
      <c r="V8" s="27" t="s">
        <v>168</v>
      </c>
      <c r="W8" s="27" t="s">
        <v>217</v>
      </c>
      <c r="X8" s="27" t="s">
        <v>208</v>
      </c>
      <c r="Y8" s="27" t="s">
        <v>213</v>
      </c>
      <c r="Z8" s="27" t="s">
        <v>204</v>
      </c>
      <c r="AA8" s="27" t="s">
        <v>126</v>
      </c>
      <c r="AB8" s="27" t="s">
        <v>129</v>
      </c>
      <c r="AC8" s="27" t="s">
        <v>132</v>
      </c>
      <c r="AD8" s="27" t="s">
        <v>135</v>
      </c>
      <c r="AE8" s="27" t="s">
        <v>138</v>
      </c>
      <c r="AF8" s="27" t="s">
        <v>351</v>
      </c>
      <c r="AG8" s="23"/>
    </row>
    <row r="9" spans="1:33" outlineLevel="1" x14ac:dyDescent="0.3">
      <c r="A9" s="16" t="s">
        <v>490</v>
      </c>
      <c r="B9" s="27" t="s">
        <v>121</v>
      </c>
      <c r="C9" s="27" t="s">
        <v>164</v>
      </c>
      <c r="D9" s="27" t="s">
        <v>164</v>
      </c>
      <c r="E9" s="27" t="s">
        <v>160</v>
      </c>
      <c r="F9" s="27"/>
      <c r="G9" s="27" t="s">
        <v>180</v>
      </c>
      <c r="H9" s="27" t="s">
        <v>174</v>
      </c>
      <c r="I9" s="27" t="s">
        <v>183</v>
      </c>
      <c r="J9" s="27" t="s">
        <v>121</v>
      </c>
      <c r="K9" s="27" t="s">
        <v>127</v>
      </c>
      <c r="L9" s="27" t="s">
        <v>130</v>
      </c>
      <c r="M9" s="27" t="s">
        <v>133</v>
      </c>
      <c r="N9" s="27" t="s">
        <v>136</v>
      </c>
      <c r="O9" s="27" t="s">
        <v>139</v>
      </c>
      <c r="P9" s="27" t="s">
        <v>142</v>
      </c>
      <c r="Q9" s="27" t="s">
        <v>147</v>
      </c>
      <c r="R9" s="27" t="s">
        <v>150</v>
      </c>
      <c r="S9" s="27" t="s">
        <v>155</v>
      </c>
      <c r="T9" s="27" t="s">
        <v>160</v>
      </c>
      <c r="U9" s="27" t="s">
        <v>164</v>
      </c>
      <c r="V9" s="27" t="s">
        <v>169</v>
      </c>
      <c r="W9" s="27" t="s">
        <v>218</v>
      </c>
      <c r="X9" s="27" t="s">
        <v>209</v>
      </c>
      <c r="Y9" s="27" t="s">
        <v>214</v>
      </c>
      <c r="Z9" s="27" t="s">
        <v>205</v>
      </c>
      <c r="AA9" s="27" t="s">
        <v>127</v>
      </c>
      <c r="AB9" s="27" t="s">
        <v>130</v>
      </c>
      <c r="AC9" s="27" t="s">
        <v>133</v>
      </c>
      <c r="AD9" s="27" t="s">
        <v>136</v>
      </c>
      <c r="AE9" s="27" t="s">
        <v>139</v>
      </c>
      <c r="AF9" s="27" t="s">
        <v>352</v>
      </c>
      <c r="AG9" s="24"/>
    </row>
    <row r="10" spans="1:33" outlineLevel="1" x14ac:dyDescent="0.3">
      <c r="A10" s="16" t="s">
        <v>491</v>
      </c>
      <c r="B10" s="27" t="s">
        <v>224</v>
      </c>
      <c r="C10" s="27" t="s">
        <v>165</v>
      </c>
      <c r="D10" s="27" t="s">
        <v>200</v>
      </c>
      <c r="E10" s="27" t="s">
        <v>226</v>
      </c>
      <c r="F10" s="27"/>
      <c r="G10" s="27" t="s">
        <v>175</v>
      </c>
      <c r="H10" s="27" t="s">
        <v>175</v>
      </c>
      <c r="I10" s="27" t="s">
        <v>184</v>
      </c>
      <c r="J10" s="27" t="s">
        <v>122</v>
      </c>
      <c r="K10" s="27" t="s">
        <v>122</v>
      </c>
      <c r="L10" s="27" t="s">
        <v>122</v>
      </c>
      <c r="M10" s="27" t="s">
        <v>122</v>
      </c>
      <c r="N10" s="27" t="s">
        <v>122</v>
      </c>
      <c r="O10" s="27" t="s">
        <v>122</v>
      </c>
      <c r="P10" s="27" t="s">
        <v>143</v>
      </c>
      <c r="Q10" s="27" t="s">
        <v>143</v>
      </c>
      <c r="R10" s="27" t="s">
        <v>151</v>
      </c>
      <c r="S10" s="27" t="s">
        <v>156</v>
      </c>
      <c r="T10" s="27" t="s">
        <v>447</v>
      </c>
      <c r="U10" s="27" t="s">
        <v>165</v>
      </c>
      <c r="V10" s="27" t="s">
        <v>170</v>
      </c>
      <c r="W10" s="27" t="s">
        <v>219</v>
      </c>
      <c r="X10" s="27" t="s">
        <v>210</v>
      </c>
      <c r="Y10" s="27" t="s">
        <v>210</v>
      </c>
      <c r="Z10" s="27" t="s">
        <v>184</v>
      </c>
      <c r="AA10" s="27" t="s">
        <v>184</v>
      </c>
      <c r="AB10" s="27" t="s">
        <v>184</v>
      </c>
      <c r="AC10" s="27" t="s">
        <v>184</v>
      </c>
      <c r="AD10" s="27" t="s">
        <v>184</v>
      </c>
      <c r="AE10" s="27" t="s">
        <v>184</v>
      </c>
      <c r="AF10" s="27" t="s">
        <v>156</v>
      </c>
      <c r="AG10" s="23"/>
    </row>
    <row r="11" spans="1:33" ht="15.6" customHeight="1" outlineLevel="1" x14ac:dyDescent="0.3">
      <c r="A11" s="16" t="s">
        <v>492</v>
      </c>
      <c r="B11" s="27" t="s">
        <v>225</v>
      </c>
      <c r="C11" s="27" t="s">
        <v>166</v>
      </c>
      <c r="D11" s="27" t="s">
        <v>201</v>
      </c>
      <c r="E11" s="27" t="s">
        <v>227</v>
      </c>
      <c r="F11" s="27"/>
      <c r="G11" s="27" t="s">
        <v>176</v>
      </c>
      <c r="H11" s="27" t="s">
        <v>176</v>
      </c>
      <c r="I11" s="27" t="s">
        <v>185</v>
      </c>
      <c r="J11" s="27" t="s">
        <v>118</v>
      </c>
      <c r="K11" s="27" t="s">
        <v>118</v>
      </c>
      <c r="L11" s="27" t="s">
        <v>118</v>
      </c>
      <c r="M11" s="27" t="s">
        <v>118</v>
      </c>
      <c r="N11" s="27" t="s">
        <v>118</v>
      </c>
      <c r="O11" s="27" t="s">
        <v>118</v>
      </c>
      <c r="P11" s="27" t="s">
        <v>144</v>
      </c>
      <c r="Q11" s="27" t="s">
        <v>144</v>
      </c>
      <c r="R11" s="27" t="s">
        <v>152</v>
      </c>
      <c r="S11" s="27" t="s">
        <v>157</v>
      </c>
      <c r="T11" s="27" t="s">
        <v>448</v>
      </c>
      <c r="U11" s="27" t="s">
        <v>166</v>
      </c>
      <c r="V11" s="27" t="s">
        <v>171</v>
      </c>
      <c r="W11" s="27" t="s">
        <v>220</v>
      </c>
      <c r="X11" s="27" t="s">
        <v>211</v>
      </c>
      <c r="Y11" s="27" t="s">
        <v>211</v>
      </c>
      <c r="Z11" s="27" t="s">
        <v>185</v>
      </c>
      <c r="AA11" s="27" t="s">
        <v>185</v>
      </c>
      <c r="AB11" s="27" t="s">
        <v>185</v>
      </c>
      <c r="AC11" s="27" t="s">
        <v>185</v>
      </c>
      <c r="AD11" s="27" t="s">
        <v>185</v>
      </c>
      <c r="AE11" s="27" t="s">
        <v>185</v>
      </c>
      <c r="AF11" s="27" t="s">
        <v>157</v>
      </c>
      <c r="AG11" s="23"/>
    </row>
    <row r="12" spans="1:33" outlineLevel="1" x14ac:dyDescent="0.3">
      <c r="B12" s="4" t="str">
        <f>INDEX({"31/01/2024 @ 15:43","macro_id=DBGlobal","label_id=144396","time=Q","year_from=2000","year_to=2023","direction=V","opt_font=true","fontsize=8","opt_color=true","col_desc=Calculation:10;Footnote 1:9;ID:8;Label:7;Reporter:6:s;Reporter:5:long;Indicator:4:s;Indicator:3:l;Unit:2:s;Unit:1:long;","numberformat=0.00","auto_tr=1999|2015","com=true","comp=4"},1,1)</f>
        <v>31/01/2024 @ 15:43</v>
      </c>
      <c r="C12" s="4" t="str">
        <f>INDEX({"31/01/2024 @ 15:43","macro_id=DBGlobal","label_id=77811","time=Q","year_from=2000","year_to=2023","direction=V","opt_font=true","fontsize=8","opt_color=true","col_desc=Calculation:10;Footnote 1:9;ID:8;Label:7;Reporter:6:s;Reporter:5:long;Indicator:4:s;Indicator:3:l;Unit:2:s;Unit:1:long;","numberformat=0.00","auto_tr=1999|2015","com=true","comp=4"},1,1)</f>
        <v>31/01/2024 @ 15:43</v>
      </c>
      <c r="D12" s="6" t="str">
        <f>INDEX({"31/01/2024 @ 15:43","macro_id=DBGlobal","label_id=77812","calc=SubScal(L_77812,100)","time=Q","year_from=2000","year_to=2023","direction=V","opt_font=true","fontsize=8","opt_color=true","col_desc=Calculation:10;Footnote 1:9;ID:8;Label:7;Reporter:6:s;Reporter:5:long;Indicator:4:s;Indicator:3:l;Unit:2:s;Unit:1:long;","numberformat=0.00","auto_tr=1999|2015","com=true","comp=4"},1,1)</f>
        <v>31/01/2024 @ 15:43</v>
      </c>
      <c r="E12" s="4" t="str">
        <f>INDEX({"31/01/2024 @ 15:43","macro_id=DBGlobal","label_id=144399","time=Q","year_from=2000","year_to=2023","direction=V","opt_font=true","fontsize=8","opt_color=true","col_desc=Calculation:10;Footnote 1:9;ID:8;Label:7;Reporter:6:s;Reporter:5:long;Indicator:4:s;Indicator:3:l;Unit:2:s;Unit:1:long;","numberformat=0.00","auto_tr=1999|2015","com=true","comp=4"},1,1)</f>
        <v>31/01/2024 @ 15:43</v>
      </c>
      <c r="F12" s="4" t="str">
        <f>INDEX({"31/01/2024 @ 15:43","macro_id=DBGlobal","label_id=101874","time=Q","year_from=2000","year_to=2023","direction=V","opt_font=true","fontsize=8","opt_color=true","col_desc=Calculation:10;Footnote 1:9;ID:8;Label:7;Reporter:6:s;Reporter:5:long;Indicator:4:s;Indicator:3:l;Unit:2:s;Unit:1:long;","numberformat=0.00","auto_tr=1999|2015","com=true","comp=4"},1,1)</f>
        <v>31/01/2024 @ 15:43</v>
      </c>
      <c r="G12" s="5" t="str">
        <f>INDEX({"31/01/2024 @ 15:43","macro_id=DBGlobal","label_id=81846","calc=SubScal(CPPY=100(L_81846),100)","time=Q","year_from=2000","year_to=2023","direction=V","opt_font=true","fontsize=8","opt_color=true","col_desc=Calculation:10;Footnote 1:9;ID:8;Label:7;Reporter:6:s;Reporter:5:long;Indicator:4:s;Indicator:3:l;Unit:2:s;Unit:1:long;","numberformat=0.00","auto_tr=1999|2015","com=true","comp=4"},1,1)</f>
        <v>31/01/2024 @ 15:43</v>
      </c>
      <c r="H12" s="5" t="str">
        <f>INDEX({"31/01/2024 @ 15:43","macro_id=DBGlobal","label_id=81839","calc=SubScal(CPPY=100(L_81839),100)","time=Q","year_from=2000","year_to=2023","direction=V","opt_font=true","fontsize=8","opt_color=true","col_desc=Calculation:10;Footnote 1:9;ID:8;Label:7;Reporter:6:s;Reporter:5:long;Indicator:4:s;Indicator:3:l;Unit:2:s;Unit:1:long;","numberformat=0.00","auto_tr=1999|2015","com=true","comp=4"},1,1)</f>
        <v>31/01/2024 @ 15:43</v>
      </c>
      <c r="I12" s="1" t="str">
        <f>INDEX({"31/01/2024 @ 15:43","macro_id=DBGlobal","label_id=89221","time=Q","year_from=2000","year_to=2023","direction=V","opt_font=true","fontsize=8","opt_color=true","col_desc=Calculation:10;Footnote 1:9;ID:8;Label:7;Reporter:6:s;Reporter:5:long;Indicator:4:s;Indicator:3:l;Unit:2:s;Unit:1:long;","numberformat=0.00","auto_tr=1999|2015","com=true","comp=4"},1,1)</f>
        <v>31/01/2024 @ 15:43</v>
      </c>
      <c r="J12" s="5" t="str">
        <f>INDEX({"31/01/2024 @ 15:43","macro_id=DBGlobal","label_id=88620","calc=SubScal(CPPY=100(L_88620),100)","time=Q","year_from=2000","year_to=2023","direction=V","opt_font=true","fontsize=8","opt_color=true","col_desc=Calculation:10;Footnote 1:9;ID:8;Label:7;Reporter:6:s;Reporter:5:long;Indicator:4:s;Indicator:3:l;Unit:2:s;Unit:1:long;","numberformat=0.00","auto_tr=1999|2015","com=true","comp=4"},1,1)</f>
        <v>31/01/2024 @ 15:43</v>
      </c>
      <c r="K12" s="5" t="str">
        <f>INDEX({"31/01/2024 @ 15:43","macro_id=DBGlobal","label_id=90863","calc=SubScal(CPPY=100(L_90863),100)","time=Q","year_from=2000","year_to=2023","direction=V","opt_font=true","fontsize=8","opt_color=true","col_desc=Calculation:10;Footnote 1:9;ID:8;Label:7;Reporter:6:s;Reporter:5:long;Indicator:4:s;Indicator:3:l;Unit:2:s;Unit:1:long;","numberformat=0.00","auto_tr=1999|2015","com=true","comp=4"},1,1)</f>
        <v>31/01/2024 @ 15:43</v>
      </c>
      <c r="L12" s="5" t="str">
        <f>INDEX({"31/01/2024 @ 15:43","macro_id=DBGlobal","label_id=90907","calc=SubScal(CPPY=100(L_90907),100)","time=Q","year_from=2000","year_to=2023","direction=V","opt_font=true","fontsize=8","opt_color=true","col_desc=Calculation:10;Footnote 1:9;ID:8;Label:7;Reporter:6:s;Reporter:5:long;Indicator:4:s;Indicator:3:l;Unit:2:s;Unit:1:long;","numberformat=0.00","auto_tr=1999|2015","com=true","comp=4"},1,1)</f>
        <v>31/01/2024 @ 15:43</v>
      </c>
      <c r="M12" s="5" t="str">
        <f>INDEX({"31/01/2024 @ 15:43","macro_id=DBGlobal","label_id=90929","calc=SubScal(CPPY=100(L_90929),100)","time=Q","year_from=2000","year_to=2023","direction=V","opt_font=true","fontsize=8","opt_color=true","col_desc=Calculation:10;Footnote 1:9;ID:8;Label:7;Reporter:6:s;Reporter:5:long;Indicator:4:s;Indicator:3:l;Unit:2:s;Unit:1:long;","numberformat=0.00","auto_tr=1999|2015","com=true","comp=4"},1,1)</f>
        <v>31/01/2024 @ 15:43</v>
      </c>
      <c r="N12" s="5" t="str">
        <f>INDEX({"31/01/2024 @ 15:43","macro_id=DBGlobal","label_id=90973","calc=SubScal(CPPY=100(L_90973),100)","time=Q","year_from=2000","year_to=2023","direction=V","opt_font=true","fontsize=8","opt_color=true","col_desc=Calculation:10;Footnote 1:9;ID:8;Label:7;Reporter:6:s;Reporter:5:long;Indicator:4:s;Indicator:3:l;Unit:2:s;Unit:1:long;","numberformat=0.00","auto_tr=1999|2015","com=true","comp=4"},1,1)</f>
        <v>31/01/2024 @ 15:43</v>
      </c>
      <c r="O12" s="5" t="str">
        <f>INDEX({"31/01/2024 @ 15:43","macro_id=DBGlobal","label_id=90995","calc=SubScal(CPPY=100(L_90995),100)","time=Q","year_from=2000","year_to=2023","direction=V","opt_font=true","fontsize=8","opt_color=true","col_desc=Calculation:10;Footnote 1:9;ID:8;Label:7;Reporter:6:s;Reporter:5:long;Indicator:4:s;Indicator:3:l;Unit:2:s;Unit:1:long;","numberformat=0.00","auto_tr=1999|2015","com=true","comp=4"},1,1)</f>
        <v>31/01/2024 @ 15:43</v>
      </c>
      <c r="P12" s="1" t="str">
        <f>INDEX({"31/01/2024 @ 15:43","macro_id=DBGlobal","label_id=143839","time=Q","year_from=2000","year_to=2023","direction=V","opt_font=true","fontsize=8","opt_color=true","col_desc=Calculation:10;Footnote 1:9;ID:8;Label:7;Reporter:6:s;Reporter:5:long;Indicator:4:s;Indicator:3:l;Unit:2:s;Unit:1:long;","numberformat=0.00","auto_tr=1999|2015","com=true","comp=4"},1,1)</f>
        <v>31/01/2024 @ 15:43</v>
      </c>
      <c r="Q12" s="1" t="str">
        <f>INDEX({"31/01/2024 @ 15:43","macro_id=DBGlobal","label_id=143843","time=Q","year_from=2000","year_to=2023","direction=V","opt_font=true","fontsize=8","opt_color=true","col_desc=Calculation:10;Footnote 1:9;ID:8;Label:7;Reporter:6:s;Reporter:5:long;Indicator:4:s;Indicator:3:l;Unit:2:s;Unit:1:long;","numberformat=0.00","auto_tr=1999|2015","com=true","comp=4"},1,1)</f>
        <v>31/01/2024 @ 15:43</v>
      </c>
      <c r="R12" s="1" t="str">
        <f>INDEX({"31/01/2024 @ 15:43","macro_id=DBGlobal","label_id=143844","time=Q","year_from=2000","year_to=2023","direction=V","opt_font=true","fontsize=8","opt_color=true","col_desc=Calculation:10;Footnote 1:9;ID:8;Label:7;Reporter:6:s;Reporter:5:long;Indicator:4:s;Indicator:3:l;Unit:2:s;Unit:1:long;","numberformat=0.00","auto_tr=1999|2015","com=true","comp=4"},1,1)</f>
        <v>31/01/2024 @ 15:43</v>
      </c>
      <c r="S12" s="5" t="str">
        <f>INDEX({"31/01/2024 @ 15:43","macro_id=DBGlobal","label_id=319","calc=SubScal(L_319,100)","time=Q","year_from=2000","year_to=2023","direction=V","opt_font=true","fontsize=8","opt_color=true","col_desc=Calculation:10;Footnote 1:9;ID:8;Label:7;Reporter:6:s;Reporter:5:long;Indicator:4:s;Indicator:3:l;Unit:2:s;Unit:1:long;","numberformat=0.00","auto_tr=1999|2015","com=true","comp=4"},1,1)</f>
        <v>31/01/2024 @ 15:43</v>
      </c>
      <c r="T12" s="4" t="str">
        <f>INDEX({"31/01/2024 @ 15:43","macro_id=DBGlobal","label_id=117771","time=Q","year_from=2000","year_to=2023","direction=V","opt_font=true","fontsize=8","opt_color=true","col_desc=Calculation:10;Footnote 1:9;ID:8;Label:7;Reporter:6:s;Reporter:5:long;Indicator:4:s;Indicator:3:l;Unit:2:s;Unit:1:long;","numberformat=0.00","auto_tr=1999|2015","com=true","comp=4"},1,1)</f>
        <v>31/01/2024 @ 15:43</v>
      </c>
      <c r="U12" s="1" t="str">
        <f>INDEX({"31/01/2024 @ 15:43","macro_id=DBGlobal","label_id=91639","time=Q","year_from=2000","year_to=2023","direction=V","opt_font=true","fontsize=8","opt_color=true","col_desc=Calculation:10;Footnote 1:9;ID:8;Label:7;Reporter:6:s;Reporter:5:long;Indicator:4:s;Indicator:3:l;Unit:2:s;Unit:1:long;","numberformat=0.00","auto_tr=1999|2015","com=true","comp=4"},1,1)</f>
        <v>31/01/2024 @ 15:43</v>
      </c>
      <c r="V12" s="1" t="str">
        <f>INDEX({"31/01/2024 @ 15:43","macro_id=DBGlobal","label_id=973","time=Q","year_from=2000","year_to=2023","direction=V","opt_font=true","fontsize=8","opt_color=true","col_desc=Calculation:10;Footnote 1:9;ID:8;Label:7;Reporter:6:s;Reporter:5:long;Indicator:4:s;Indicator:3:l;Unit:2:s;Unit:1:long;","numberformat=0.00","auto_tr=1999|2015","com=true","comp=4"},1,1)</f>
        <v>31/01/2024 @ 15:43</v>
      </c>
      <c r="W12" s="5" t="str">
        <f>INDEX({"31/01/2024 @ 15:43","macro_id=DBGlobal","label_id=71107","calc=SubScal(L_71107,100)","time=Q","year_from=2000","year_to=2023","direction=V","opt_font=true","fontsize=8","opt_color=true","col_desc=Calculation:10;Footnote 1:9;ID:8;Label:7;Reporter:6:s;Reporter:5:long;Indicator:4:s;Indicator:3:l;Unit:2:s;Unit:1:long;","numberformat=0.00","auto_tr=1999|2015","com=true","comp=4"},1,1)</f>
        <v>31/01/2024 @ 15:43</v>
      </c>
      <c r="X12" s="6" t="str">
        <f>INDEX({"31/01/2024 @ 15:43","macro_id=DBGlobal","label_id=87252","calc=SubScal(CPPY=100(AddNull(L_87252,L_87326)),100)","time=Q","year_from=2000","year_to=2023","direction=V","opt_font=true","fontsize=8","opt_color=true","col_desc=Calculation:10;Footnote 1:9;ID:8;Label:7;Reporter:6:s;Reporter:5:long;Indicator:4:s;Indicator:3:l;Unit:2:s;Unit:1:long;","numberformat=0.00","auto_tr=1999|2015","com=true","comp=4"},1,1)</f>
        <v>31/01/2024 @ 15:43</v>
      </c>
      <c r="Y12" s="6" t="str">
        <f>INDEX({"31/01/2024 @ 15:43","macro_id=DBGlobal","label_id=87289","calc=SubScal(CPPY=100(AddNull(L_87289,L_87363)),100)","time=Q","year_from=2000","year_to=2023","direction=V","opt_font=true","fontsize=8","opt_color=true","col_desc=Calculation:10;Footnote 1:9;ID:8;Label:7;Reporter:6:s;Reporter:5:long;Indicator:4:s;Indicator:3:l;Unit:2:s;Unit:1:long;","numberformat=0.00","auto_tr=1999|2015","com=true","comp=4"},1,1)</f>
        <v>31/01/2024 @ 15:43</v>
      </c>
      <c r="Z12" s="1" t="str">
        <f>INDEX({"31/01/2024 @ 15:43","macro_id=DBGlobal","label_id=88722","time=Q","year_from=2000","year_to=2023","direction=V","opt_font=true","fontsize=8","opt_color=true","col_desc=Calculation:10;Footnote 1:9;ID:8;Label:7;Reporter:6:s;Reporter:5:long;Indicator:4:s;Indicator:3:l;Unit:2:s;Unit:1:long;","numberformat=0.00","auto_tr=1999|2015","com=true","comp=4"},1,1)</f>
        <v>31/01/2024 @ 15:43</v>
      </c>
      <c r="AA12" s="1" t="str">
        <f>INDEX({"31/01/2024 @ 15:43","macro_id=DBGlobal","label_id=90335","time=Q","year_from=2000","year_to=2023","direction=V","opt_font=true","fontsize=8","opt_color=true","col_desc=Calculation:10;Footnote 1:9;ID:8;Label:7;Reporter:6:s;Reporter:5:long;Indicator:4:s;Indicator:3:l;Unit:2:s;Unit:1:long;","numberformat=0.00","auto_tr=1999|2015","com=true","comp=4"},1,1)</f>
        <v>31/01/2024 @ 15:43</v>
      </c>
      <c r="AB12" s="1" t="str">
        <f>INDEX({"31/01/2024 @ 15:43","macro_id=DBGlobal","label_id=90379","time=Q","year_from=2000","year_to=2023","direction=V","opt_font=true","fontsize=8","opt_color=true","col_desc=Calculation:10;Footnote 1:9;ID:8;Label:7;Reporter:6:s;Reporter:5:long;Indicator:4:s;Indicator:3:l;Unit:2:s;Unit:1:long;","numberformat=0.00","auto_tr=1999|2015","com=true","comp=4"},1,1)</f>
        <v>31/01/2024 @ 15:43</v>
      </c>
      <c r="AC12" s="1" t="str">
        <f>INDEX({"31/01/2024 @ 15:43","macro_id=DBGlobal","label_id=90401","time=Q","year_from=2000","year_to=2023","direction=V","opt_font=true","fontsize=8","opt_color=true","col_desc=Calculation:10;Footnote 1:9;ID:8;Label:7;Reporter:6:s;Reporter:5:long;Indicator:4:s;Indicator:3:l;Unit:2:s;Unit:1:long;","numberformat=0.00","auto_tr=1999|2015","com=true","comp=4"},1,1)</f>
        <v>31/01/2024 @ 15:43</v>
      </c>
      <c r="AD12" s="1" t="str">
        <f>INDEX({"31/01/2024 @ 15:43","macro_id=DBGlobal","label_id=90489","time=Q","year_from=2000","year_to=2023","direction=V","opt_font=true","fontsize=8","opt_color=true","col_desc=Calculation:10;Footnote 1:9;ID:8;Label:7;Reporter:6:s;Reporter:5:long;Indicator:4:s;Indicator:3:l;Unit:2:s;Unit:1:long;","numberformat=0.00","auto_tr=1999|2015","com=true","comp=4"},1,1)</f>
        <v>31/01/2024 @ 15:43</v>
      </c>
      <c r="AE12" s="1" t="str">
        <f>INDEX({"31/01/2024 @ 15:43","macro_id=DBGlobal","label_id=90511","time=Q","year_from=2000","year_to=2023","direction=V","opt_font=true","fontsize=8","opt_color=true","col_desc=Calculation:10;Footnote 1:9;ID:8;Label:7;Reporter:6:s;Reporter:5:long;Indicator:4:s;Indicator:3:l;Unit:2:s;Unit:1:long;","numberformat=0.00","auto_tr=1999|2015","com=true","comp=4"},1,1)</f>
        <v>31/01/2024 @ 15:43</v>
      </c>
      <c r="AF12" s="5" t="str">
        <f>INDEX({"31/01/2024 @ 15:43","macro_id=DBGlobal","label_id=89609","calc=SubScal(L_89609,100)","time=Q","year_from=2000","year_to=2023","direction=V","opt_font=true","fontsize=8","opt_color=true","col_desc=Calculation:10;Footnote 1:9;ID:8;Label:7;Reporter:6:s;Reporter:5:long;Indicator:4:s;Indicator:3:l;Unit:2:s;Unit:1:long;","numberformat=0.00","auto_tr=1999|2015","com=true","comp=4"},1,1)</f>
        <v>31/01/2024 @ 15:43</v>
      </c>
      <c r="AG12" s="25" t="str">
        <f>INDEX({"31/01/2024 @ 15:43","macro_id=DBGlobal","label_id=babgdtpx_help_q&gt;mdb-h","time=Q","year_from=2000","year_to=2023","direction=V","opt_font=true","fontsize=8","opt_color=true","col_desc=Calculation:10;Footnote 1:9;ID:8;Label:7;Reporter:6:s;Reporter:5:long;Indicator:4:s;Indicator:3:l;Unit:2:s;Unit:1:long;","numberformat=0.00","auto_tr=1999|2015","com=true","comp=4"},1,1)</f>
        <v>31/01/2024 @ 15:43</v>
      </c>
    </row>
    <row r="13" spans="1:33" s="11" customFormat="1" x14ac:dyDescent="0.3">
      <c r="A13" s="11" t="s">
        <v>19</v>
      </c>
      <c r="B13" s="12">
        <v>4.8214176000000002</v>
      </c>
      <c r="C13" s="12">
        <v>73.989999999999995</v>
      </c>
      <c r="D13" s="12">
        <v>1.7557532</v>
      </c>
      <c r="E13" s="12">
        <v>3.25</v>
      </c>
      <c r="F13" s="13">
        <v>26.926666699999998</v>
      </c>
      <c r="G13" s="7" t="s">
        <v>107</v>
      </c>
      <c r="H13" s="7" t="s">
        <v>107</v>
      </c>
      <c r="I13" s="7" t="s">
        <v>107</v>
      </c>
      <c r="J13" s="7" t="s">
        <v>107</v>
      </c>
      <c r="K13" s="7" t="s">
        <v>107</v>
      </c>
      <c r="L13" s="7" t="s">
        <v>107</v>
      </c>
      <c r="M13" s="7" t="s">
        <v>107</v>
      </c>
      <c r="N13" s="7" t="s">
        <v>107</v>
      </c>
      <c r="O13" s="7" t="s">
        <v>107</v>
      </c>
      <c r="P13" s="7" t="s">
        <v>107</v>
      </c>
      <c r="Q13" s="7" t="s">
        <v>107</v>
      </c>
      <c r="R13" s="7" t="s">
        <v>107</v>
      </c>
      <c r="S13" s="7" t="s">
        <v>107</v>
      </c>
      <c r="T13" s="12">
        <v>3.5</v>
      </c>
      <c r="U13" s="7" t="s">
        <v>107</v>
      </c>
      <c r="V13" s="12">
        <v>1.95583</v>
      </c>
      <c r="W13" s="7" t="s">
        <v>107</v>
      </c>
      <c r="X13" s="7" t="s">
        <v>107</v>
      </c>
      <c r="Y13" s="7" t="s">
        <v>107</v>
      </c>
      <c r="Z13" s="7" t="s">
        <v>107</v>
      </c>
      <c r="AA13" s="12">
        <v>115.14513580000001</v>
      </c>
      <c r="AB13" s="12">
        <v>27.938140199999999</v>
      </c>
      <c r="AC13" s="12">
        <v>32.087769700000003</v>
      </c>
      <c r="AD13" s="12">
        <v>22.565888000000001</v>
      </c>
      <c r="AE13" s="12">
        <v>65.021659</v>
      </c>
      <c r="AF13" s="7" t="s">
        <v>107</v>
      </c>
      <c r="AG13" s="22" t="s">
        <v>107</v>
      </c>
    </row>
    <row r="14" spans="1:33" s="11" customFormat="1" hidden="1" outlineLevel="1" x14ac:dyDescent="0.3">
      <c r="A14" s="11" t="s">
        <v>20</v>
      </c>
      <c r="B14" s="12">
        <v>4.3154814000000004</v>
      </c>
      <c r="C14" s="12">
        <v>74.493333300000003</v>
      </c>
      <c r="D14" s="12">
        <v>1.6742492</v>
      </c>
      <c r="E14" s="12">
        <v>3.9166666999999999</v>
      </c>
      <c r="F14" s="13">
        <v>26.766666699999998</v>
      </c>
      <c r="G14" s="7" t="s">
        <v>107</v>
      </c>
      <c r="H14" s="7" t="s">
        <v>107</v>
      </c>
      <c r="I14" s="7" t="s">
        <v>107</v>
      </c>
      <c r="J14" s="7" t="s">
        <v>107</v>
      </c>
      <c r="K14" s="7" t="s">
        <v>107</v>
      </c>
      <c r="L14" s="7" t="s">
        <v>107</v>
      </c>
      <c r="M14" s="7" t="s">
        <v>107</v>
      </c>
      <c r="N14" s="7" t="s">
        <v>107</v>
      </c>
      <c r="O14" s="7" t="s">
        <v>107</v>
      </c>
      <c r="P14" s="7" t="s">
        <v>107</v>
      </c>
      <c r="Q14" s="7" t="s">
        <v>107</v>
      </c>
      <c r="R14" s="7" t="s">
        <v>107</v>
      </c>
      <c r="S14" s="7" t="s">
        <v>107</v>
      </c>
      <c r="T14" s="12">
        <v>4.25</v>
      </c>
      <c r="U14" s="7" t="s">
        <v>107</v>
      </c>
      <c r="V14" s="12">
        <v>1.95583</v>
      </c>
      <c r="W14" s="7" t="s">
        <v>107</v>
      </c>
      <c r="X14" s="7" t="s">
        <v>107</v>
      </c>
      <c r="Y14" s="7" t="s">
        <v>107</v>
      </c>
      <c r="Z14" s="7" t="s">
        <v>107</v>
      </c>
      <c r="AA14" s="12">
        <v>101.5909973</v>
      </c>
      <c r="AB14" s="12">
        <v>25.738173400000001</v>
      </c>
      <c r="AC14" s="12">
        <v>31.982220300000002</v>
      </c>
      <c r="AD14" s="12">
        <v>23.536882200000001</v>
      </c>
      <c r="AE14" s="12">
        <v>67.449818300000004</v>
      </c>
      <c r="AF14" s="7" t="s">
        <v>107</v>
      </c>
      <c r="AG14" s="22" t="s">
        <v>107</v>
      </c>
    </row>
    <row r="15" spans="1:33" s="11" customFormat="1" hidden="1" outlineLevel="1" x14ac:dyDescent="0.3">
      <c r="A15" s="11" t="s">
        <v>21</v>
      </c>
      <c r="B15" s="12">
        <v>3.5071058000000002</v>
      </c>
      <c r="C15" s="12">
        <v>74.819999999999993</v>
      </c>
      <c r="D15" s="12">
        <v>1.9670194000000001</v>
      </c>
      <c r="E15" s="17">
        <v>4.3333332999999996</v>
      </c>
      <c r="F15" s="13">
        <v>30.673333299999999</v>
      </c>
      <c r="G15" s="7" t="s">
        <v>107</v>
      </c>
      <c r="H15" s="7" t="s">
        <v>107</v>
      </c>
      <c r="I15" s="7" t="s">
        <v>107</v>
      </c>
      <c r="J15" s="7" t="s">
        <v>107</v>
      </c>
      <c r="K15" s="7" t="s">
        <v>107</v>
      </c>
      <c r="L15" s="7" t="s">
        <v>107</v>
      </c>
      <c r="M15" s="7" t="s">
        <v>107</v>
      </c>
      <c r="N15" s="7" t="s">
        <v>107</v>
      </c>
      <c r="O15" s="7" t="s">
        <v>107</v>
      </c>
      <c r="P15" s="7" t="s">
        <v>107</v>
      </c>
      <c r="Q15" s="7" t="s">
        <v>107</v>
      </c>
      <c r="R15" s="7" t="s">
        <v>107</v>
      </c>
      <c r="S15" s="7" t="s">
        <v>107</v>
      </c>
      <c r="T15" s="12">
        <v>4.5</v>
      </c>
      <c r="U15" s="7" t="s">
        <v>107</v>
      </c>
      <c r="V15" s="12">
        <v>1.95583</v>
      </c>
      <c r="W15" s="7" t="s">
        <v>107</v>
      </c>
      <c r="X15" s="7" t="s">
        <v>107</v>
      </c>
      <c r="Y15" s="7" t="s">
        <v>107</v>
      </c>
      <c r="Z15" s="7" t="s">
        <v>107</v>
      </c>
      <c r="AA15" s="12">
        <v>91.137366299999996</v>
      </c>
      <c r="AB15" s="12">
        <v>22.357527000000001</v>
      </c>
      <c r="AC15" s="12">
        <v>26.557684200000001</v>
      </c>
      <c r="AD15" s="12">
        <v>22.780564500000001</v>
      </c>
      <c r="AE15" s="12">
        <v>64.534356700000004</v>
      </c>
      <c r="AF15" s="7" t="s">
        <v>107</v>
      </c>
      <c r="AG15" s="22" t="s">
        <v>107</v>
      </c>
    </row>
    <row r="16" spans="1:33" s="11" customFormat="1" hidden="1" outlineLevel="1" x14ac:dyDescent="0.3">
      <c r="A16" s="11" t="s">
        <v>22</v>
      </c>
      <c r="B16" s="12">
        <v>2.8994336000000001</v>
      </c>
      <c r="C16" s="12">
        <v>75.3</v>
      </c>
      <c r="D16" s="12">
        <v>2.2218200000000001</v>
      </c>
      <c r="E16" s="17">
        <v>4.75</v>
      </c>
      <c r="F16" s="13">
        <v>29.7233333</v>
      </c>
      <c r="G16" s="7" t="s">
        <v>107</v>
      </c>
      <c r="H16" s="7" t="s">
        <v>107</v>
      </c>
      <c r="I16" s="7" t="s">
        <v>107</v>
      </c>
      <c r="J16" s="7" t="s">
        <v>107</v>
      </c>
      <c r="K16" s="7" t="s">
        <v>107</v>
      </c>
      <c r="L16" s="7" t="s">
        <v>107</v>
      </c>
      <c r="M16" s="7" t="s">
        <v>107</v>
      </c>
      <c r="N16" s="7" t="s">
        <v>107</v>
      </c>
      <c r="O16" s="7" t="s">
        <v>107</v>
      </c>
      <c r="P16" s="7" t="s">
        <v>107</v>
      </c>
      <c r="Q16" s="7" t="s">
        <v>107</v>
      </c>
      <c r="R16" s="7" t="s">
        <v>107</v>
      </c>
      <c r="S16" s="7" t="s">
        <v>107</v>
      </c>
      <c r="T16" s="12">
        <v>4.75</v>
      </c>
      <c r="U16" s="7" t="s">
        <v>107</v>
      </c>
      <c r="V16" s="12">
        <v>1.95583</v>
      </c>
      <c r="W16" s="7" t="s">
        <v>107</v>
      </c>
      <c r="X16" s="7" t="s">
        <v>107</v>
      </c>
      <c r="Y16" s="7" t="s">
        <v>107</v>
      </c>
      <c r="Z16" s="7" t="s">
        <v>107</v>
      </c>
      <c r="AA16" s="12">
        <v>95.495102000000003</v>
      </c>
      <c r="AB16" s="12">
        <v>23.3449803</v>
      </c>
      <c r="AC16" s="12">
        <v>29.1851251</v>
      </c>
      <c r="AD16" s="12">
        <v>18.971111199999999</v>
      </c>
      <c r="AE16" s="12">
        <v>57.671429500000002</v>
      </c>
      <c r="AF16" s="7" t="s">
        <v>107</v>
      </c>
      <c r="AG16" s="22" t="s">
        <v>107</v>
      </c>
    </row>
    <row r="17" spans="1:33" s="11" customFormat="1" hidden="1" outlineLevel="1" x14ac:dyDescent="0.3">
      <c r="A17" s="11" t="s">
        <v>23</v>
      </c>
      <c r="B17" s="12">
        <v>3.0047543999999999</v>
      </c>
      <c r="C17" s="12">
        <v>75.393333299999995</v>
      </c>
      <c r="D17" s="12">
        <v>1.8966527</v>
      </c>
      <c r="E17" s="17">
        <v>4.75</v>
      </c>
      <c r="F17" s="13">
        <v>25.873333299999999</v>
      </c>
      <c r="G17" s="7" t="s">
        <v>107</v>
      </c>
      <c r="H17" s="7" t="s">
        <v>107</v>
      </c>
      <c r="I17" s="7" t="s">
        <v>107</v>
      </c>
      <c r="J17" s="12">
        <v>2.4228532</v>
      </c>
      <c r="K17" s="12">
        <v>3.6249034999999998</v>
      </c>
      <c r="L17" s="12">
        <v>-3.7958411999999999</v>
      </c>
      <c r="M17" s="12">
        <v>13.3505228</v>
      </c>
      <c r="N17" s="12">
        <v>5.9139081999999998</v>
      </c>
      <c r="O17" s="12">
        <v>6.2872235999999999</v>
      </c>
      <c r="P17" s="7" t="s">
        <v>107</v>
      </c>
      <c r="Q17" s="7" t="s">
        <v>107</v>
      </c>
      <c r="R17" s="7" t="s">
        <v>107</v>
      </c>
      <c r="S17" s="7" t="s">
        <v>107</v>
      </c>
      <c r="T17" s="12">
        <v>4.75</v>
      </c>
      <c r="U17" s="7" t="s">
        <v>107</v>
      </c>
      <c r="V17" s="12">
        <v>1.95583</v>
      </c>
      <c r="W17" s="7" t="s">
        <v>107</v>
      </c>
      <c r="X17" s="7" t="s">
        <v>107</v>
      </c>
      <c r="Y17" s="7" t="s">
        <v>107</v>
      </c>
      <c r="Z17" s="12">
        <v>-5.9055814</v>
      </c>
      <c r="AA17" s="12">
        <v>116.3715284</v>
      </c>
      <c r="AB17" s="12">
        <v>26.416471399999999</v>
      </c>
      <c r="AC17" s="12">
        <v>29.9389237</v>
      </c>
      <c r="AD17" s="12">
        <v>23.370337599999999</v>
      </c>
      <c r="AE17" s="12">
        <v>66.200591599999996</v>
      </c>
      <c r="AF17" s="12">
        <v>38.511569100000003</v>
      </c>
      <c r="AG17" s="22" t="s">
        <v>107</v>
      </c>
    </row>
    <row r="18" spans="1:33" s="11" customFormat="1" hidden="1" outlineLevel="1" x14ac:dyDescent="0.3">
      <c r="A18" s="11" t="s">
        <v>24</v>
      </c>
      <c r="B18" s="12">
        <v>2.2522867999999998</v>
      </c>
      <c r="C18" s="12">
        <v>76.483333299999998</v>
      </c>
      <c r="D18" s="12">
        <v>2.6713800000000001</v>
      </c>
      <c r="E18" s="17">
        <v>4.5833332999999996</v>
      </c>
      <c r="F18" s="13">
        <v>27.273333300000001</v>
      </c>
      <c r="G18" s="7" t="s">
        <v>107</v>
      </c>
      <c r="H18" s="7" t="s">
        <v>107</v>
      </c>
      <c r="I18" s="7" t="s">
        <v>107</v>
      </c>
      <c r="J18" s="12">
        <v>2.4222955000000002</v>
      </c>
      <c r="K18" s="12">
        <v>4.0778616000000003</v>
      </c>
      <c r="L18" s="12">
        <v>-4.4480931000000004</v>
      </c>
      <c r="M18" s="12">
        <v>1.1155227999999999</v>
      </c>
      <c r="N18" s="12">
        <v>7.3763050000000003</v>
      </c>
      <c r="O18" s="12">
        <v>7.6331039000000001</v>
      </c>
      <c r="P18" s="7" t="s">
        <v>107</v>
      </c>
      <c r="Q18" s="7" t="s">
        <v>107</v>
      </c>
      <c r="R18" s="7" t="s">
        <v>107</v>
      </c>
      <c r="S18" s="7" t="s">
        <v>107</v>
      </c>
      <c r="T18" s="12">
        <v>4.5</v>
      </c>
      <c r="U18" s="7" t="s">
        <v>107</v>
      </c>
      <c r="V18" s="12">
        <v>1.95583</v>
      </c>
      <c r="W18" s="7" t="s">
        <v>107</v>
      </c>
      <c r="X18" s="7" t="s">
        <v>107</v>
      </c>
      <c r="Y18" s="7" t="s">
        <v>107</v>
      </c>
      <c r="Z18" s="12">
        <v>-11.6746237</v>
      </c>
      <c r="AA18" s="12">
        <v>103.01041050000001</v>
      </c>
      <c r="AB18" s="12">
        <v>24.308732800000001</v>
      </c>
      <c r="AC18" s="12">
        <v>34.8053843</v>
      </c>
      <c r="AD18" s="12">
        <v>24.404880299999999</v>
      </c>
      <c r="AE18" s="12">
        <v>69.033883700000004</v>
      </c>
      <c r="AF18" s="12">
        <v>45.005322300000003</v>
      </c>
      <c r="AG18" s="22" t="s">
        <v>107</v>
      </c>
    </row>
    <row r="19" spans="1:33" s="11" customFormat="1" hidden="1" outlineLevel="1" x14ac:dyDescent="0.3">
      <c r="A19" s="11" t="s">
        <v>25</v>
      </c>
      <c r="B19" s="12">
        <v>1.8991327</v>
      </c>
      <c r="C19" s="12">
        <v>76.516666700000002</v>
      </c>
      <c r="D19" s="12">
        <v>2.2676647000000001</v>
      </c>
      <c r="E19" s="17">
        <v>4.1666667000000004</v>
      </c>
      <c r="F19" s="13">
        <v>25.303333299999998</v>
      </c>
      <c r="G19" s="7" t="s">
        <v>107</v>
      </c>
      <c r="H19" s="7" t="s">
        <v>107</v>
      </c>
      <c r="I19" s="7" t="s">
        <v>107</v>
      </c>
      <c r="J19" s="12">
        <v>2.4242306</v>
      </c>
      <c r="K19" s="12">
        <v>5.2001651000000004</v>
      </c>
      <c r="L19" s="12">
        <v>-4.2436533000000001</v>
      </c>
      <c r="M19" s="12">
        <v>12.700729900000001</v>
      </c>
      <c r="N19" s="12">
        <v>7.1911493999999996</v>
      </c>
      <c r="O19" s="12">
        <v>7.4362050000000002</v>
      </c>
      <c r="P19" s="7" t="s">
        <v>107</v>
      </c>
      <c r="Q19" s="7" t="s">
        <v>107</v>
      </c>
      <c r="R19" s="7" t="s">
        <v>107</v>
      </c>
      <c r="S19" s="7" t="s">
        <v>107</v>
      </c>
      <c r="T19" s="12">
        <v>3.75</v>
      </c>
      <c r="U19" s="7" t="s">
        <v>107</v>
      </c>
      <c r="V19" s="12">
        <v>1.95583</v>
      </c>
      <c r="W19" s="7" t="s">
        <v>107</v>
      </c>
      <c r="X19" s="7" t="s">
        <v>107</v>
      </c>
      <c r="Y19" s="7" t="s">
        <v>107</v>
      </c>
      <c r="Z19" s="12">
        <v>-14.300432300000001</v>
      </c>
      <c r="AA19" s="12">
        <v>91.522093100000006</v>
      </c>
      <c r="AB19" s="12">
        <v>21.2705631</v>
      </c>
      <c r="AC19" s="12">
        <v>31.873561299999999</v>
      </c>
      <c r="AD19" s="12">
        <v>23.078434699999999</v>
      </c>
      <c r="AE19" s="12">
        <v>65.187243800000005</v>
      </c>
      <c r="AF19" s="12">
        <v>70.632382699999994</v>
      </c>
      <c r="AG19" s="22" t="s">
        <v>107</v>
      </c>
    </row>
    <row r="20" spans="1:33" s="11" customFormat="1" hidden="1" outlineLevel="1" x14ac:dyDescent="0.3">
      <c r="A20" s="11" t="s">
        <v>26</v>
      </c>
      <c r="B20" s="12">
        <v>1.4300580000000001</v>
      </c>
      <c r="C20" s="12">
        <v>76.746666700000006</v>
      </c>
      <c r="D20" s="12">
        <v>1.9212041</v>
      </c>
      <c r="E20" s="17">
        <v>3.4166666999999999</v>
      </c>
      <c r="F20" s="13">
        <v>19.350000000000001</v>
      </c>
      <c r="G20" s="7" t="s">
        <v>107</v>
      </c>
      <c r="H20" s="7" t="s">
        <v>107</v>
      </c>
      <c r="I20" s="7" t="s">
        <v>107</v>
      </c>
      <c r="J20" s="12">
        <v>2.4245914000000002</v>
      </c>
      <c r="K20" s="12">
        <v>5.6806837000000003</v>
      </c>
      <c r="L20" s="12">
        <v>-3.2511040000000002</v>
      </c>
      <c r="M20" s="12">
        <v>20.824615399999999</v>
      </c>
      <c r="N20" s="12">
        <v>2.1690352000000002</v>
      </c>
      <c r="O20" s="12">
        <v>6.3093969000000003</v>
      </c>
      <c r="P20" s="7" t="s">
        <v>107</v>
      </c>
      <c r="Q20" s="7" t="s">
        <v>107</v>
      </c>
      <c r="R20" s="7" t="s">
        <v>107</v>
      </c>
      <c r="S20" s="7" t="s">
        <v>107</v>
      </c>
      <c r="T20" s="12">
        <v>3.25</v>
      </c>
      <c r="U20" s="7" t="s">
        <v>107</v>
      </c>
      <c r="V20" s="12">
        <v>1.95583</v>
      </c>
      <c r="W20" s="7" t="s">
        <v>107</v>
      </c>
      <c r="X20" s="7" t="s">
        <v>107</v>
      </c>
      <c r="Y20" s="7" t="s">
        <v>107</v>
      </c>
      <c r="Z20" s="12">
        <v>-17.5792243</v>
      </c>
      <c r="AA20" s="12">
        <v>94.048163799999998</v>
      </c>
      <c r="AB20" s="12">
        <v>22.560347799999999</v>
      </c>
      <c r="AC20" s="12">
        <v>27.5454753</v>
      </c>
      <c r="AD20" s="12">
        <v>18.055714399999999</v>
      </c>
      <c r="AE20" s="12">
        <v>56.689737999999998</v>
      </c>
      <c r="AF20" s="12">
        <v>77.494895400000004</v>
      </c>
      <c r="AG20" s="22" t="s">
        <v>107</v>
      </c>
    </row>
    <row r="21" spans="1:33" s="11" customFormat="1" hidden="1" outlineLevel="1" x14ac:dyDescent="0.3">
      <c r="A21" s="11" t="s">
        <v>27</v>
      </c>
      <c r="B21" s="12">
        <v>7.1740499999999999E-2</v>
      </c>
      <c r="C21" s="12">
        <v>77.180000000000007</v>
      </c>
      <c r="D21" s="12">
        <v>2.3697940000000002</v>
      </c>
      <c r="E21" s="17">
        <v>3.25</v>
      </c>
      <c r="F21" s="13">
        <v>21.1333333</v>
      </c>
      <c r="G21" s="7" t="s">
        <v>107</v>
      </c>
      <c r="H21" s="7" t="s">
        <v>107</v>
      </c>
      <c r="I21" s="7" t="s">
        <v>107</v>
      </c>
      <c r="J21" s="12">
        <v>3.9922993999999998</v>
      </c>
      <c r="K21" s="12">
        <v>4.9678493000000001</v>
      </c>
      <c r="L21" s="12">
        <v>-1.689853</v>
      </c>
      <c r="M21" s="12">
        <v>8.0879565000000007</v>
      </c>
      <c r="N21" s="12">
        <v>-4.0642372</v>
      </c>
      <c r="O21" s="12">
        <v>3.7811235999999999</v>
      </c>
      <c r="P21" s="7" t="s">
        <v>107</v>
      </c>
      <c r="Q21" s="7" t="s">
        <v>107</v>
      </c>
      <c r="R21" s="7" t="s">
        <v>107</v>
      </c>
      <c r="S21" s="7" t="s">
        <v>107</v>
      </c>
      <c r="T21" s="12">
        <v>3.25</v>
      </c>
      <c r="U21" s="7" t="s">
        <v>107</v>
      </c>
      <c r="V21" s="12">
        <v>1.95583</v>
      </c>
      <c r="W21" s="7" t="s">
        <v>107</v>
      </c>
      <c r="X21" s="7" t="s">
        <v>107</v>
      </c>
      <c r="Y21" s="7" t="s">
        <v>107</v>
      </c>
      <c r="Z21" s="12">
        <v>-18.078336199999999</v>
      </c>
      <c r="AA21" s="12">
        <v>112.32928939999999</v>
      </c>
      <c r="AB21" s="12">
        <v>26.0970537</v>
      </c>
      <c r="AC21" s="12">
        <v>29.462738300000002</v>
      </c>
      <c r="AD21" s="12">
        <v>20.509532100000001</v>
      </c>
      <c r="AE21" s="12">
        <v>62.246100499999997</v>
      </c>
      <c r="AF21" s="12">
        <v>98.003867099999994</v>
      </c>
      <c r="AG21" s="22" t="s">
        <v>107</v>
      </c>
    </row>
    <row r="22" spans="1:33" s="11" customFormat="1" hidden="1" outlineLevel="1" x14ac:dyDescent="0.3">
      <c r="A22" s="11" t="s">
        <v>28</v>
      </c>
      <c r="B22" s="12">
        <v>1.2490021</v>
      </c>
      <c r="C22" s="12">
        <v>77.933333300000001</v>
      </c>
      <c r="D22" s="12">
        <v>1.8958379000000001</v>
      </c>
      <c r="E22" s="17">
        <v>3.25</v>
      </c>
      <c r="F22" s="13">
        <v>25.053333299999998</v>
      </c>
      <c r="G22" s="7" t="s">
        <v>107</v>
      </c>
      <c r="H22" s="7" t="s">
        <v>107</v>
      </c>
      <c r="I22" s="7" t="s">
        <v>107</v>
      </c>
      <c r="J22" s="12">
        <v>5.0394167999999997</v>
      </c>
      <c r="K22" s="12">
        <v>5.5573120999999999</v>
      </c>
      <c r="L22" s="12">
        <v>-0.24213080000000001</v>
      </c>
      <c r="M22" s="12">
        <v>12.1073298</v>
      </c>
      <c r="N22" s="12">
        <v>-6.9435637000000003</v>
      </c>
      <c r="O22" s="12">
        <v>2.3933708999999999</v>
      </c>
      <c r="P22" s="7" t="s">
        <v>107</v>
      </c>
      <c r="Q22" s="7" t="s">
        <v>107</v>
      </c>
      <c r="R22" s="7" t="s">
        <v>107</v>
      </c>
      <c r="S22" s="7" t="s">
        <v>107</v>
      </c>
      <c r="T22" s="12">
        <v>3.25</v>
      </c>
      <c r="U22" s="7" t="s">
        <v>107</v>
      </c>
      <c r="V22" s="12">
        <v>1.95583</v>
      </c>
      <c r="W22" s="7" t="s">
        <v>107</v>
      </c>
      <c r="X22" s="7" t="s">
        <v>107</v>
      </c>
      <c r="Y22" s="7" t="s">
        <v>107</v>
      </c>
      <c r="Z22" s="12">
        <v>-16.535604500000002</v>
      </c>
      <c r="AA22" s="12">
        <v>98.717222000000007</v>
      </c>
      <c r="AB22" s="12">
        <v>24.3996301</v>
      </c>
      <c r="AC22" s="12">
        <v>35.428537300000002</v>
      </c>
      <c r="AD22" s="12">
        <v>20.599027499999998</v>
      </c>
      <c r="AE22" s="12">
        <v>63.613854000000003</v>
      </c>
      <c r="AF22" s="12">
        <v>116.6785232</v>
      </c>
      <c r="AG22" s="22" t="s">
        <v>107</v>
      </c>
    </row>
    <row r="23" spans="1:33" s="11" customFormat="1" hidden="1" outlineLevel="1" x14ac:dyDescent="0.3">
      <c r="A23" s="11" t="s">
        <v>29</v>
      </c>
      <c r="B23" s="12">
        <v>1.6677649999999999</v>
      </c>
      <c r="C23" s="12">
        <v>77.973333299999993</v>
      </c>
      <c r="D23" s="12">
        <v>1.9037246000000001</v>
      </c>
      <c r="E23" s="17">
        <v>3.25</v>
      </c>
      <c r="F23" s="13">
        <v>26.93</v>
      </c>
      <c r="G23" s="7" t="s">
        <v>107</v>
      </c>
      <c r="H23" s="7" t="s">
        <v>107</v>
      </c>
      <c r="I23" s="7" t="s">
        <v>107</v>
      </c>
      <c r="J23" s="12">
        <v>5.2725784000000004</v>
      </c>
      <c r="K23" s="12">
        <v>5.5015808000000002</v>
      </c>
      <c r="L23" s="12">
        <v>1.2079378999999999</v>
      </c>
      <c r="M23" s="12">
        <v>7.0898099999999999</v>
      </c>
      <c r="N23" s="12">
        <v>-6.4889143999999996</v>
      </c>
      <c r="O23" s="12">
        <v>2.2943373</v>
      </c>
      <c r="P23" s="7" t="s">
        <v>107</v>
      </c>
      <c r="Q23" s="7" t="s">
        <v>107</v>
      </c>
      <c r="R23" s="7" t="s">
        <v>107</v>
      </c>
      <c r="S23" s="7" t="s">
        <v>107</v>
      </c>
      <c r="T23" s="12">
        <v>3.25</v>
      </c>
      <c r="U23" s="7" t="s">
        <v>107</v>
      </c>
      <c r="V23" s="12">
        <v>1.95583</v>
      </c>
      <c r="W23" s="7" t="s">
        <v>107</v>
      </c>
      <c r="X23" s="7" t="s">
        <v>107</v>
      </c>
      <c r="Y23" s="7" t="s">
        <v>107</v>
      </c>
      <c r="Z23" s="12">
        <v>-13.400423999999999</v>
      </c>
      <c r="AA23" s="12">
        <v>88.363004799999999</v>
      </c>
      <c r="AB23" s="12">
        <v>21.570330299999998</v>
      </c>
      <c r="AC23" s="12">
        <v>31.383617300000001</v>
      </c>
      <c r="AD23" s="12">
        <v>19.772164199999999</v>
      </c>
      <c r="AE23" s="12">
        <v>60.570611200000002</v>
      </c>
      <c r="AF23" s="12">
        <v>106.743278</v>
      </c>
      <c r="AG23" s="22" t="s">
        <v>107</v>
      </c>
    </row>
    <row r="24" spans="1:33" s="11" customFormat="1" hidden="1" outlineLevel="1" x14ac:dyDescent="0.3">
      <c r="A24" s="11" t="s">
        <v>30</v>
      </c>
      <c r="B24" s="12">
        <v>1.208337</v>
      </c>
      <c r="C24" s="12">
        <v>78.4033333</v>
      </c>
      <c r="D24" s="12">
        <v>2.158617</v>
      </c>
      <c r="E24" s="17">
        <v>3.0833333000000001</v>
      </c>
      <c r="F24" s="13">
        <v>26.736666700000001</v>
      </c>
      <c r="G24" s="7" t="s">
        <v>107</v>
      </c>
      <c r="H24" s="7" t="s">
        <v>107</v>
      </c>
      <c r="I24" s="7" t="s">
        <v>107</v>
      </c>
      <c r="J24" s="12">
        <v>5.6029469000000001</v>
      </c>
      <c r="K24" s="12">
        <v>5.8407447000000001</v>
      </c>
      <c r="L24" s="12">
        <v>2.8330841000000002</v>
      </c>
      <c r="M24" s="12">
        <v>7.6398085</v>
      </c>
      <c r="N24" s="12">
        <v>-2.5500243999999999</v>
      </c>
      <c r="O24" s="12">
        <v>3.0525031</v>
      </c>
      <c r="P24" s="7" t="s">
        <v>107</v>
      </c>
      <c r="Q24" s="7" t="s">
        <v>107</v>
      </c>
      <c r="R24" s="7" t="s">
        <v>107</v>
      </c>
      <c r="S24" s="7" t="s">
        <v>107</v>
      </c>
      <c r="T24" s="12">
        <v>2.75</v>
      </c>
      <c r="U24" s="7" t="s">
        <v>107</v>
      </c>
      <c r="V24" s="12">
        <v>1.95583</v>
      </c>
      <c r="W24" s="7" t="s">
        <v>107</v>
      </c>
      <c r="X24" s="7" t="s">
        <v>107</v>
      </c>
      <c r="Y24" s="7" t="s">
        <v>107</v>
      </c>
      <c r="Z24" s="12">
        <v>-22.178998499999999</v>
      </c>
      <c r="AA24" s="12">
        <v>91.358153599999994</v>
      </c>
      <c r="AB24" s="12">
        <v>22.500130500000001</v>
      </c>
      <c r="AC24" s="12">
        <v>27.241397299999999</v>
      </c>
      <c r="AD24" s="12">
        <v>16.134927699999999</v>
      </c>
      <c r="AE24" s="12">
        <v>53.106887399999998</v>
      </c>
      <c r="AF24" s="12">
        <v>113.5661434</v>
      </c>
      <c r="AG24" s="22" t="s">
        <v>107</v>
      </c>
    </row>
    <row r="25" spans="1:33" s="11" customFormat="1" hidden="1" outlineLevel="1" x14ac:dyDescent="0.3">
      <c r="A25" s="11" t="s">
        <v>31</v>
      </c>
      <c r="B25" s="12">
        <v>1.0748135000000001</v>
      </c>
      <c r="C25" s="12">
        <v>78.856666700000005</v>
      </c>
      <c r="D25" s="12">
        <v>2.1724109</v>
      </c>
      <c r="E25" s="17">
        <v>2.6666666999999999</v>
      </c>
      <c r="F25" s="13">
        <v>31.52</v>
      </c>
      <c r="G25" s="7" t="s">
        <v>107</v>
      </c>
      <c r="H25" s="7" t="s">
        <v>107</v>
      </c>
      <c r="I25" s="7" t="s">
        <v>107</v>
      </c>
      <c r="J25" s="12">
        <v>4.4869718000000001</v>
      </c>
      <c r="K25" s="12">
        <v>6.2961210999999997</v>
      </c>
      <c r="L25" s="12">
        <v>4.7969299999999997</v>
      </c>
      <c r="M25" s="12">
        <v>5.3899217000000004</v>
      </c>
      <c r="N25" s="12">
        <v>5.1377800999999996</v>
      </c>
      <c r="O25" s="12">
        <v>5.0331001000000004</v>
      </c>
      <c r="P25" s="7" t="s">
        <v>107</v>
      </c>
      <c r="Q25" s="7" t="s">
        <v>107</v>
      </c>
      <c r="R25" s="7" t="s">
        <v>107</v>
      </c>
      <c r="S25" s="12">
        <v>9.3264248999999992</v>
      </c>
      <c r="T25" s="12">
        <v>2.5</v>
      </c>
      <c r="U25" s="7" t="s">
        <v>107</v>
      </c>
      <c r="V25" s="12">
        <v>1.95583</v>
      </c>
      <c r="W25" s="7" t="s">
        <v>107</v>
      </c>
      <c r="X25" s="7" t="s">
        <v>107</v>
      </c>
      <c r="Y25" s="7" t="s">
        <v>107</v>
      </c>
      <c r="Z25" s="12">
        <v>-18.758074000000001</v>
      </c>
      <c r="AA25" s="12">
        <v>113.1369479</v>
      </c>
      <c r="AB25" s="12">
        <v>25.846545299999999</v>
      </c>
      <c r="AC25" s="12">
        <v>29.007633599999998</v>
      </c>
      <c r="AD25" s="12">
        <v>20.362758500000002</v>
      </c>
      <c r="AE25" s="12">
        <v>61.277484200000004</v>
      </c>
      <c r="AF25" s="12">
        <v>99.661257300000003</v>
      </c>
      <c r="AG25" s="22" t="s">
        <v>107</v>
      </c>
    </row>
    <row r="26" spans="1:33" s="11" customFormat="1" hidden="1" outlineLevel="1" x14ac:dyDescent="0.3">
      <c r="A26" s="11" t="s">
        <v>32</v>
      </c>
      <c r="B26" s="12">
        <v>0.33264589999999999</v>
      </c>
      <c r="C26" s="12">
        <v>79.37</v>
      </c>
      <c r="D26" s="12">
        <v>1.843456</v>
      </c>
      <c r="E26" s="17">
        <v>2.3333333000000001</v>
      </c>
      <c r="F26" s="13">
        <v>26.17</v>
      </c>
      <c r="G26" s="7" t="s">
        <v>107</v>
      </c>
      <c r="H26" s="7" t="s">
        <v>107</v>
      </c>
      <c r="I26" s="7" t="s">
        <v>107</v>
      </c>
      <c r="J26" s="12">
        <v>3.2159141</v>
      </c>
      <c r="K26" s="12">
        <v>4.7670614000000002</v>
      </c>
      <c r="L26" s="12">
        <v>5.6764798000000001</v>
      </c>
      <c r="M26" s="12">
        <v>2.0598782</v>
      </c>
      <c r="N26" s="12">
        <v>11.1413969</v>
      </c>
      <c r="O26" s="12">
        <v>6.3426857999999999</v>
      </c>
      <c r="P26" s="7" t="s">
        <v>107</v>
      </c>
      <c r="Q26" s="7" t="s">
        <v>107</v>
      </c>
      <c r="R26" s="7" t="s">
        <v>107</v>
      </c>
      <c r="S26" s="12">
        <v>9.1279959000000002</v>
      </c>
      <c r="T26" s="12">
        <v>2</v>
      </c>
      <c r="U26" s="7" t="s">
        <v>107</v>
      </c>
      <c r="V26" s="12">
        <v>1.95583</v>
      </c>
      <c r="W26" s="7" t="s">
        <v>107</v>
      </c>
      <c r="X26" s="7" t="s">
        <v>107</v>
      </c>
      <c r="Y26" s="7" t="s">
        <v>107</v>
      </c>
      <c r="Z26" s="12">
        <v>-21.100028399999999</v>
      </c>
      <c r="AA26" s="12">
        <v>100.3381643</v>
      </c>
      <c r="AB26" s="12">
        <v>23.842000599999999</v>
      </c>
      <c r="AC26" s="12">
        <v>34.222790600000003</v>
      </c>
      <c r="AD26" s="12">
        <v>21.940892300000002</v>
      </c>
      <c r="AE26" s="12">
        <v>64.208582000000007</v>
      </c>
      <c r="AF26" s="12">
        <v>69.714964300000005</v>
      </c>
      <c r="AG26" s="22" t="s">
        <v>107</v>
      </c>
    </row>
    <row r="27" spans="1:33" s="11" customFormat="1" hidden="1" outlineLevel="1" x14ac:dyDescent="0.3">
      <c r="A27" s="11" t="s">
        <v>33</v>
      </c>
      <c r="B27" s="12">
        <v>0.71308099999999996</v>
      </c>
      <c r="C27" s="12">
        <v>79.47</v>
      </c>
      <c r="D27" s="12">
        <v>1.9194597</v>
      </c>
      <c r="E27" s="17">
        <v>2</v>
      </c>
      <c r="F27" s="13">
        <v>28.45</v>
      </c>
      <c r="G27" s="7" t="s">
        <v>107</v>
      </c>
      <c r="H27" s="7" t="s">
        <v>107</v>
      </c>
      <c r="I27" s="7" t="s">
        <v>107</v>
      </c>
      <c r="J27" s="12">
        <v>3.4674239</v>
      </c>
      <c r="K27" s="12">
        <v>4.1866263999999997</v>
      </c>
      <c r="L27" s="12">
        <v>5.3863443000000002</v>
      </c>
      <c r="M27" s="12">
        <v>2.8868640000000001</v>
      </c>
      <c r="N27" s="12">
        <v>16.351558499999999</v>
      </c>
      <c r="O27" s="12">
        <v>6.8490573000000001</v>
      </c>
      <c r="P27" s="7" t="s">
        <v>107</v>
      </c>
      <c r="Q27" s="7" t="s">
        <v>107</v>
      </c>
      <c r="R27" s="7" t="s">
        <v>107</v>
      </c>
      <c r="S27" s="12">
        <v>8.0419579999999993</v>
      </c>
      <c r="T27" s="12">
        <v>2</v>
      </c>
      <c r="U27" s="7" t="s">
        <v>107</v>
      </c>
      <c r="V27" s="12">
        <v>1.95583</v>
      </c>
      <c r="W27" s="7" t="s">
        <v>107</v>
      </c>
      <c r="X27" s="7" t="s">
        <v>107</v>
      </c>
      <c r="Y27" s="7" t="s">
        <v>107</v>
      </c>
      <c r="Z27" s="12">
        <v>-18.158857099999999</v>
      </c>
      <c r="AA27" s="12">
        <v>88.953630099999998</v>
      </c>
      <c r="AB27" s="12">
        <v>20.8371934</v>
      </c>
      <c r="AC27" s="12">
        <v>30.3769077</v>
      </c>
      <c r="AD27" s="12">
        <v>21.9927837</v>
      </c>
      <c r="AE27" s="12">
        <v>61.624164999999998</v>
      </c>
      <c r="AF27" s="12">
        <v>49.671974900000002</v>
      </c>
      <c r="AG27" s="22" t="s">
        <v>107</v>
      </c>
    </row>
    <row r="28" spans="1:33" s="11" customFormat="1" hidden="1" outlineLevel="1" x14ac:dyDescent="0.3">
      <c r="A28" s="11" t="s">
        <v>34</v>
      </c>
      <c r="B28" s="12">
        <v>1.3127310999999999</v>
      </c>
      <c r="C28" s="12">
        <v>79.913333300000005</v>
      </c>
      <c r="D28" s="12">
        <v>1.9259385</v>
      </c>
      <c r="E28" s="17">
        <v>2</v>
      </c>
      <c r="F28" s="13">
        <v>29.39</v>
      </c>
      <c r="G28" s="7" t="s">
        <v>107</v>
      </c>
      <c r="H28" s="7" t="s">
        <v>107</v>
      </c>
      <c r="I28" s="7" t="s">
        <v>107</v>
      </c>
      <c r="J28" s="12">
        <v>4.3693776</v>
      </c>
      <c r="K28" s="12">
        <v>2.908331</v>
      </c>
      <c r="L28" s="12">
        <v>3.8876558999999999</v>
      </c>
      <c r="M28" s="12">
        <v>1.1072206</v>
      </c>
      <c r="N28" s="12">
        <v>18.993364199999998</v>
      </c>
      <c r="O28" s="12">
        <v>6.5292823000000002</v>
      </c>
      <c r="P28" s="7" t="s">
        <v>107</v>
      </c>
      <c r="Q28" s="7" t="s">
        <v>107</v>
      </c>
      <c r="R28" s="7" t="s">
        <v>107</v>
      </c>
      <c r="S28" s="12">
        <v>7.1148185000000002</v>
      </c>
      <c r="T28" s="12">
        <v>2</v>
      </c>
      <c r="U28" s="7" t="s">
        <v>107</v>
      </c>
      <c r="V28" s="12">
        <v>1.95583</v>
      </c>
      <c r="W28" s="7" t="s">
        <v>107</v>
      </c>
      <c r="X28" s="7" t="s">
        <v>107</v>
      </c>
      <c r="Y28" s="7" t="s">
        <v>107</v>
      </c>
      <c r="Z28" s="12">
        <v>-18.5936959</v>
      </c>
      <c r="AA28" s="12">
        <v>89.272106500000007</v>
      </c>
      <c r="AB28" s="12">
        <v>21.5720718</v>
      </c>
      <c r="AC28" s="12">
        <v>25.560393900000001</v>
      </c>
      <c r="AD28" s="12">
        <v>18.155277399999999</v>
      </c>
      <c r="AE28" s="12">
        <v>53.651838300000001</v>
      </c>
      <c r="AF28" s="12">
        <v>35.0285698</v>
      </c>
      <c r="AG28" s="22" t="s">
        <v>107</v>
      </c>
    </row>
    <row r="29" spans="1:33" s="11" customFormat="1" hidden="1" outlineLevel="1" x14ac:dyDescent="0.3">
      <c r="A29" s="11" t="s">
        <v>35</v>
      </c>
      <c r="B29" s="12">
        <v>2.4350660999999998</v>
      </c>
      <c r="C29" s="12">
        <v>80.113333299999994</v>
      </c>
      <c r="D29" s="12">
        <v>1.5936086</v>
      </c>
      <c r="E29" s="17">
        <v>2</v>
      </c>
      <c r="F29" s="13">
        <v>31.923333299999999</v>
      </c>
      <c r="G29" s="7" t="s">
        <v>107</v>
      </c>
      <c r="H29" s="7" t="s">
        <v>107</v>
      </c>
      <c r="I29" s="7" t="s">
        <v>107</v>
      </c>
      <c r="J29" s="12">
        <v>4.9099728000000002</v>
      </c>
      <c r="K29" s="12">
        <v>1.5397624000000001</v>
      </c>
      <c r="L29" s="12">
        <v>1.3732072</v>
      </c>
      <c r="M29" s="12">
        <v>0.61016199999999998</v>
      </c>
      <c r="N29" s="12">
        <v>20.232700600000001</v>
      </c>
      <c r="O29" s="12">
        <v>5.4803093000000001</v>
      </c>
      <c r="P29" s="7" t="s">
        <v>107</v>
      </c>
      <c r="Q29" s="7" t="s">
        <v>107</v>
      </c>
      <c r="R29" s="7" t="s">
        <v>107</v>
      </c>
      <c r="S29" s="12">
        <v>4.2180095</v>
      </c>
      <c r="T29" s="12">
        <v>2</v>
      </c>
      <c r="U29" s="7" t="s">
        <v>107</v>
      </c>
      <c r="V29" s="12">
        <v>1.95583</v>
      </c>
      <c r="W29" s="7" t="s">
        <v>107</v>
      </c>
      <c r="X29" s="7" t="s">
        <v>107</v>
      </c>
      <c r="Y29" s="7" t="s">
        <v>107</v>
      </c>
      <c r="Z29" s="12">
        <v>-11.759664600000001</v>
      </c>
      <c r="AA29" s="12">
        <v>106.4276466</v>
      </c>
      <c r="AB29" s="12">
        <v>25.010789800000001</v>
      </c>
      <c r="AC29" s="12">
        <v>27.128676200000001</v>
      </c>
      <c r="AD29" s="12">
        <v>22.917565799999998</v>
      </c>
      <c r="AE29" s="12">
        <v>61.341636399999999</v>
      </c>
      <c r="AF29" s="12">
        <v>31.454759200000002</v>
      </c>
      <c r="AG29" s="22" t="s">
        <v>107</v>
      </c>
    </row>
    <row r="30" spans="1:33" s="11" customFormat="1" hidden="1" outlineLevel="1" x14ac:dyDescent="0.3">
      <c r="A30" s="11" t="s">
        <v>36</v>
      </c>
      <c r="B30" s="12">
        <v>2.9592486</v>
      </c>
      <c r="C30" s="12">
        <v>81.069999999999993</v>
      </c>
      <c r="D30" s="12">
        <v>2.1418672000000001</v>
      </c>
      <c r="E30" s="17">
        <v>2</v>
      </c>
      <c r="F30" s="13">
        <v>35.446666700000002</v>
      </c>
      <c r="G30" s="7" t="s">
        <v>107</v>
      </c>
      <c r="H30" s="7" t="s">
        <v>107</v>
      </c>
      <c r="I30" s="7" t="s">
        <v>107</v>
      </c>
      <c r="J30" s="12">
        <v>6.3897576000000003</v>
      </c>
      <c r="K30" s="12">
        <v>2.2321919000000001</v>
      </c>
      <c r="L30" s="12">
        <v>-0.15559010000000001</v>
      </c>
      <c r="M30" s="12">
        <v>10.0996895</v>
      </c>
      <c r="N30" s="12">
        <v>19.957081500000001</v>
      </c>
      <c r="O30" s="12">
        <v>5.4390234</v>
      </c>
      <c r="P30" s="7" t="s">
        <v>107</v>
      </c>
      <c r="Q30" s="7" t="s">
        <v>107</v>
      </c>
      <c r="R30" s="7" t="s">
        <v>107</v>
      </c>
      <c r="S30" s="12">
        <v>4.7663551000000002</v>
      </c>
      <c r="T30" s="12">
        <v>2</v>
      </c>
      <c r="U30" s="7" t="s">
        <v>107</v>
      </c>
      <c r="V30" s="12">
        <v>1.95583</v>
      </c>
      <c r="W30" s="7" t="s">
        <v>107</v>
      </c>
      <c r="X30" s="7" t="s">
        <v>107</v>
      </c>
      <c r="Y30" s="7" t="s">
        <v>107</v>
      </c>
      <c r="Z30" s="12">
        <v>-20.470647499999998</v>
      </c>
      <c r="AA30" s="12">
        <v>94.034045699999993</v>
      </c>
      <c r="AB30" s="12">
        <v>23.052447399999998</v>
      </c>
      <c r="AC30" s="12">
        <v>34.737763200000003</v>
      </c>
      <c r="AD30" s="12">
        <v>24.433897200000001</v>
      </c>
      <c r="AE30" s="12">
        <v>63.615633500000001</v>
      </c>
      <c r="AF30" s="12">
        <v>31.293035700000001</v>
      </c>
      <c r="AG30" s="22" t="s">
        <v>107</v>
      </c>
    </row>
    <row r="31" spans="1:33" s="11" customFormat="1" hidden="1" outlineLevel="1" x14ac:dyDescent="0.3">
      <c r="A31" s="11" t="s">
        <v>37</v>
      </c>
      <c r="B31" s="12">
        <v>2.4141233999999998</v>
      </c>
      <c r="C31" s="12">
        <v>81.156666700000002</v>
      </c>
      <c r="D31" s="12">
        <v>2.1223942</v>
      </c>
      <c r="E31" s="17">
        <v>2</v>
      </c>
      <c r="F31" s="13">
        <v>41.386666699999999</v>
      </c>
      <c r="G31" s="7" t="s">
        <v>107</v>
      </c>
      <c r="H31" s="7" t="s">
        <v>107</v>
      </c>
      <c r="I31" s="7" t="s">
        <v>107</v>
      </c>
      <c r="J31" s="12">
        <v>6.9454399000000002</v>
      </c>
      <c r="K31" s="12">
        <v>3.8777267000000002</v>
      </c>
      <c r="L31" s="12">
        <v>-0.77217239999999998</v>
      </c>
      <c r="M31" s="12">
        <v>13.323928199999999</v>
      </c>
      <c r="N31" s="12">
        <v>16.7764603</v>
      </c>
      <c r="O31" s="12">
        <v>6.2902828</v>
      </c>
      <c r="P31" s="7" t="s">
        <v>107</v>
      </c>
      <c r="Q31" s="7" t="s">
        <v>107</v>
      </c>
      <c r="R31" s="7" t="s">
        <v>107</v>
      </c>
      <c r="S31" s="12">
        <v>4.2533517999999999</v>
      </c>
      <c r="T31" s="12">
        <v>2</v>
      </c>
      <c r="U31" s="7" t="s">
        <v>107</v>
      </c>
      <c r="V31" s="12">
        <v>1.95583</v>
      </c>
      <c r="W31" s="7" t="s">
        <v>107</v>
      </c>
      <c r="X31" s="7" t="s">
        <v>107</v>
      </c>
      <c r="Y31" s="7" t="s">
        <v>107</v>
      </c>
      <c r="Z31" s="12">
        <v>-13.928627199999999</v>
      </c>
      <c r="AA31" s="12">
        <v>85.509216899999998</v>
      </c>
      <c r="AB31" s="12">
        <v>19.9897466</v>
      </c>
      <c r="AC31" s="12">
        <v>31.665292099999998</v>
      </c>
      <c r="AD31" s="12">
        <v>23.801350800000002</v>
      </c>
      <c r="AE31" s="12">
        <v>60.412812299999999</v>
      </c>
      <c r="AF31" s="12">
        <v>31.509257999999999</v>
      </c>
      <c r="AG31" s="22" t="s">
        <v>107</v>
      </c>
    </row>
    <row r="32" spans="1:33" s="11" customFormat="1" hidden="1" outlineLevel="1" x14ac:dyDescent="0.3">
      <c r="A32" s="11" t="s">
        <v>38</v>
      </c>
      <c r="B32" s="12">
        <v>2.308249</v>
      </c>
      <c r="C32" s="12">
        <v>81.663333300000005</v>
      </c>
      <c r="D32" s="12">
        <v>2.1898724000000001</v>
      </c>
      <c r="E32" s="17">
        <v>2</v>
      </c>
      <c r="F32" s="13">
        <v>44.163333299999998</v>
      </c>
      <c r="G32" s="7" t="s">
        <v>107</v>
      </c>
      <c r="H32" s="7" t="s">
        <v>107</v>
      </c>
      <c r="I32" s="7" t="s">
        <v>107</v>
      </c>
      <c r="J32" s="12">
        <v>6.7704484999999996</v>
      </c>
      <c r="K32" s="12">
        <v>5.3540076000000001</v>
      </c>
      <c r="L32" s="12">
        <v>-0.53038669999999999</v>
      </c>
      <c r="M32" s="12">
        <v>8.6297267000000009</v>
      </c>
      <c r="N32" s="12">
        <v>13.415404000000001</v>
      </c>
      <c r="O32" s="12">
        <v>8.8857993999999998</v>
      </c>
      <c r="P32" s="7" t="s">
        <v>107</v>
      </c>
      <c r="Q32" s="7" t="s">
        <v>107</v>
      </c>
      <c r="R32" s="7" t="s">
        <v>107</v>
      </c>
      <c r="S32" s="12">
        <v>3.8021072</v>
      </c>
      <c r="T32" s="12">
        <v>2</v>
      </c>
      <c r="U32" s="7" t="s">
        <v>107</v>
      </c>
      <c r="V32" s="12">
        <v>1.95583</v>
      </c>
      <c r="W32" s="7" t="s">
        <v>107</v>
      </c>
      <c r="X32" s="7" t="s">
        <v>107</v>
      </c>
      <c r="Y32" s="7" t="s">
        <v>107</v>
      </c>
      <c r="Z32" s="12">
        <v>-17.807454499999999</v>
      </c>
      <c r="AA32" s="12">
        <v>90.490592899999996</v>
      </c>
      <c r="AB32" s="12">
        <v>20.6155762</v>
      </c>
      <c r="AC32" s="12">
        <v>26.066361300000001</v>
      </c>
      <c r="AD32" s="12">
        <v>19.4057733</v>
      </c>
      <c r="AE32" s="12">
        <v>53.015611800000002</v>
      </c>
      <c r="AF32" s="12">
        <v>33.626192099999997</v>
      </c>
      <c r="AG32" s="22" t="s">
        <v>107</v>
      </c>
    </row>
    <row r="33" spans="1:33" s="11" customFormat="1" hidden="1" outlineLevel="1" x14ac:dyDescent="0.3">
      <c r="A33" s="11" t="s">
        <v>39</v>
      </c>
      <c r="B33" s="12">
        <v>1.1277817999999999</v>
      </c>
      <c r="C33" s="12">
        <v>81.773333300000004</v>
      </c>
      <c r="D33" s="12">
        <v>2.0720646</v>
      </c>
      <c r="E33" s="17">
        <v>2</v>
      </c>
      <c r="F33" s="13">
        <v>47.696666700000002</v>
      </c>
      <c r="G33" s="7" t="s">
        <v>107</v>
      </c>
      <c r="H33" s="7" t="s">
        <v>107</v>
      </c>
      <c r="I33" s="12">
        <v>2.2623416000000001</v>
      </c>
      <c r="J33" s="12">
        <v>4.6717332000000003</v>
      </c>
      <c r="K33" s="12">
        <v>1.9787877</v>
      </c>
      <c r="L33" s="12">
        <v>0.51173990000000003</v>
      </c>
      <c r="M33" s="12">
        <v>27.6877274</v>
      </c>
      <c r="N33" s="12">
        <v>17.826219800000001</v>
      </c>
      <c r="O33" s="12">
        <v>12.0396661</v>
      </c>
      <c r="P33" s="7" t="s">
        <v>107</v>
      </c>
      <c r="Q33" s="7" t="s">
        <v>107</v>
      </c>
      <c r="R33" s="7" t="s">
        <v>107</v>
      </c>
      <c r="S33" s="12">
        <v>5.6</v>
      </c>
      <c r="T33" s="12">
        <v>2</v>
      </c>
      <c r="U33" s="12">
        <v>81.500755299999994</v>
      </c>
      <c r="V33" s="12">
        <v>1.95583</v>
      </c>
      <c r="W33" s="7" t="s">
        <v>107</v>
      </c>
      <c r="X33" s="7" t="s">
        <v>107</v>
      </c>
      <c r="Y33" s="7" t="s">
        <v>107</v>
      </c>
      <c r="Z33" s="12">
        <v>-10.455581499999999</v>
      </c>
      <c r="AA33" s="12">
        <v>100.41694459999999</v>
      </c>
      <c r="AB33" s="12">
        <v>24.299533</v>
      </c>
      <c r="AC33" s="12">
        <v>30.489771000000001</v>
      </c>
      <c r="AD33" s="12">
        <v>24.380142299999999</v>
      </c>
      <c r="AE33" s="12">
        <v>62.541694499999998</v>
      </c>
      <c r="AF33" s="12">
        <v>33.135378299999999</v>
      </c>
      <c r="AG33" s="22" t="s">
        <v>107</v>
      </c>
    </row>
    <row r="34" spans="1:33" s="11" customFormat="1" hidden="1" outlineLevel="1" x14ac:dyDescent="0.3">
      <c r="A34" s="11" t="s">
        <v>40</v>
      </c>
      <c r="B34" s="12">
        <v>2.2042253999999999</v>
      </c>
      <c r="C34" s="12">
        <v>82.71</v>
      </c>
      <c r="D34" s="12">
        <v>2.0229431</v>
      </c>
      <c r="E34" s="17">
        <v>2</v>
      </c>
      <c r="F34" s="13">
        <v>51.626666700000001</v>
      </c>
      <c r="G34" s="7" t="s">
        <v>107</v>
      </c>
      <c r="H34" s="7" t="s">
        <v>107</v>
      </c>
      <c r="I34" s="12">
        <v>4.8588747999999997</v>
      </c>
      <c r="J34" s="12">
        <v>4.3249003000000004</v>
      </c>
      <c r="K34" s="12">
        <v>5.4059286999999996</v>
      </c>
      <c r="L34" s="12">
        <v>1.3579696999999999</v>
      </c>
      <c r="M34" s="12">
        <v>6.3678195000000004</v>
      </c>
      <c r="N34" s="12">
        <v>14.098304799999999</v>
      </c>
      <c r="O34" s="12">
        <v>12.8228613</v>
      </c>
      <c r="P34" s="7" t="s">
        <v>107</v>
      </c>
      <c r="Q34" s="7" t="s">
        <v>107</v>
      </c>
      <c r="R34" s="7" t="s">
        <v>107</v>
      </c>
      <c r="S34" s="12">
        <v>4.9000000000000004</v>
      </c>
      <c r="T34" s="12">
        <v>2</v>
      </c>
      <c r="U34" s="12">
        <v>81.375487000000007</v>
      </c>
      <c r="V34" s="12">
        <v>1.95583</v>
      </c>
      <c r="W34" s="7" t="s">
        <v>107</v>
      </c>
      <c r="X34" s="7" t="s">
        <v>107</v>
      </c>
      <c r="Y34" s="7" t="s">
        <v>107</v>
      </c>
      <c r="Z34" s="12">
        <v>-18.064264099999999</v>
      </c>
      <c r="AA34" s="12">
        <v>93.069236599999996</v>
      </c>
      <c r="AB34" s="12">
        <v>22.404811500000001</v>
      </c>
      <c r="AC34" s="12">
        <v>33.095756799999997</v>
      </c>
      <c r="AD34" s="12">
        <v>25.7790301</v>
      </c>
      <c r="AE34" s="12">
        <v>64.751846900000004</v>
      </c>
      <c r="AF34" s="12">
        <v>29.300401000000001</v>
      </c>
      <c r="AG34" s="22" t="s">
        <v>107</v>
      </c>
    </row>
    <row r="35" spans="1:33" s="11" customFormat="1" hidden="1" outlineLevel="1" x14ac:dyDescent="0.3">
      <c r="A35" s="11" t="s">
        <v>41</v>
      </c>
      <c r="B35" s="12">
        <v>2.0830310000000001</v>
      </c>
      <c r="C35" s="12">
        <v>83.016666700000002</v>
      </c>
      <c r="D35" s="12">
        <v>2.2918634999999998</v>
      </c>
      <c r="E35" s="17">
        <v>2</v>
      </c>
      <c r="F35" s="13">
        <v>61.47</v>
      </c>
      <c r="G35" s="7" t="s">
        <v>107</v>
      </c>
      <c r="H35" s="7" t="s">
        <v>107</v>
      </c>
      <c r="I35" s="12">
        <v>5.3562149000000003</v>
      </c>
      <c r="J35" s="12">
        <v>3.5455079999999999</v>
      </c>
      <c r="K35" s="12">
        <v>6.6089979000000003</v>
      </c>
      <c r="L35" s="12">
        <v>2.0084488</v>
      </c>
      <c r="M35" s="12">
        <v>-9.9246143999999994</v>
      </c>
      <c r="N35" s="12">
        <v>13.576532500000001</v>
      </c>
      <c r="O35" s="12">
        <v>10.295238400000001</v>
      </c>
      <c r="P35" s="7" t="s">
        <v>107</v>
      </c>
      <c r="Q35" s="7" t="s">
        <v>107</v>
      </c>
      <c r="R35" s="7" t="s">
        <v>107</v>
      </c>
      <c r="S35" s="12">
        <v>6.2</v>
      </c>
      <c r="T35" s="12">
        <v>2</v>
      </c>
      <c r="U35" s="12">
        <v>81.526426200000003</v>
      </c>
      <c r="V35" s="12">
        <v>1.95583</v>
      </c>
      <c r="W35" s="7" t="s">
        <v>107</v>
      </c>
      <c r="X35" s="7" t="s">
        <v>107</v>
      </c>
      <c r="Y35" s="7" t="s">
        <v>107</v>
      </c>
      <c r="Z35" s="12">
        <v>-13.2362479</v>
      </c>
      <c r="AA35" s="12">
        <v>86.683988999999997</v>
      </c>
      <c r="AB35" s="12">
        <v>19.7917296</v>
      </c>
      <c r="AC35" s="12">
        <v>26.144580699999999</v>
      </c>
      <c r="AD35" s="12">
        <v>25.580598999999999</v>
      </c>
      <c r="AE35" s="12">
        <v>61.008721600000001</v>
      </c>
      <c r="AF35" s="12">
        <v>28.8282135</v>
      </c>
      <c r="AG35" s="22" t="s">
        <v>107</v>
      </c>
    </row>
    <row r="36" spans="1:33" s="11" customFormat="1" hidden="1" outlineLevel="1" x14ac:dyDescent="0.3">
      <c r="A36" s="11" t="s">
        <v>42</v>
      </c>
      <c r="B36" s="12">
        <v>2.0666498999999998</v>
      </c>
      <c r="C36" s="12">
        <v>83.51</v>
      </c>
      <c r="D36" s="12">
        <v>2.2613167999999999</v>
      </c>
      <c r="E36" s="17">
        <v>2.0833333000000001</v>
      </c>
      <c r="F36" s="13">
        <v>56.88</v>
      </c>
      <c r="G36" s="7" t="s">
        <v>107</v>
      </c>
      <c r="H36" s="7" t="s">
        <v>107</v>
      </c>
      <c r="I36" s="12">
        <v>-4.1261717000000004</v>
      </c>
      <c r="J36" s="12">
        <v>3.2636452</v>
      </c>
      <c r="K36" s="12">
        <v>5.1782988999999997</v>
      </c>
      <c r="L36" s="12">
        <v>2.4809302</v>
      </c>
      <c r="M36" s="12">
        <v>10.7444425</v>
      </c>
      <c r="N36" s="12">
        <v>18.229891500000001</v>
      </c>
      <c r="O36" s="12">
        <v>6.8072376999999999</v>
      </c>
      <c r="P36" s="7" t="s">
        <v>107</v>
      </c>
      <c r="Q36" s="7" t="s">
        <v>107</v>
      </c>
      <c r="R36" s="7" t="s">
        <v>107</v>
      </c>
      <c r="S36" s="12">
        <v>7.8</v>
      </c>
      <c r="T36" s="12">
        <v>2.25</v>
      </c>
      <c r="U36" s="12">
        <v>83.310386699999995</v>
      </c>
      <c r="V36" s="12">
        <v>1.95583</v>
      </c>
      <c r="W36" s="7" t="s">
        <v>107</v>
      </c>
      <c r="X36" s="7" t="s">
        <v>107</v>
      </c>
      <c r="Y36" s="7" t="s">
        <v>107</v>
      </c>
      <c r="Z36" s="12">
        <v>-23.369511599999999</v>
      </c>
      <c r="AA36" s="12">
        <v>89.660417699999996</v>
      </c>
      <c r="AB36" s="12">
        <v>20.9525571</v>
      </c>
      <c r="AC36" s="12">
        <v>26.311461900000001</v>
      </c>
      <c r="AD36" s="12">
        <v>21.709011700000001</v>
      </c>
      <c r="AE36" s="12">
        <v>53.1059859</v>
      </c>
      <c r="AF36" s="12">
        <v>31.428015800000001</v>
      </c>
      <c r="AG36" s="22" t="s">
        <v>107</v>
      </c>
    </row>
    <row r="37" spans="1:33" s="11" customFormat="1" hidden="1" outlineLevel="1" x14ac:dyDescent="0.3">
      <c r="A37" s="11" t="s">
        <v>43</v>
      </c>
      <c r="B37" s="12">
        <v>3.8191847000000001</v>
      </c>
      <c r="C37" s="12">
        <v>83.573333300000002</v>
      </c>
      <c r="D37" s="12">
        <v>2.2012065999999999</v>
      </c>
      <c r="E37" s="17">
        <v>2.3333333000000001</v>
      </c>
      <c r="F37" s="13">
        <v>61.753333300000001</v>
      </c>
      <c r="G37" s="12">
        <v>8.2296501000000006</v>
      </c>
      <c r="H37" s="12">
        <v>16.880683000000001</v>
      </c>
      <c r="I37" s="12">
        <v>4.7577866999999996</v>
      </c>
      <c r="J37" s="12">
        <v>6.4175221000000002</v>
      </c>
      <c r="K37" s="12">
        <v>3.0105078000000001</v>
      </c>
      <c r="L37" s="12">
        <v>2.7628032</v>
      </c>
      <c r="M37" s="12">
        <v>-11.649395500000001</v>
      </c>
      <c r="N37" s="12">
        <v>13.7373563</v>
      </c>
      <c r="O37" s="12">
        <v>0.2458582</v>
      </c>
      <c r="P37" s="7" t="s">
        <v>107</v>
      </c>
      <c r="Q37" s="7" t="s">
        <v>107</v>
      </c>
      <c r="R37" s="7" t="s">
        <v>107</v>
      </c>
      <c r="S37" s="12">
        <v>7.8205128000000004</v>
      </c>
      <c r="T37" s="12">
        <v>2.5</v>
      </c>
      <c r="U37" s="12">
        <v>87.111175099999997</v>
      </c>
      <c r="V37" s="12">
        <v>1.95583</v>
      </c>
      <c r="W37" s="7" t="s">
        <v>107</v>
      </c>
      <c r="X37" s="7" t="s">
        <v>107</v>
      </c>
      <c r="Y37" s="7" t="s">
        <v>107</v>
      </c>
      <c r="Z37" s="12">
        <v>-0.67639159999999998</v>
      </c>
      <c r="AA37" s="12">
        <v>97.258321300000006</v>
      </c>
      <c r="AB37" s="12">
        <v>22.8528664</v>
      </c>
      <c r="AC37" s="12">
        <v>24.0954123</v>
      </c>
      <c r="AD37" s="12">
        <v>25.656316100000002</v>
      </c>
      <c r="AE37" s="12">
        <v>54.688650799999998</v>
      </c>
      <c r="AF37" s="12">
        <v>30.129832199999999</v>
      </c>
      <c r="AG37" s="22" t="s">
        <v>107</v>
      </c>
    </row>
    <row r="38" spans="1:33" s="11" customFormat="1" hidden="1" outlineLevel="1" x14ac:dyDescent="0.3">
      <c r="A38" s="11" t="s">
        <v>44</v>
      </c>
      <c r="B38" s="12">
        <v>2.9723983</v>
      </c>
      <c r="C38" s="12">
        <v>84.693333300000006</v>
      </c>
      <c r="D38" s="12">
        <v>2.3979365000000001</v>
      </c>
      <c r="E38" s="17">
        <v>2.5833333000000001</v>
      </c>
      <c r="F38" s="13">
        <v>69.533333299999995</v>
      </c>
      <c r="G38" s="12">
        <v>9.7110111999999997</v>
      </c>
      <c r="H38" s="12">
        <v>9.2909755999999994</v>
      </c>
      <c r="I38" s="12">
        <v>4.5246738000000004</v>
      </c>
      <c r="J38" s="12">
        <v>5.7517215000000004</v>
      </c>
      <c r="K38" s="12">
        <v>4.3490682999999999</v>
      </c>
      <c r="L38" s="12">
        <v>2.9797202999999999</v>
      </c>
      <c r="M38" s="12">
        <v>-4.5492603999999996</v>
      </c>
      <c r="N38" s="12">
        <v>18.9039869</v>
      </c>
      <c r="O38" s="12">
        <v>-2.5653514999999998</v>
      </c>
      <c r="P38" s="7" t="s">
        <v>107</v>
      </c>
      <c r="Q38" s="7" t="s">
        <v>107</v>
      </c>
      <c r="R38" s="7" t="s">
        <v>107</v>
      </c>
      <c r="S38" s="12">
        <v>10.1449275</v>
      </c>
      <c r="T38" s="12">
        <v>2.75</v>
      </c>
      <c r="U38" s="12">
        <v>86.966544299999995</v>
      </c>
      <c r="V38" s="12">
        <v>1.95583</v>
      </c>
      <c r="W38" s="7" t="s">
        <v>107</v>
      </c>
      <c r="X38" s="7" t="s">
        <v>107</v>
      </c>
      <c r="Y38" s="7" t="s">
        <v>107</v>
      </c>
      <c r="Z38" s="12">
        <v>-9.8589474999999993</v>
      </c>
      <c r="AA38" s="12">
        <v>89.396170799999993</v>
      </c>
      <c r="AB38" s="12">
        <v>21.6038499</v>
      </c>
      <c r="AC38" s="12">
        <v>27.870314700000002</v>
      </c>
      <c r="AD38" s="12">
        <v>28.011367199999999</v>
      </c>
      <c r="AE38" s="12">
        <v>56.452114799999997</v>
      </c>
      <c r="AF38" s="12">
        <v>30.0505721</v>
      </c>
      <c r="AG38" s="22" t="s">
        <v>107</v>
      </c>
    </row>
    <row r="39" spans="1:33" s="11" customFormat="1" hidden="1" outlineLevel="1" x14ac:dyDescent="0.3">
      <c r="A39" s="11" t="s">
        <v>45</v>
      </c>
      <c r="B39" s="12">
        <v>3.3099788999999999</v>
      </c>
      <c r="C39" s="12">
        <v>84.873333299999999</v>
      </c>
      <c r="D39" s="12">
        <v>2.2364986</v>
      </c>
      <c r="E39" s="17">
        <v>2.9166666999999999</v>
      </c>
      <c r="F39" s="13">
        <v>69.62</v>
      </c>
      <c r="G39" s="12">
        <v>28.677757</v>
      </c>
      <c r="H39" s="12">
        <v>22.643617800000001</v>
      </c>
      <c r="I39" s="12">
        <v>4.3589468</v>
      </c>
      <c r="J39" s="12">
        <v>5.3626962999999996</v>
      </c>
      <c r="K39" s="12">
        <v>2.4247364999999999</v>
      </c>
      <c r="L39" s="12">
        <v>3.1022957999999998</v>
      </c>
      <c r="M39" s="12">
        <v>14.3964988</v>
      </c>
      <c r="N39" s="12">
        <v>20.814569500000001</v>
      </c>
      <c r="O39" s="12">
        <v>-1.399988</v>
      </c>
      <c r="P39" s="7" t="s">
        <v>107</v>
      </c>
      <c r="Q39" s="7" t="s">
        <v>107</v>
      </c>
      <c r="R39" s="7" t="s">
        <v>107</v>
      </c>
      <c r="S39" s="12">
        <v>8.7370599999999996</v>
      </c>
      <c r="T39" s="12">
        <v>3</v>
      </c>
      <c r="U39" s="12">
        <v>86.515966199999994</v>
      </c>
      <c r="V39" s="12">
        <v>1.95583</v>
      </c>
      <c r="W39" s="7" t="s">
        <v>107</v>
      </c>
      <c r="X39" s="7" t="s">
        <v>107</v>
      </c>
      <c r="Y39" s="7" t="s">
        <v>107</v>
      </c>
      <c r="Z39" s="12">
        <v>-6.0372560000000002</v>
      </c>
      <c r="AA39" s="12">
        <v>80.820347499999997</v>
      </c>
      <c r="AB39" s="12">
        <v>19.3730969</v>
      </c>
      <c r="AC39" s="12">
        <v>26.358588600000001</v>
      </c>
      <c r="AD39" s="12">
        <v>27.8828587</v>
      </c>
      <c r="AE39" s="12">
        <v>54.409815500000001</v>
      </c>
      <c r="AF39" s="12">
        <v>28.760238000000001</v>
      </c>
      <c r="AG39" s="22" t="s">
        <v>107</v>
      </c>
    </row>
    <row r="40" spans="1:33" s="11" customFormat="1" hidden="1" outlineLevel="1" x14ac:dyDescent="0.3">
      <c r="A40" s="11" t="s">
        <v>46</v>
      </c>
      <c r="B40" s="12">
        <v>3.7478780999999999</v>
      </c>
      <c r="C40" s="12">
        <v>85.166666699999993</v>
      </c>
      <c r="D40" s="12">
        <v>1.9837944000000001</v>
      </c>
      <c r="E40" s="17">
        <v>3.3333333000000001</v>
      </c>
      <c r="F40" s="13">
        <v>59.68</v>
      </c>
      <c r="G40" s="12">
        <v>27.0218791</v>
      </c>
      <c r="H40" s="12">
        <v>36.934984100000001</v>
      </c>
      <c r="I40" s="12">
        <v>-1.8272657000000001</v>
      </c>
      <c r="J40" s="12">
        <v>4.3650286999999999</v>
      </c>
      <c r="K40" s="12">
        <v>4.9920776</v>
      </c>
      <c r="L40" s="12">
        <v>3.1290648999999999</v>
      </c>
      <c r="M40" s="12">
        <v>-0.85583129999999996</v>
      </c>
      <c r="N40" s="12">
        <v>20.794099200000002</v>
      </c>
      <c r="O40" s="12">
        <v>2.8348930999999999</v>
      </c>
      <c r="P40" s="7" t="s">
        <v>107</v>
      </c>
      <c r="Q40" s="7" t="s">
        <v>107</v>
      </c>
      <c r="R40" s="7" t="s">
        <v>107</v>
      </c>
      <c r="S40" s="12">
        <v>9.5276873000000002</v>
      </c>
      <c r="T40" s="12">
        <v>3.5</v>
      </c>
      <c r="U40" s="12">
        <v>87.193649500000006</v>
      </c>
      <c r="V40" s="12">
        <v>1.95583</v>
      </c>
      <c r="W40" s="7" t="s">
        <v>107</v>
      </c>
      <c r="X40" s="7" t="s">
        <v>107</v>
      </c>
      <c r="Y40" s="7" t="s">
        <v>107</v>
      </c>
      <c r="Z40" s="12">
        <v>-12.699937500000001</v>
      </c>
      <c r="AA40" s="12">
        <v>85.847323799999998</v>
      </c>
      <c r="AB40" s="12">
        <v>20.6090886</v>
      </c>
      <c r="AC40" s="12">
        <v>22.785716900000001</v>
      </c>
      <c r="AD40" s="12">
        <v>23.5057492</v>
      </c>
      <c r="AE40" s="12">
        <v>49.296498999999997</v>
      </c>
      <c r="AF40" s="12">
        <v>26.241538299999998</v>
      </c>
      <c r="AG40" s="22" t="s">
        <v>107</v>
      </c>
    </row>
    <row r="41" spans="1:33" s="11" customFormat="1" hidden="1" outlineLevel="1" x14ac:dyDescent="0.3">
      <c r="A41" s="11" t="s">
        <v>47</v>
      </c>
      <c r="B41" s="12">
        <v>3.5234725999999998</v>
      </c>
      <c r="C41" s="12">
        <v>85.39</v>
      </c>
      <c r="D41" s="12">
        <v>2.1737397000000001</v>
      </c>
      <c r="E41" s="17">
        <v>3.5833333000000001</v>
      </c>
      <c r="F41" s="13">
        <v>57.763333299999999</v>
      </c>
      <c r="G41" s="12">
        <v>11.676107200000001</v>
      </c>
      <c r="H41" s="12">
        <v>17.213347299999999</v>
      </c>
      <c r="I41" s="12">
        <v>6.3582238000000002</v>
      </c>
      <c r="J41" s="12">
        <v>11.346536499999999</v>
      </c>
      <c r="K41" s="12">
        <v>5.1545747000000004</v>
      </c>
      <c r="L41" s="12">
        <v>3.0819671999999998</v>
      </c>
      <c r="M41" s="12">
        <v>16.391359600000001</v>
      </c>
      <c r="N41" s="12">
        <v>17.733353600000001</v>
      </c>
      <c r="O41" s="12">
        <v>11.2779685</v>
      </c>
      <c r="P41" s="7" t="s">
        <v>107</v>
      </c>
      <c r="Q41" s="7" t="s">
        <v>107</v>
      </c>
      <c r="R41" s="7" t="s">
        <v>107</v>
      </c>
      <c r="S41" s="12">
        <v>8.8783194999999999</v>
      </c>
      <c r="T41" s="12">
        <v>3.75</v>
      </c>
      <c r="U41" s="12">
        <v>87.766246100000004</v>
      </c>
      <c r="V41" s="12">
        <v>1.95583</v>
      </c>
      <c r="W41" s="12">
        <v>13.6428913</v>
      </c>
      <c r="X41" s="7" t="s">
        <v>107</v>
      </c>
      <c r="Y41" s="7" t="s">
        <v>107</v>
      </c>
      <c r="Z41" s="12">
        <v>-6.5817002000000002</v>
      </c>
      <c r="AA41" s="12">
        <v>90.0851732</v>
      </c>
      <c r="AB41" s="12">
        <v>21.888695899999998</v>
      </c>
      <c r="AC41" s="12">
        <v>24.4418258</v>
      </c>
      <c r="AD41" s="12">
        <v>26.366492999999998</v>
      </c>
      <c r="AE41" s="12">
        <v>52.846688200000003</v>
      </c>
      <c r="AF41" s="12">
        <v>29.022292199999999</v>
      </c>
      <c r="AG41" s="22" t="s">
        <v>107</v>
      </c>
    </row>
    <row r="42" spans="1:33" s="11" customFormat="1" hidden="1" outlineLevel="1" x14ac:dyDescent="0.3">
      <c r="A42" s="11" t="s">
        <v>48</v>
      </c>
      <c r="B42" s="12">
        <v>3.1678283999999999</v>
      </c>
      <c r="C42" s="12">
        <v>86.5</v>
      </c>
      <c r="D42" s="12">
        <v>2.1331864</v>
      </c>
      <c r="E42" s="17">
        <v>3.8333333000000001</v>
      </c>
      <c r="F42" s="13">
        <v>68.583333300000007</v>
      </c>
      <c r="G42" s="12">
        <v>16.608318499999999</v>
      </c>
      <c r="H42" s="12">
        <v>12.5262279</v>
      </c>
      <c r="I42" s="12">
        <v>3.3210359</v>
      </c>
      <c r="J42" s="12">
        <v>6.804443</v>
      </c>
      <c r="K42" s="12">
        <v>5.2376296</v>
      </c>
      <c r="L42" s="12">
        <v>3.3484999000000002</v>
      </c>
      <c r="M42" s="12">
        <v>33.5745614</v>
      </c>
      <c r="N42" s="12">
        <v>14.215747800000001</v>
      </c>
      <c r="O42" s="12">
        <v>17.440426599999999</v>
      </c>
      <c r="P42" s="7" t="s">
        <v>107</v>
      </c>
      <c r="Q42" s="7" t="s">
        <v>107</v>
      </c>
      <c r="R42" s="7" t="s">
        <v>107</v>
      </c>
      <c r="S42" s="12">
        <v>9.9071207999999995</v>
      </c>
      <c r="T42" s="12">
        <v>4</v>
      </c>
      <c r="U42" s="12">
        <v>87.230926800000006</v>
      </c>
      <c r="V42" s="12">
        <v>1.95583</v>
      </c>
      <c r="W42" s="12">
        <v>8.8185654000000007</v>
      </c>
      <c r="X42" s="7" t="s">
        <v>107</v>
      </c>
      <c r="Y42" s="7" t="s">
        <v>107</v>
      </c>
      <c r="Z42" s="12">
        <v>-11.1482698</v>
      </c>
      <c r="AA42" s="12">
        <v>86.111930900000004</v>
      </c>
      <c r="AB42" s="12">
        <v>21.358739799999999</v>
      </c>
      <c r="AC42" s="12">
        <v>33.446469399999998</v>
      </c>
      <c r="AD42" s="12">
        <v>28.886593399999999</v>
      </c>
      <c r="AE42" s="12">
        <v>58.723160900000003</v>
      </c>
      <c r="AF42" s="12">
        <v>29.189739899999999</v>
      </c>
      <c r="AG42" s="22" t="s">
        <v>107</v>
      </c>
    </row>
    <row r="43" spans="1:33" s="11" customFormat="1" hidden="1" outlineLevel="1" x14ac:dyDescent="0.3">
      <c r="A43" s="11" t="s">
        <v>49</v>
      </c>
      <c r="B43" s="12">
        <v>3.1476855000000001</v>
      </c>
      <c r="C43" s="12">
        <v>86.6</v>
      </c>
      <c r="D43" s="12">
        <v>2.0344042999999998</v>
      </c>
      <c r="E43" s="17">
        <v>4</v>
      </c>
      <c r="F43" s="13">
        <v>74.953333299999997</v>
      </c>
      <c r="G43" s="12">
        <v>10.0665666</v>
      </c>
      <c r="H43" s="12">
        <v>11.306889200000001</v>
      </c>
      <c r="I43" s="12">
        <v>4.6786307999999996</v>
      </c>
      <c r="J43" s="12">
        <v>4.2941475999999996</v>
      </c>
      <c r="K43" s="12">
        <v>7.3759417000000003</v>
      </c>
      <c r="L43" s="12">
        <v>3.8334155000000001</v>
      </c>
      <c r="M43" s="12">
        <v>35.6198403</v>
      </c>
      <c r="N43" s="12">
        <v>11.138518899999999</v>
      </c>
      <c r="O43" s="12">
        <v>20.6063376</v>
      </c>
      <c r="P43" s="7" t="s">
        <v>107</v>
      </c>
      <c r="Q43" s="7" t="s">
        <v>107</v>
      </c>
      <c r="R43" s="7" t="s">
        <v>107</v>
      </c>
      <c r="S43" s="12">
        <v>9.5582635000000007</v>
      </c>
      <c r="T43" s="12">
        <v>4</v>
      </c>
      <c r="U43" s="12">
        <v>87.325253599999996</v>
      </c>
      <c r="V43" s="12">
        <v>1.95583</v>
      </c>
      <c r="W43" s="12">
        <v>4.0909091000000002</v>
      </c>
      <c r="X43" s="7" t="s">
        <v>107</v>
      </c>
      <c r="Y43" s="7" t="s">
        <v>107</v>
      </c>
      <c r="Z43" s="12">
        <v>-9.4464331000000001</v>
      </c>
      <c r="AA43" s="12">
        <v>80.823318799999996</v>
      </c>
      <c r="AB43" s="12">
        <v>19.6049604</v>
      </c>
      <c r="AC43" s="12">
        <v>32.072999199999998</v>
      </c>
      <c r="AD43" s="12">
        <v>28.838532300000001</v>
      </c>
      <c r="AE43" s="12">
        <v>58.690232700000003</v>
      </c>
      <c r="AF43" s="12">
        <v>29.9798072</v>
      </c>
      <c r="AG43" s="22" t="s">
        <v>107</v>
      </c>
    </row>
    <row r="44" spans="1:33" s="11" customFormat="1" hidden="1" outlineLevel="1" x14ac:dyDescent="0.3">
      <c r="A44" s="11" t="s">
        <v>50</v>
      </c>
      <c r="B44" s="12">
        <v>2.7223932</v>
      </c>
      <c r="C44" s="12">
        <v>87.72</v>
      </c>
      <c r="D44" s="12">
        <v>2.998043</v>
      </c>
      <c r="E44" s="17">
        <v>4</v>
      </c>
      <c r="F44" s="13">
        <v>88.56</v>
      </c>
      <c r="G44" s="12">
        <v>35.955076200000001</v>
      </c>
      <c r="H44" s="12">
        <v>14.7559454</v>
      </c>
      <c r="I44" s="12">
        <v>-9.7911070999999996</v>
      </c>
      <c r="J44" s="12">
        <v>2.1630794</v>
      </c>
      <c r="K44" s="12">
        <v>3.6110403999999998</v>
      </c>
      <c r="L44" s="12">
        <v>4.3024315</v>
      </c>
      <c r="M44" s="12">
        <v>38.782076400000001</v>
      </c>
      <c r="N44" s="12">
        <v>7.3794985000000004</v>
      </c>
      <c r="O44" s="12">
        <v>19.9548293</v>
      </c>
      <c r="P44" s="7" t="s">
        <v>107</v>
      </c>
      <c r="Q44" s="7" t="s">
        <v>107</v>
      </c>
      <c r="R44" s="7" t="s">
        <v>107</v>
      </c>
      <c r="S44" s="12">
        <v>10.892193300000001</v>
      </c>
      <c r="T44" s="12">
        <v>4</v>
      </c>
      <c r="U44" s="12">
        <v>90.684421299999997</v>
      </c>
      <c r="V44" s="12">
        <v>1.95583</v>
      </c>
      <c r="W44" s="12">
        <v>0.73773509999999998</v>
      </c>
      <c r="X44" s="7" t="s">
        <v>107</v>
      </c>
      <c r="Y44" s="7" t="s">
        <v>107</v>
      </c>
      <c r="Z44" s="12">
        <v>-13.5062502</v>
      </c>
      <c r="AA44" s="12">
        <v>84.716005199999998</v>
      </c>
      <c r="AB44" s="12">
        <v>21.713253099999999</v>
      </c>
      <c r="AC44" s="12">
        <v>28.616665000000001</v>
      </c>
      <c r="AD44" s="12">
        <v>24.2846248</v>
      </c>
      <c r="AE44" s="12">
        <v>54.9736397</v>
      </c>
      <c r="AF44" s="12">
        <v>30.032046699999999</v>
      </c>
      <c r="AG44" s="22" t="s">
        <v>107</v>
      </c>
    </row>
    <row r="45" spans="1:33" s="11" customFormat="1" hidden="1" outlineLevel="1" x14ac:dyDescent="0.3">
      <c r="A45" s="11" t="s">
        <v>51</v>
      </c>
      <c r="B45" s="12">
        <v>1.9060995000000001</v>
      </c>
      <c r="C45" s="12">
        <v>88.42</v>
      </c>
      <c r="D45" s="12">
        <v>3.5484249000000001</v>
      </c>
      <c r="E45" s="17">
        <v>4</v>
      </c>
      <c r="F45" s="13">
        <v>96.936666700000004</v>
      </c>
      <c r="G45" s="12">
        <v>32.651380000000003</v>
      </c>
      <c r="H45" s="12">
        <v>17.237865800000002</v>
      </c>
      <c r="I45" s="12">
        <v>2.3940621000000002</v>
      </c>
      <c r="J45" s="12">
        <v>6.665305</v>
      </c>
      <c r="K45" s="12">
        <v>4.5626772999999998</v>
      </c>
      <c r="L45" s="12">
        <v>4.4882669000000002</v>
      </c>
      <c r="M45" s="12">
        <v>24.840443400000002</v>
      </c>
      <c r="N45" s="12">
        <v>4.2804570999999996</v>
      </c>
      <c r="O45" s="12">
        <v>16.414620899999999</v>
      </c>
      <c r="P45" s="7" t="s">
        <v>107</v>
      </c>
      <c r="Q45" s="7" t="s">
        <v>107</v>
      </c>
      <c r="R45" s="7" t="s">
        <v>107</v>
      </c>
      <c r="S45" s="12">
        <v>14.0880961</v>
      </c>
      <c r="T45" s="12">
        <v>4</v>
      </c>
      <c r="U45" s="12">
        <v>93.443300800000003</v>
      </c>
      <c r="V45" s="12">
        <v>1.95583</v>
      </c>
      <c r="W45" s="12">
        <v>9.3513058000000004</v>
      </c>
      <c r="X45" s="7" t="s">
        <v>107</v>
      </c>
      <c r="Y45" s="7" t="s">
        <v>107</v>
      </c>
      <c r="Z45" s="12">
        <v>-13.0161047</v>
      </c>
      <c r="AA45" s="12">
        <v>86.927043400000002</v>
      </c>
      <c r="AB45" s="12">
        <v>22.8576017</v>
      </c>
      <c r="AC45" s="12">
        <v>27.671418599999999</v>
      </c>
      <c r="AD45" s="12">
        <v>26.192302900000001</v>
      </c>
      <c r="AE45" s="12">
        <v>56.565025800000001</v>
      </c>
      <c r="AF45" s="12">
        <v>29.470557400000001</v>
      </c>
      <c r="AG45" s="22" t="s">
        <v>107</v>
      </c>
    </row>
    <row r="46" spans="1:33" s="11" customFormat="1" hidden="1" outlineLevel="1" x14ac:dyDescent="0.3">
      <c r="A46" s="11" t="s">
        <v>52</v>
      </c>
      <c r="B46" s="12">
        <v>1.9101475000000001</v>
      </c>
      <c r="C46" s="12">
        <v>89.906666700000002</v>
      </c>
      <c r="D46" s="12">
        <v>3.9383430000000001</v>
      </c>
      <c r="E46" s="17">
        <v>4</v>
      </c>
      <c r="F46" s="13">
        <v>121.3966667</v>
      </c>
      <c r="G46" s="12">
        <v>26.486281099999999</v>
      </c>
      <c r="H46" s="12">
        <v>17.255434099999999</v>
      </c>
      <c r="I46" s="12">
        <v>0.62146979999999996</v>
      </c>
      <c r="J46" s="12">
        <v>5.6864426999999997</v>
      </c>
      <c r="K46" s="12">
        <v>6.2165476999999996</v>
      </c>
      <c r="L46" s="12">
        <v>3.7903281</v>
      </c>
      <c r="M46" s="12">
        <v>18.2783342</v>
      </c>
      <c r="N46" s="12">
        <v>1.891149</v>
      </c>
      <c r="O46" s="12">
        <v>12.455303900000001</v>
      </c>
      <c r="P46" s="7" t="s">
        <v>107</v>
      </c>
      <c r="Q46" s="7" t="s">
        <v>107</v>
      </c>
      <c r="R46" s="7" t="s">
        <v>107</v>
      </c>
      <c r="S46" s="12">
        <v>16.830985900000002</v>
      </c>
      <c r="T46" s="12">
        <v>4</v>
      </c>
      <c r="U46" s="12">
        <v>94.552281699999995</v>
      </c>
      <c r="V46" s="12">
        <v>1.95583</v>
      </c>
      <c r="W46" s="12">
        <v>7.9100425999999997</v>
      </c>
      <c r="X46" s="7" t="s">
        <v>107</v>
      </c>
      <c r="Y46" s="7" t="s">
        <v>107</v>
      </c>
      <c r="Z46" s="12">
        <v>-14.7459802</v>
      </c>
      <c r="AA46" s="12">
        <v>85.604170999999994</v>
      </c>
      <c r="AB46" s="12">
        <v>22.683166199999999</v>
      </c>
      <c r="AC46" s="12">
        <v>35.765894799999998</v>
      </c>
      <c r="AD46" s="12">
        <v>28.790048800000001</v>
      </c>
      <c r="AE46" s="12">
        <v>62.676407599999997</v>
      </c>
      <c r="AF46" s="12">
        <v>27.220592199999999</v>
      </c>
      <c r="AG46" s="22" t="s">
        <v>107</v>
      </c>
    </row>
    <row r="47" spans="1:33" s="11" customFormat="1" hidden="1" outlineLevel="1" x14ac:dyDescent="0.3">
      <c r="A47" s="11" t="s">
        <v>53</v>
      </c>
      <c r="B47" s="12">
        <v>0.87131639999999999</v>
      </c>
      <c r="C47" s="12">
        <v>90.323333300000002</v>
      </c>
      <c r="D47" s="12">
        <v>4.2994611000000003</v>
      </c>
      <c r="E47" s="17">
        <v>4.25</v>
      </c>
      <c r="F47" s="13">
        <v>114.3966667</v>
      </c>
      <c r="G47" s="12">
        <v>27.649729300000001</v>
      </c>
      <c r="H47" s="12">
        <v>11.3794445</v>
      </c>
      <c r="I47" s="12">
        <v>0.140601</v>
      </c>
      <c r="J47" s="12">
        <v>4.8730031</v>
      </c>
      <c r="K47" s="12">
        <v>5.4557678000000003</v>
      </c>
      <c r="L47" s="12">
        <v>2.7078384999999998</v>
      </c>
      <c r="M47" s="12">
        <v>13.580124700000001</v>
      </c>
      <c r="N47" s="12">
        <v>-0.60665840000000004</v>
      </c>
      <c r="O47" s="12">
        <v>7.9731198000000001</v>
      </c>
      <c r="P47" s="7" t="s">
        <v>107</v>
      </c>
      <c r="Q47" s="7" t="s">
        <v>107</v>
      </c>
      <c r="R47" s="7" t="s">
        <v>107</v>
      </c>
      <c r="S47" s="12">
        <v>18.491484199999999</v>
      </c>
      <c r="T47" s="12">
        <v>4.25</v>
      </c>
      <c r="U47" s="12">
        <v>95.529576500000005</v>
      </c>
      <c r="V47" s="12">
        <v>1.95583</v>
      </c>
      <c r="W47" s="12">
        <v>7.2780203999999999</v>
      </c>
      <c r="X47" s="7" t="s">
        <v>107</v>
      </c>
      <c r="Y47" s="7" t="s">
        <v>107</v>
      </c>
      <c r="Z47" s="12">
        <v>-13.812930100000001</v>
      </c>
      <c r="AA47" s="12">
        <v>80.751186899999993</v>
      </c>
      <c r="AB47" s="12">
        <v>20.574519899999999</v>
      </c>
      <c r="AC47" s="12">
        <v>33.220157499999999</v>
      </c>
      <c r="AD47" s="12">
        <v>28.269536899999999</v>
      </c>
      <c r="AE47" s="12">
        <v>61.095222700000001</v>
      </c>
      <c r="AF47" s="12">
        <v>24.4297124</v>
      </c>
      <c r="AG47" s="22" t="s">
        <v>107</v>
      </c>
    </row>
    <row r="48" spans="1:33" s="11" customFormat="1" hidden="1" outlineLevel="1" x14ac:dyDescent="0.3">
      <c r="A48" s="11" t="s">
        <v>54</v>
      </c>
      <c r="B48" s="12">
        <v>-1.9881508000000001</v>
      </c>
      <c r="C48" s="12">
        <v>90.23</v>
      </c>
      <c r="D48" s="12">
        <v>2.8613770999999999</v>
      </c>
      <c r="E48" s="17">
        <v>3.1666666999999999</v>
      </c>
      <c r="F48" s="13">
        <v>54.66</v>
      </c>
      <c r="G48" s="12">
        <v>4.5611049000000001</v>
      </c>
      <c r="H48" s="12">
        <v>2.6845773999999998</v>
      </c>
      <c r="I48" s="12">
        <v>-10.05377</v>
      </c>
      <c r="J48" s="12">
        <v>4.7223594000000002</v>
      </c>
      <c r="K48" s="12">
        <v>4.3784219999999996</v>
      </c>
      <c r="L48" s="12">
        <v>1.6795431999999999</v>
      </c>
      <c r="M48" s="12">
        <v>9.2168504000000002</v>
      </c>
      <c r="N48" s="12">
        <v>-0.4658197</v>
      </c>
      <c r="O48" s="12">
        <v>5.1030014000000001</v>
      </c>
      <c r="P48" s="7" t="s">
        <v>107</v>
      </c>
      <c r="Q48" s="7" t="s">
        <v>107</v>
      </c>
      <c r="R48" s="7" t="s">
        <v>107</v>
      </c>
      <c r="S48" s="12">
        <v>16.895742500000001</v>
      </c>
      <c r="T48" s="12">
        <v>2.5</v>
      </c>
      <c r="U48" s="12">
        <v>95.699659600000004</v>
      </c>
      <c r="V48" s="12">
        <v>1.95583</v>
      </c>
      <c r="W48" s="12">
        <v>16.623947399999999</v>
      </c>
      <c r="X48" s="7" t="s">
        <v>107</v>
      </c>
      <c r="Y48" s="7" t="s">
        <v>107</v>
      </c>
      <c r="Z48" s="12">
        <v>-13.467317599999999</v>
      </c>
      <c r="AA48" s="12">
        <v>85.147375100000005</v>
      </c>
      <c r="AB48" s="12">
        <v>22.4758414</v>
      </c>
      <c r="AC48" s="12">
        <v>29.64012</v>
      </c>
      <c r="AD48" s="12">
        <v>24.049559200000001</v>
      </c>
      <c r="AE48" s="12">
        <v>56.572051700000003</v>
      </c>
      <c r="AF48" s="12">
        <v>18.131656</v>
      </c>
      <c r="AG48" s="22" t="s">
        <v>107</v>
      </c>
    </row>
    <row r="49" spans="1:33" s="11" customFormat="1" hidden="1" outlineLevel="1" x14ac:dyDescent="0.3">
      <c r="A49" s="11" t="s">
        <v>55</v>
      </c>
      <c r="B49" s="12">
        <v>-5.4359460999999998</v>
      </c>
      <c r="C49" s="12">
        <v>89.88</v>
      </c>
      <c r="D49" s="12">
        <v>1.6512100999999999</v>
      </c>
      <c r="E49" s="17">
        <v>1.8333333000000001</v>
      </c>
      <c r="F49" s="13">
        <v>44.433333300000001</v>
      </c>
      <c r="G49" s="12">
        <v>8.9832222000000002</v>
      </c>
      <c r="H49" s="12">
        <v>-3.9167575000000001</v>
      </c>
      <c r="I49" s="12">
        <v>-2.1570285999999999</v>
      </c>
      <c r="J49" s="12">
        <v>-3.2919512000000002</v>
      </c>
      <c r="K49" s="12">
        <v>0.7493976</v>
      </c>
      <c r="L49" s="12">
        <v>3.4363796</v>
      </c>
      <c r="M49" s="12">
        <v>-12.3301493</v>
      </c>
      <c r="N49" s="12">
        <v>-9.3672609999999992</v>
      </c>
      <c r="O49" s="12">
        <v>-14.685579499999999</v>
      </c>
      <c r="P49" s="7" t="s">
        <v>107</v>
      </c>
      <c r="Q49" s="7" t="s">
        <v>107</v>
      </c>
      <c r="R49" s="7" t="s">
        <v>107</v>
      </c>
      <c r="S49" s="12">
        <v>14.932993</v>
      </c>
      <c r="T49" s="12">
        <v>1.5</v>
      </c>
      <c r="U49" s="12">
        <v>94.929615900000002</v>
      </c>
      <c r="V49" s="12">
        <v>1.95583</v>
      </c>
      <c r="W49" s="12">
        <v>-3.5439136000000002</v>
      </c>
      <c r="X49" s="12">
        <v>-10.4458828</v>
      </c>
      <c r="Y49" s="12">
        <v>-18.365288</v>
      </c>
      <c r="Z49" s="12">
        <v>-5.4863559000000004</v>
      </c>
      <c r="AA49" s="12">
        <v>88.282764200000003</v>
      </c>
      <c r="AB49" s="12">
        <v>26.516192700000001</v>
      </c>
      <c r="AC49" s="12">
        <v>23.529619100000001</v>
      </c>
      <c r="AD49" s="12">
        <v>23.9718786</v>
      </c>
      <c r="AE49" s="12">
        <v>48.008950900000002</v>
      </c>
      <c r="AF49" s="12">
        <v>10.6855118</v>
      </c>
      <c r="AG49" s="22" t="s">
        <v>107</v>
      </c>
    </row>
    <row r="50" spans="1:33" s="11" customFormat="1" hidden="1" outlineLevel="1" x14ac:dyDescent="0.3">
      <c r="A50" s="11" t="s">
        <v>56</v>
      </c>
      <c r="B50" s="12">
        <v>-5.8020649999999998</v>
      </c>
      <c r="C50" s="12">
        <v>90.723333299999993</v>
      </c>
      <c r="D50" s="12">
        <v>0.90834930000000003</v>
      </c>
      <c r="E50" s="17">
        <v>1.0833333000000001</v>
      </c>
      <c r="F50" s="13">
        <v>58.696666700000002</v>
      </c>
      <c r="G50" s="12">
        <v>4.3549635999999996</v>
      </c>
      <c r="H50" s="12">
        <v>0.27392359999999999</v>
      </c>
      <c r="I50" s="12">
        <v>-0.93655200000000005</v>
      </c>
      <c r="J50" s="12">
        <v>-2.1834704999999999</v>
      </c>
      <c r="K50" s="12">
        <v>-1.1250503000000001</v>
      </c>
      <c r="L50" s="12">
        <v>0.3579003</v>
      </c>
      <c r="M50" s="12">
        <v>-25.410632499999998</v>
      </c>
      <c r="N50" s="12">
        <v>-9.4582929</v>
      </c>
      <c r="O50" s="12">
        <v>-15.29008</v>
      </c>
      <c r="P50" s="7" t="s">
        <v>107</v>
      </c>
      <c r="Q50" s="7" t="s">
        <v>107</v>
      </c>
      <c r="R50" s="7" t="s">
        <v>107</v>
      </c>
      <c r="S50" s="12">
        <v>8.9511754000000003</v>
      </c>
      <c r="T50" s="12">
        <v>1</v>
      </c>
      <c r="U50" s="12">
        <v>93.6421134</v>
      </c>
      <c r="V50" s="12">
        <v>1.95583</v>
      </c>
      <c r="W50" s="12">
        <v>-3.9525692000000001</v>
      </c>
      <c r="X50" s="12">
        <v>-16.133113000000002</v>
      </c>
      <c r="Y50" s="12">
        <v>-21.230473</v>
      </c>
      <c r="Z50" s="12">
        <v>-7.7515046999999999</v>
      </c>
      <c r="AA50" s="12">
        <v>85.538845899999998</v>
      </c>
      <c r="AB50" s="12">
        <v>23.776382600000002</v>
      </c>
      <c r="AC50" s="12">
        <v>25.507373300000001</v>
      </c>
      <c r="AD50" s="12">
        <v>24.413945300000002</v>
      </c>
      <c r="AE50" s="12">
        <v>49.997566599999999</v>
      </c>
      <c r="AF50" s="12">
        <v>1.8406663000000001</v>
      </c>
      <c r="AG50" s="22" t="s">
        <v>107</v>
      </c>
    </row>
    <row r="51" spans="1:33" s="11" customFormat="1" hidden="1" outlineLevel="1" x14ac:dyDescent="0.3">
      <c r="A51" s="11" t="s">
        <v>57</v>
      </c>
      <c r="B51" s="12">
        <v>-4.1677857999999999</v>
      </c>
      <c r="C51" s="12">
        <v>90.663333300000005</v>
      </c>
      <c r="D51" s="12">
        <v>0.37642540000000002</v>
      </c>
      <c r="E51" s="17">
        <v>1</v>
      </c>
      <c r="F51" s="13">
        <v>68.2</v>
      </c>
      <c r="G51" s="12">
        <v>-3.1741552</v>
      </c>
      <c r="H51" s="12">
        <v>-6.3401351999999997</v>
      </c>
      <c r="I51" s="12">
        <v>-1.0300358999999999</v>
      </c>
      <c r="J51" s="12">
        <v>-3.0095890000000001</v>
      </c>
      <c r="K51" s="12">
        <v>-6.7231148999999997</v>
      </c>
      <c r="L51" s="12">
        <v>6.6075999999999999E-3</v>
      </c>
      <c r="M51" s="12">
        <v>-28.723311500000001</v>
      </c>
      <c r="N51" s="12">
        <v>-0.59547439999999996</v>
      </c>
      <c r="O51" s="12">
        <v>-17.117854900000001</v>
      </c>
      <c r="P51" s="7" t="s">
        <v>107</v>
      </c>
      <c r="Q51" s="7" t="s">
        <v>107</v>
      </c>
      <c r="R51" s="7" t="s">
        <v>107</v>
      </c>
      <c r="S51" s="12">
        <v>5.5148137000000004</v>
      </c>
      <c r="T51" s="12">
        <v>1</v>
      </c>
      <c r="U51" s="12">
        <v>94.204796599999995</v>
      </c>
      <c r="V51" s="12">
        <v>1.95583</v>
      </c>
      <c r="W51" s="12">
        <v>-6.5128900999999999</v>
      </c>
      <c r="X51" s="12">
        <v>-10.5091055</v>
      </c>
      <c r="Y51" s="12">
        <v>-23.999293600000001</v>
      </c>
      <c r="Z51" s="12">
        <v>-4.8978606999999998</v>
      </c>
      <c r="AA51" s="12">
        <v>79.706044399999996</v>
      </c>
      <c r="AB51" s="12">
        <v>21.060860999999999</v>
      </c>
      <c r="AC51" s="12">
        <v>23.377957800000001</v>
      </c>
      <c r="AD51" s="12">
        <v>26.377079200000001</v>
      </c>
      <c r="AE51" s="12">
        <v>48.0678451</v>
      </c>
      <c r="AF51" s="12">
        <v>-3.8588575999999999</v>
      </c>
      <c r="AG51" s="22" t="s">
        <v>107</v>
      </c>
    </row>
    <row r="52" spans="1:33" s="11" customFormat="1" hidden="1" outlineLevel="1" x14ac:dyDescent="0.3">
      <c r="A52" s="11" t="s">
        <v>58</v>
      </c>
      <c r="B52" s="12">
        <v>-1.8288317999999999</v>
      </c>
      <c r="C52" s="12">
        <v>91.146666699999997</v>
      </c>
      <c r="D52" s="12">
        <v>1.0159222999999999</v>
      </c>
      <c r="E52" s="17">
        <v>1</v>
      </c>
      <c r="F52" s="13">
        <v>74.63</v>
      </c>
      <c r="G52" s="12">
        <v>-1.9873167</v>
      </c>
      <c r="H52" s="12">
        <v>-3.7811290999999998</v>
      </c>
      <c r="I52" s="12">
        <v>-11.147094600000001</v>
      </c>
      <c r="J52" s="12">
        <v>-3.5363709999999999</v>
      </c>
      <c r="K52" s="12">
        <v>-9.4520754999999994</v>
      </c>
      <c r="L52" s="12">
        <v>0.76643539999999999</v>
      </c>
      <c r="M52" s="12">
        <v>-29.505565600000001</v>
      </c>
      <c r="N52" s="12">
        <v>6.8255029</v>
      </c>
      <c r="O52" s="12">
        <v>-9.9212308</v>
      </c>
      <c r="P52" s="7" t="s">
        <v>107</v>
      </c>
      <c r="Q52" s="7" t="s">
        <v>107</v>
      </c>
      <c r="R52" s="7" t="s">
        <v>107</v>
      </c>
      <c r="S52" s="12">
        <v>4.0149125000000003</v>
      </c>
      <c r="T52" s="12">
        <v>1</v>
      </c>
      <c r="U52" s="12">
        <v>95.001685499999994</v>
      </c>
      <c r="V52" s="12">
        <v>1.95583</v>
      </c>
      <c r="W52" s="12">
        <v>-11.114599699999999</v>
      </c>
      <c r="X52" s="12">
        <v>0.38091439999999999</v>
      </c>
      <c r="Y52" s="12">
        <v>-16.131103800000002</v>
      </c>
      <c r="Z52" s="12">
        <v>-7.5307133999999998</v>
      </c>
      <c r="AA52" s="12">
        <v>81.608367000000001</v>
      </c>
      <c r="AB52" s="12">
        <v>22.956307299999999</v>
      </c>
      <c r="AC52" s="12">
        <v>22.213146299999998</v>
      </c>
      <c r="AD52" s="12">
        <v>25.068870499999999</v>
      </c>
      <c r="AE52" s="12">
        <v>48.878851900000001</v>
      </c>
      <c r="AF52" s="12">
        <v>-5.8159359000000004</v>
      </c>
      <c r="AG52" s="22" t="s">
        <v>107</v>
      </c>
    </row>
    <row r="53" spans="1:33" s="11" customFormat="1" hidden="1" outlineLevel="1" x14ac:dyDescent="0.3">
      <c r="A53" s="11" t="s">
        <v>59</v>
      </c>
      <c r="B53" s="12">
        <v>1.1991562</v>
      </c>
      <c r="C53" s="12">
        <v>91.416666699999993</v>
      </c>
      <c r="D53" s="12">
        <v>1.709687</v>
      </c>
      <c r="E53" s="17">
        <v>1</v>
      </c>
      <c r="F53" s="13">
        <v>76.25</v>
      </c>
      <c r="G53" s="12">
        <v>2.6075613</v>
      </c>
      <c r="H53" s="12">
        <v>5.2083437000000004</v>
      </c>
      <c r="I53" s="12">
        <v>-1.2791891</v>
      </c>
      <c r="J53" s="12">
        <v>0.74086300000000005</v>
      </c>
      <c r="K53" s="12">
        <v>-0.73064180000000001</v>
      </c>
      <c r="L53" s="12">
        <v>0.62128050000000001</v>
      </c>
      <c r="M53" s="12">
        <v>-25.949512800000001</v>
      </c>
      <c r="N53" s="12">
        <v>14.707288699999999</v>
      </c>
      <c r="O53" s="12">
        <v>-4.1992421000000002</v>
      </c>
      <c r="P53" s="7" t="s">
        <v>107</v>
      </c>
      <c r="Q53" s="7" t="s">
        <v>107</v>
      </c>
      <c r="R53" s="7" t="s">
        <v>107</v>
      </c>
      <c r="S53" s="12">
        <v>0.13881180000000001</v>
      </c>
      <c r="T53" s="12">
        <v>1</v>
      </c>
      <c r="U53" s="12">
        <v>96.643456999999998</v>
      </c>
      <c r="V53" s="12">
        <v>1.95583</v>
      </c>
      <c r="W53" s="12">
        <v>2.4760382999999999</v>
      </c>
      <c r="X53" s="12">
        <v>15.890128199999999</v>
      </c>
      <c r="Y53" s="12">
        <v>-4.4136825000000002</v>
      </c>
      <c r="Z53" s="12">
        <v>-2.7924487</v>
      </c>
      <c r="AA53" s="12">
        <v>87.837532400000001</v>
      </c>
      <c r="AB53" s="12">
        <v>25.089979700000001</v>
      </c>
      <c r="AC53" s="12">
        <v>16.484968599999998</v>
      </c>
      <c r="AD53" s="12">
        <v>27.193851800000001</v>
      </c>
      <c r="AE53" s="12">
        <v>44.762053799999997</v>
      </c>
      <c r="AF53" s="12">
        <v>-6.4433420999999997</v>
      </c>
      <c r="AG53" s="22" t="s">
        <v>107</v>
      </c>
    </row>
    <row r="54" spans="1:33" s="11" customFormat="1" hidden="1" outlineLevel="1" x14ac:dyDescent="0.3">
      <c r="A54" s="11" t="s">
        <v>60</v>
      </c>
      <c r="B54" s="12">
        <v>2.6157658000000001</v>
      </c>
      <c r="C54" s="12">
        <v>92.57</v>
      </c>
      <c r="D54" s="12">
        <v>2.0354926</v>
      </c>
      <c r="E54" s="17">
        <v>1</v>
      </c>
      <c r="F54" s="13">
        <v>78.510000000000005</v>
      </c>
      <c r="G54" s="12">
        <v>1.5459529000000001</v>
      </c>
      <c r="H54" s="12">
        <v>0.9976294</v>
      </c>
      <c r="I54" s="12">
        <v>-1.1335374</v>
      </c>
      <c r="J54" s="12">
        <v>0.73150130000000002</v>
      </c>
      <c r="K54" s="12">
        <v>-1.8545389999999999</v>
      </c>
      <c r="L54" s="12">
        <v>2.1529520999999998</v>
      </c>
      <c r="M54" s="12">
        <v>-14.397369899999999</v>
      </c>
      <c r="N54" s="12">
        <v>18.866575300000001</v>
      </c>
      <c r="O54" s="12">
        <v>1.4627026000000001</v>
      </c>
      <c r="P54" s="7" t="s">
        <v>107</v>
      </c>
      <c r="Q54" s="7" t="s">
        <v>107</v>
      </c>
      <c r="R54" s="7" t="s">
        <v>107</v>
      </c>
      <c r="S54" s="12">
        <v>0.746888</v>
      </c>
      <c r="T54" s="12">
        <v>1</v>
      </c>
      <c r="U54" s="12">
        <v>96.094366800000003</v>
      </c>
      <c r="V54" s="12">
        <v>1.95583</v>
      </c>
      <c r="W54" s="12">
        <v>4.3396933000000004</v>
      </c>
      <c r="X54" s="12">
        <v>27.800035600000001</v>
      </c>
      <c r="Y54" s="12">
        <v>5.743188</v>
      </c>
      <c r="Z54" s="12">
        <v>-5.1839195</v>
      </c>
      <c r="AA54" s="12">
        <v>83.161848300000003</v>
      </c>
      <c r="AB54" s="12">
        <v>23.508711000000002</v>
      </c>
      <c r="AC54" s="12">
        <v>21.831208199999999</v>
      </c>
      <c r="AD54" s="12">
        <v>30.3197197</v>
      </c>
      <c r="AE54" s="12">
        <v>51.368198499999998</v>
      </c>
      <c r="AF54" s="12">
        <v>-3.5018359999999999</v>
      </c>
      <c r="AG54" s="22" t="s">
        <v>107</v>
      </c>
    </row>
    <row r="55" spans="1:33" s="11" customFormat="1" hidden="1" outlineLevel="1" x14ac:dyDescent="0.3">
      <c r="A55" s="11" t="s">
        <v>61</v>
      </c>
      <c r="B55" s="12">
        <v>2.4618717000000001</v>
      </c>
      <c r="C55" s="12">
        <v>92.583333300000007</v>
      </c>
      <c r="D55" s="12">
        <v>2.1177248999999998</v>
      </c>
      <c r="E55" s="17">
        <v>1</v>
      </c>
      <c r="F55" s="13">
        <v>76.819999999999993</v>
      </c>
      <c r="G55" s="12">
        <v>2.8363684999999998</v>
      </c>
      <c r="H55" s="12">
        <v>2.1919781999999999</v>
      </c>
      <c r="I55" s="12">
        <v>-1.2760286000000001</v>
      </c>
      <c r="J55" s="12">
        <v>-0.27823680000000001</v>
      </c>
      <c r="K55" s="12">
        <v>0.33996920000000003</v>
      </c>
      <c r="L55" s="12">
        <v>2.1010901999999998</v>
      </c>
      <c r="M55" s="12">
        <v>-19.568406899999999</v>
      </c>
      <c r="N55" s="12">
        <v>7.6427715999999997</v>
      </c>
      <c r="O55" s="12">
        <v>8.4831889</v>
      </c>
      <c r="P55" s="7" t="s">
        <v>107</v>
      </c>
      <c r="Q55" s="7" t="s">
        <v>107</v>
      </c>
      <c r="R55" s="7" t="s">
        <v>107</v>
      </c>
      <c r="S55" s="12">
        <v>1.5846538999999999</v>
      </c>
      <c r="T55" s="12">
        <v>1</v>
      </c>
      <c r="U55" s="12">
        <v>95.921271000000004</v>
      </c>
      <c r="V55" s="12">
        <v>1.95583</v>
      </c>
      <c r="W55" s="12">
        <v>1.4876632000000001</v>
      </c>
      <c r="X55" s="12">
        <v>16.821521400000002</v>
      </c>
      <c r="Y55" s="12">
        <v>13.4058811</v>
      </c>
      <c r="Z55" s="12">
        <v>-8.6365651000000003</v>
      </c>
      <c r="AA55" s="12">
        <v>80.369361100000006</v>
      </c>
      <c r="AB55" s="12">
        <v>21.490773399999998</v>
      </c>
      <c r="AC55" s="12">
        <v>19.497349</v>
      </c>
      <c r="AD55" s="12">
        <v>30.7410918</v>
      </c>
      <c r="AE55" s="12">
        <v>54.466692299999998</v>
      </c>
      <c r="AF55" s="12">
        <v>-2.1681387999999999</v>
      </c>
      <c r="AG55" s="22" t="s">
        <v>107</v>
      </c>
    </row>
    <row r="56" spans="1:33" s="11" customFormat="1" hidden="1" outlineLevel="1" x14ac:dyDescent="0.3">
      <c r="A56" s="11" t="s">
        <v>62</v>
      </c>
      <c r="B56" s="12">
        <v>2.3931737000000002</v>
      </c>
      <c r="C56" s="12">
        <v>93.383333300000004</v>
      </c>
      <c r="D56" s="12">
        <v>2.4539203000000001</v>
      </c>
      <c r="E56" s="17">
        <v>1</v>
      </c>
      <c r="F56" s="13">
        <v>86.466666700000005</v>
      </c>
      <c r="G56" s="12">
        <v>-6.3657877000000003</v>
      </c>
      <c r="H56" s="12">
        <v>8.0162937000000003</v>
      </c>
      <c r="I56" s="12">
        <v>-4.6198293000000001</v>
      </c>
      <c r="J56" s="12">
        <v>2.3092191</v>
      </c>
      <c r="K56" s="12">
        <v>2.7610153</v>
      </c>
      <c r="L56" s="12">
        <v>1.8293881999999999</v>
      </c>
      <c r="M56" s="12">
        <v>-1.6891891999999999</v>
      </c>
      <c r="N56" s="12">
        <v>15.617888000000001</v>
      </c>
      <c r="O56" s="12">
        <v>2.9772175999999999</v>
      </c>
      <c r="P56" s="7" t="s">
        <v>107</v>
      </c>
      <c r="Q56" s="7" t="s">
        <v>107</v>
      </c>
      <c r="R56" s="7" t="s">
        <v>107</v>
      </c>
      <c r="S56" s="12">
        <v>1.7645436999999999</v>
      </c>
      <c r="T56" s="12">
        <v>1</v>
      </c>
      <c r="U56" s="12">
        <v>97.141203700000005</v>
      </c>
      <c r="V56" s="12">
        <v>1.95583</v>
      </c>
      <c r="W56" s="12">
        <v>8.7954785999999991</v>
      </c>
      <c r="X56" s="12">
        <v>25.3872857</v>
      </c>
      <c r="Y56" s="12">
        <v>13.9176217</v>
      </c>
      <c r="Z56" s="12">
        <v>-7.031263</v>
      </c>
      <c r="AA56" s="12">
        <v>81.137830100000002</v>
      </c>
      <c r="AB56" s="12">
        <v>22.719818499999999</v>
      </c>
      <c r="AC56" s="12">
        <v>20.707465500000001</v>
      </c>
      <c r="AD56" s="12">
        <v>30.212883399999999</v>
      </c>
      <c r="AE56" s="12">
        <v>53.611660299999997</v>
      </c>
      <c r="AF56" s="12">
        <v>0.2696829</v>
      </c>
      <c r="AG56" s="22" t="s">
        <v>107</v>
      </c>
    </row>
    <row r="57" spans="1:33" s="11" customFormat="1" hidden="1" outlineLevel="1" x14ac:dyDescent="0.3">
      <c r="A57" s="11" t="s">
        <v>63</v>
      </c>
      <c r="B57" s="12">
        <v>3.2110127999999998</v>
      </c>
      <c r="C57" s="12">
        <v>94.073333300000002</v>
      </c>
      <c r="D57" s="12">
        <v>2.9061075000000001</v>
      </c>
      <c r="E57" s="17">
        <v>1</v>
      </c>
      <c r="F57" s="13">
        <v>104.96</v>
      </c>
      <c r="G57" s="12">
        <v>0.30796630000000003</v>
      </c>
      <c r="H57" s="12">
        <v>2.7483802000000002</v>
      </c>
      <c r="I57" s="12">
        <v>-0.37043769999999998</v>
      </c>
      <c r="J57" s="12">
        <v>2.1079699999999999</v>
      </c>
      <c r="K57" s="12">
        <v>5.69087E-2</v>
      </c>
      <c r="L57" s="12">
        <v>0.6174444</v>
      </c>
      <c r="M57" s="12">
        <v>26.3806859</v>
      </c>
      <c r="N57" s="12">
        <v>12.714387800000001</v>
      </c>
      <c r="O57" s="12">
        <v>8.1180286000000006</v>
      </c>
      <c r="P57" s="7" t="s">
        <v>107</v>
      </c>
      <c r="Q57" s="7" t="s">
        <v>107</v>
      </c>
      <c r="R57" s="7" t="s">
        <v>107</v>
      </c>
      <c r="S57" s="12">
        <v>3.9090657000000002</v>
      </c>
      <c r="T57" s="12">
        <v>1</v>
      </c>
      <c r="U57" s="12">
        <v>99.799432100000004</v>
      </c>
      <c r="V57" s="12">
        <v>1.95583</v>
      </c>
      <c r="W57" s="12">
        <v>5.8456742000000004</v>
      </c>
      <c r="X57" s="12">
        <v>22.860888299999999</v>
      </c>
      <c r="Y57" s="12">
        <v>21.984274800000001</v>
      </c>
      <c r="Z57" s="12">
        <v>-5.4034689</v>
      </c>
      <c r="AA57" s="12">
        <v>85.317978299999993</v>
      </c>
      <c r="AB57" s="12">
        <v>24.950845099999999</v>
      </c>
      <c r="AC57" s="12">
        <v>20.524428700000001</v>
      </c>
      <c r="AD57" s="12">
        <v>31.799481199999999</v>
      </c>
      <c r="AE57" s="12">
        <v>52.036415900000001</v>
      </c>
      <c r="AF57" s="12">
        <v>1.0804155</v>
      </c>
      <c r="AG57" s="22" t="s">
        <v>107</v>
      </c>
    </row>
    <row r="58" spans="1:33" s="11" customFormat="1" hidden="1" outlineLevel="1" x14ac:dyDescent="0.3">
      <c r="A58" s="11" t="s">
        <v>64</v>
      </c>
      <c r="B58" s="12">
        <v>2.1036085</v>
      </c>
      <c r="C58" s="12">
        <v>95.516666700000002</v>
      </c>
      <c r="D58" s="12">
        <v>3.1831767000000002</v>
      </c>
      <c r="E58" s="17">
        <v>1.25</v>
      </c>
      <c r="F58" s="13">
        <v>117.36</v>
      </c>
      <c r="G58" s="12">
        <v>-0.95385640000000005</v>
      </c>
      <c r="H58" s="12">
        <v>1.9389658999999999</v>
      </c>
      <c r="I58" s="12">
        <v>-1.18511E-2</v>
      </c>
      <c r="J58" s="12">
        <v>1.3056433000000001</v>
      </c>
      <c r="K58" s="12">
        <v>1.7200966</v>
      </c>
      <c r="L58" s="12">
        <v>-0.85983969999999998</v>
      </c>
      <c r="M58" s="12">
        <v>7.7608696000000004</v>
      </c>
      <c r="N58" s="12">
        <v>2.6620544000000002</v>
      </c>
      <c r="O58" s="12">
        <v>3.0388443999999999</v>
      </c>
      <c r="P58" s="7" t="s">
        <v>107</v>
      </c>
      <c r="Q58" s="7" t="s">
        <v>107</v>
      </c>
      <c r="R58" s="7" t="s">
        <v>107</v>
      </c>
      <c r="S58" s="12">
        <v>5.0796266000000001</v>
      </c>
      <c r="T58" s="12">
        <v>1.25</v>
      </c>
      <c r="U58" s="12">
        <v>99.924077699999998</v>
      </c>
      <c r="V58" s="12">
        <v>1.95583</v>
      </c>
      <c r="W58" s="12">
        <v>2.7249910000000002</v>
      </c>
      <c r="X58" s="12">
        <v>9.0366000999999994</v>
      </c>
      <c r="Y58" s="12">
        <v>13.100010299999999</v>
      </c>
      <c r="Z58" s="12">
        <v>-10.6287088</v>
      </c>
      <c r="AA58" s="12">
        <v>84.356578900000002</v>
      </c>
      <c r="AB58" s="12">
        <v>23.477444500000001</v>
      </c>
      <c r="AC58" s="12">
        <v>23.437427899999999</v>
      </c>
      <c r="AD58" s="12">
        <v>32.250319400000002</v>
      </c>
      <c r="AE58" s="12">
        <v>56.683545500000001</v>
      </c>
      <c r="AF58" s="12">
        <v>1.9364524000000001</v>
      </c>
      <c r="AG58" s="22" t="s">
        <v>107</v>
      </c>
    </row>
    <row r="59" spans="1:33" s="11" customFormat="1" hidden="1" outlineLevel="1" x14ac:dyDescent="0.3">
      <c r="A59" s="11" t="s">
        <v>65</v>
      </c>
      <c r="B59" s="12">
        <v>1.8176159000000001</v>
      </c>
      <c r="C59" s="12">
        <v>95.433333300000001</v>
      </c>
      <c r="D59" s="12">
        <v>3.0783078000000001</v>
      </c>
      <c r="E59" s="17">
        <v>1.5</v>
      </c>
      <c r="F59" s="13">
        <v>113.34</v>
      </c>
      <c r="G59" s="12">
        <v>0.30897940000000002</v>
      </c>
      <c r="H59" s="12">
        <v>9.4588923999999999</v>
      </c>
      <c r="I59" s="12">
        <v>1.8609517</v>
      </c>
      <c r="J59" s="12">
        <v>1.1061383</v>
      </c>
      <c r="K59" s="12">
        <v>0.49076110000000001</v>
      </c>
      <c r="L59" s="12">
        <v>-1.5336828</v>
      </c>
      <c r="M59" s="12">
        <v>-10.5799194</v>
      </c>
      <c r="N59" s="12">
        <v>3.3112276</v>
      </c>
      <c r="O59" s="12">
        <v>-2.5059852</v>
      </c>
      <c r="P59" s="7" t="s">
        <v>107</v>
      </c>
      <c r="Q59" s="7" t="s">
        <v>107</v>
      </c>
      <c r="R59" s="7" t="s">
        <v>107</v>
      </c>
      <c r="S59" s="12">
        <v>4.6524356999999998</v>
      </c>
      <c r="T59" s="12">
        <v>1.5</v>
      </c>
      <c r="U59" s="12">
        <v>99.684335000000004</v>
      </c>
      <c r="V59" s="12">
        <v>1.95583</v>
      </c>
      <c r="W59" s="12">
        <v>5.9706828999999999</v>
      </c>
      <c r="X59" s="12">
        <v>9.8957429999999995</v>
      </c>
      <c r="Y59" s="12">
        <v>7.1051473999999999</v>
      </c>
      <c r="Z59" s="12">
        <v>-9.0071502999999993</v>
      </c>
      <c r="AA59" s="12">
        <v>79.7760751</v>
      </c>
      <c r="AB59" s="12">
        <v>21.2968984</v>
      </c>
      <c r="AC59" s="12">
        <v>17.5153383</v>
      </c>
      <c r="AD59" s="12">
        <v>32.196273599999998</v>
      </c>
      <c r="AE59" s="12">
        <v>55.626396</v>
      </c>
      <c r="AF59" s="12">
        <v>2.9751257999999998</v>
      </c>
      <c r="AG59" s="22" t="s">
        <v>107</v>
      </c>
    </row>
    <row r="60" spans="1:33" s="11" customFormat="1" hidden="1" outlineLevel="1" x14ac:dyDescent="0.3">
      <c r="A60" s="11" t="s">
        <v>66</v>
      </c>
      <c r="B60" s="12">
        <v>0.47384009999999999</v>
      </c>
      <c r="C60" s="12">
        <v>96.41</v>
      </c>
      <c r="D60" s="12">
        <v>3.2411208999999999</v>
      </c>
      <c r="E60" s="17">
        <v>1.25</v>
      </c>
      <c r="F60" s="13">
        <v>109.3966667</v>
      </c>
      <c r="G60" s="12">
        <v>1.3567807999999999</v>
      </c>
      <c r="H60" s="12">
        <v>2.3580979000000002</v>
      </c>
      <c r="I60" s="12">
        <v>-4.2249429000000003</v>
      </c>
      <c r="J60" s="12">
        <v>-0.54002399999999995</v>
      </c>
      <c r="K60" s="12">
        <v>-2.7934374000000002</v>
      </c>
      <c r="L60" s="12">
        <v>-1.802962</v>
      </c>
      <c r="M60" s="12">
        <v>29.015389200000001</v>
      </c>
      <c r="N60" s="12">
        <v>1.3335958000000001</v>
      </c>
      <c r="O60" s="12">
        <v>4.5724347999999999</v>
      </c>
      <c r="P60" s="7" t="s">
        <v>107</v>
      </c>
      <c r="Q60" s="7" t="s">
        <v>107</v>
      </c>
      <c r="R60" s="7" t="s">
        <v>107</v>
      </c>
      <c r="S60" s="12">
        <v>4.2806826999999998</v>
      </c>
      <c r="T60" s="12">
        <v>1</v>
      </c>
      <c r="U60" s="12">
        <v>100.5561472</v>
      </c>
      <c r="V60" s="12">
        <v>1.95583</v>
      </c>
      <c r="W60" s="12">
        <v>-4.1233766999999997</v>
      </c>
      <c r="X60" s="12">
        <v>6.8088477000000003</v>
      </c>
      <c r="Y60" s="12">
        <v>10.7873073</v>
      </c>
      <c r="Z60" s="12">
        <v>-12.5413426</v>
      </c>
      <c r="AA60" s="12">
        <v>80.809334300000003</v>
      </c>
      <c r="AB60" s="12">
        <v>22.9255891</v>
      </c>
      <c r="AC60" s="12">
        <v>27.533709699999999</v>
      </c>
      <c r="AD60" s="12">
        <v>31.869429</v>
      </c>
      <c r="AE60" s="12">
        <v>58.564748299999998</v>
      </c>
      <c r="AF60" s="12">
        <v>6.0162268000000001</v>
      </c>
      <c r="AG60" s="22" t="s">
        <v>107</v>
      </c>
    </row>
    <row r="61" spans="1:33" s="11" customFormat="1" hidden="1" outlineLevel="1" x14ac:dyDescent="0.3">
      <c r="A61" s="11" t="s">
        <v>67</v>
      </c>
      <c r="B61" s="12">
        <v>3.7986600000000002E-2</v>
      </c>
      <c r="C61" s="12">
        <v>96.803333300000006</v>
      </c>
      <c r="D61" s="12">
        <v>2.9019914</v>
      </c>
      <c r="E61" s="17">
        <v>1</v>
      </c>
      <c r="F61" s="13">
        <v>118.49</v>
      </c>
      <c r="G61" s="12">
        <v>3.8892346</v>
      </c>
      <c r="H61" s="12">
        <v>3.1038787000000001</v>
      </c>
      <c r="I61" s="12">
        <v>-0.69332320000000003</v>
      </c>
      <c r="J61" s="12">
        <v>-1.7404276000000001</v>
      </c>
      <c r="K61" s="12">
        <v>2.7793576999999998</v>
      </c>
      <c r="L61" s="12">
        <v>-0.47800530000000002</v>
      </c>
      <c r="M61" s="12">
        <v>-17.332130899999999</v>
      </c>
      <c r="N61" s="12">
        <v>-6.8367940000000003</v>
      </c>
      <c r="O61" s="12">
        <v>0.13843569999999999</v>
      </c>
      <c r="P61" s="7" t="s">
        <v>107</v>
      </c>
      <c r="Q61" s="7" t="s">
        <v>107</v>
      </c>
      <c r="R61" s="7" t="s">
        <v>107</v>
      </c>
      <c r="S61" s="12">
        <v>2.7748132000000001</v>
      </c>
      <c r="T61" s="12">
        <v>1</v>
      </c>
      <c r="U61" s="12">
        <v>102.15294249999999</v>
      </c>
      <c r="V61" s="12">
        <v>1.95583</v>
      </c>
      <c r="W61" s="12">
        <v>-5.5228276999999997</v>
      </c>
      <c r="X61" s="12">
        <v>-5.9680993999999998</v>
      </c>
      <c r="Y61" s="12">
        <v>2.0795886000000001</v>
      </c>
      <c r="Z61" s="12">
        <v>-8.2313799000000003</v>
      </c>
      <c r="AA61" s="12">
        <v>93.861989399999999</v>
      </c>
      <c r="AB61" s="12">
        <v>26.259531500000001</v>
      </c>
      <c r="AC61" s="12">
        <v>17.224641500000001</v>
      </c>
      <c r="AD61" s="12">
        <v>31.149629099999999</v>
      </c>
      <c r="AE61" s="12">
        <v>55.300617899999999</v>
      </c>
      <c r="AF61" s="12">
        <v>6.6615127999999997</v>
      </c>
      <c r="AG61" s="22" t="s">
        <v>107</v>
      </c>
    </row>
    <row r="62" spans="1:33" s="11" customFormat="1" hidden="1" outlineLevel="1" x14ac:dyDescent="0.3">
      <c r="A62" s="11" t="s">
        <v>68</v>
      </c>
      <c r="B62" s="12">
        <v>-0.91019320000000004</v>
      </c>
      <c r="C62" s="12">
        <v>97.993333300000003</v>
      </c>
      <c r="D62" s="12">
        <v>2.5929156999999998</v>
      </c>
      <c r="E62" s="17">
        <v>1</v>
      </c>
      <c r="F62" s="13">
        <v>108.41666669999999</v>
      </c>
      <c r="G62" s="12">
        <v>-0.45914830000000001</v>
      </c>
      <c r="H62" s="12">
        <v>2.6190467000000002</v>
      </c>
      <c r="I62" s="12">
        <v>1.1728098</v>
      </c>
      <c r="J62" s="12">
        <v>-0.33107199999999998</v>
      </c>
      <c r="K62" s="12">
        <v>-1.1964691000000001</v>
      </c>
      <c r="L62" s="12">
        <v>1.3824584</v>
      </c>
      <c r="M62" s="12">
        <v>-3.6715754999999999</v>
      </c>
      <c r="N62" s="12">
        <v>7.8620958999999999</v>
      </c>
      <c r="O62" s="12">
        <v>2.5445945000000001</v>
      </c>
      <c r="P62" s="7" t="s">
        <v>107</v>
      </c>
      <c r="Q62" s="7" t="s">
        <v>107</v>
      </c>
      <c r="R62" s="7" t="s">
        <v>107</v>
      </c>
      <c r="S62" s="12">
        <v>1.228116</v>
      </c>
      <c r="T62" s="12">
        <v>1</v>
      </c>
      <c r="U62" s="12">
        <v>101.9511689</v>
      </c>
      <c r="V62" s="12">
        <v>1.95583</v>
      </c>
      <c r="W62" s="12">
        <v>-3.0017451999999998</v>
      </c>
      <c r="X62" s="12">
        <v>8.3927346000000007</v>
      </c>
      <c r="Y62" s="12">
        <v>0.95316339999999999</v>
      </c>
      <c r="Z62" s="12">
        <v>-9.6946898000000008</v>
      </c>
      <c r="AA62" s="12">
        <v>86.611313699999997</v>
      </c>
      <c r="AB62" s="12">
        <v>23.850391900000002</v>
      </c>
      <c r="AC62" s="12">
        <v>22.661597</v>
      </c>
      <c r="AD62" s="12">
        <v>35.247924300000001</v>
      </c>
      <c r="AE62" s="12">
        <v>57.698455799999998</v>
      </c>
      <c r="AF62" s="12">
        <v>5.7925583999999999</v>
      </c>
      <c r="AG62" s="22" t="s">
        <v>107</v>
      </c>
    </row>
    <row r="63" spans="1:33" s="11" customFormat="1" hidden="1" outlineLevel="1" x14ac:dyDescent="0.3">
      <c r="A63" s="11" t="s">
        <v>69</v>
      </c>
      <c r="B63" s="12">
        <v>-1.0352741000000001</v>
      </c>
      <c r="C63" s="12">
        <v>97.9566667</v>
      </c>
      <c r="D63" s="12">
        <v>2.6440796999999998</v>
      </c>
      <c r="E63" s="17">
        <v>0.75</v>
      </c>
      <c r="F63" s="13">
        <v>109.61333329999999</v>
      </c>
      <c r="G63" s="12">
        <v>1.6208796999999999</v>
      </c>
      <c r="H63" s="12">
        <v>-0.10541689999999999</v>
      </c>
      <c r="I63" s="12">
        <v>1.2288306</v>
      </c>
      <c r="J63" s="12">
        <v>-8.5449700000000003E-2</v>
      </c>
      <c r="K63" s="12">
        <v>-2.1307287000000001</v>
      </c>
      <c r="L63" s="12">
        <v>2.0373291</v>
      </c>
      <c r="M63" s="12">
        <v>30.9137272</v>
      </c>
      <c r="N63" s="12">
        <v>2.1546886999999999</v>
      </c>
      <c r="O63" s="12">
        <v>4.4655011</v>
      </c>
      <c r="P63" s="7" t="s">
        <v>107</v>
      </c>
      <c r="Q63" s="7" t="s">
        <v>107</v>
      </c>
      <c r="R63" s="7" t="s">
        <v>107</v>
      </c>
      <c r="S63" s="12">
        <v>0.91527199999999997</v>
      </c>
      <c r="T63" s="12">
        <v>0.75</v>
      </c>
      <c r="U63" s="12">
        <v>101.4855723</v>
      </c>
      <c r="V63" s="12">
        <v>1.95583</v>
      </c>
      <c r="W63" s="12">
        <v>-4.7908232000000002</v>
      </c>
      <c r="X63" s="12">
        <v>2.6222599</v>
      </c>
      <c r="Y63" s="12">
        <v>2.6929533999999999</v>
      </c>
      <c r="Z63" s="12">
        <v>-9.1334587000000003</v>
      </c>
      <c r="AA63" s="12">
        <v>78.180433399999998</v>
      </c>
      <c r="AB63" s="12">
        <v>21.0731842</v>
      </c>
      <c r="AC63" s="12">
        <v>22.043896700000001</v>
      </c>
      <c r="AD63" s="12">
        <v>32.396316599999999</v>
      </c>
      <c r="AE63" s="12">
        <v>55.970366300000002</v>
      </c>
      <c r="AF63" s="12">
        <v>5.0875016999999998</v>
      </c>
      <c r="AG63" s="22" t="s">
        <v>107</v>
      </c>
    </row>
    <row r="64" spans="1:33" s="11" customFormat="1" hidden="1" outlineLevel="1" x14ac:dyDescent="0.3">
      <c r="A64" s="11" t="s">
        <v>70</v>
      </c>
      <c r="B64" s="12">
        <v>-0.98067590000000004</v>
      </c>
      <c r="C64" s="12">
        <v>98.773333300000004</v>
      </c>
      <c r="D64" s="12">
        <v>2.4513362999999999</v>
      </c>
      <c r="E64" s="17">
        <v>0.75</v>
      </c>
      <c r="F64" s="13">
        <v>110.08666669999999</v>
      </c>
      <c r="G64" s="12">
        <v>1.3201109</v>
      </c>
      <c r="H64" s="12">
        <v>0.1210753</v>
      </c>
      <c r="I64" s="12">
        <v>-4.6702035000000004</v>
      </c>
      <c r="J64" s="12">
        <v>-1.2372995</v>
      </c>
      <c r="K64" s="12">
        <v>-1.9368749999999999</v>
      </c>
      <c r="L64" s="12">
        <v>1.9672130999999999</v>
      </c>
      <c r="M64" s="12">
        <v>2.3161551999999999</v>
      </c>
      <c r="N64" s="12">
        <v>-3.4333722</v>
      </c>
      <c r="O64" s="12">
        <v>-4.7527226000000002</v>
      </c>
      <c r="P64" s="7" t="s">
        <v>107</v>
      </c>
      <c r="Q64" s="7" t="s">
        <v>107</v>
      </c>
      <c r="R64" s="7" t="s">
        <v>107</v>
      </c>
      <c r="S64" s="12">
        <v>1.3510002999999999</v>
      </c>
      <c r="T64" s="12">
        <v>0.75</v>
      </c>
      <c r="U64" s="12">
        <v>102.5842672</v>
      </c>
      <c r="V64" s="12">
        <v>1.95583</v>
      </c>
      <c r="W64" s="12">
        <v>-2.5059260999999999</v>
      </c>
      <c r="X64" s="12">
        <v>-1.9494556000000001</v>
      </c>
      <c r="Y64" s="12">
        <v>-5.4985210999999996</v>
      </c>
      <c r="Z64" s="12">
        <v>-7.4655081000000001</v>
      </c>
      <c r="AA64" s="12">
        <v>79.177842699999999</v>
      </c>
      <c r="AB64" s="12">
        <v>22.862731700000001</v>
      </c>
      <c r="AC64" s="12">
        <v>27.1291178</v>
      </c>
      <c r="AD64" s="12">
        <v>30.568604499999999</v>
      </c>
      <c r="AE64" s="12">
        <v>54.212296799999997</v>
      </c>
      <c r="AF64" s="12">
        <v>1.3413655</v>
      </c>
      <c r="AG64" s="22" t="s">
        <v>107</v>
      </c>
    </row>
    <row r="65" spans="1:33" s="11" customFormat="1" hidden="1" outlineLevel="1" x14ac:dyDescent="0.3">
      <c r="A65" s="11" t="s">
        <v>71</v>
      </c>
      <c r="B65" s="12">
        <v>-1.6415721999999999</v>
      </c>
      <c r="C65" s="12">
        <v>98.726666699999996</v>
      </c>
      <c r="D65" s="12">
        <v>1.9868463000000001</v>
      </c>
      <c r="E65" s="17">
        <v>0.75</v>
      </c>
      <c r="F65" s="13">
        <v>112.4933333</v>
      </c>
      <c r="G65" s="12">
        <v>-0.1810158</v>
      </c>
      <c r="H65" s="12">
        <v>-1.3460434999999999</v>
      </c>
      <c r="I65" s="12">
        <v>-1.0816066</v>
      </c>
      <c r="J65" s="12">
        <v>2.5940316000000001</v>
      </c>
      <c r="K65" s="12">
        <v>-7.6717332000000003</v>
      </c>
      <c r="L65" s="12">
        <v>1.0644511999999999</v>
      </c>
      <c r="M65" s="12">
        <v>57.958940800000001</v>
      </c>
      <c r="N65" s="12">
        <v>8.6882549999999998</v>
      </c>
      <c r="O65" s="12">
        <v>2.7681775000000002</v>
      </c>
      <c r="P65" s="7" t="s">
        <v>107</v>
      </c>
      <c r="Q65" s="7" t="s">
        <v>107</v>
      </c>
      <c r="R65" s="7" t="s">
        <v>107</v>
      </c>
      <c r="S65" s="12">
        <v>-0.20768429999999999</v>
      </c>
      <c r="T65" s="12">
        <v>0.75</v>
      </c>
      <c r="U65" s="12">
        <v>102.9224212</v>
      </c>
      <c r="V65" s="12">
        <v>1.95583</v>
      </c>
      <c r="W65" s="12">
        <v>4.5596259000000003</v>
      </c>
      <c r="X65" s="12">
        <v>8.8296515000000007</v>
      </c>
      <c r="Y65" s="12">
        <v>0.80642780000000003</v>
      </c>
      <c r="Z65" s="12">
        <v>-5.7151218999999998</v>
      </c>
      <c r="AA65" s="12">
        <v>83.376364499999994</v>
      </c>
      <c r="AB65" s="12">
        <v>25.0016341</v>
      </c>
      <c r="AC65" s="12">
        <v>26.719066600000001</v>
      </c>
      <c r="AD65" s="12">
        <v>32.188378299999997</v>
      </c>
      <c r="AE65" s="12">
        <v>52.931564199999997</v>
      </c>
      <c r="AF65" s="12">
        <v>1.4417507000000001</v>
      </c>
      <c r="AG65" s="22" t="s">
        <v>107</v>
      </c>
    </row>
    <row r="66" spans="1:33" s="11" customFormat="1" hidden="1" outlineLevel="1" x14ac:dyDescent="0.3">
      <c r="A66" s="11" t="s">
        <v>72</v>
      </c>
      <c r="B66" s="12">
        <v>-0.1331087</v>
      </c>
      <c r="C66" s="12">
        <v>99.533333299999995</v>
      </c>
      <c r="D66" s="12">
        <v>1.5715355</v>
      </c>
      <c r="E66" s="17">
        <v>0.58333330000000005</v>
      </c>
      <c r="F66" s="13">
        <v>102.5766667</v>
      </c>
      <c r="G66" s="12">
        <v>-0.99016320000000002</v>
      </c>
      <c r="H66" s="12">
        <v>2.9754092999999999</v>
      </c>
      <c r="I66" s="12">
        <v>2.6511186000000002</v>
      </c>
      <c r="J66" s="12">
        <v>1.8936754</v>
      </c>
      <c r="K66" s="12">
        <v>0.4395328</v>
      </c>
      <c r="L66" s="12">
        <v>-8.3617399999999995E-2</v>
      </c>
      <c r="M66" s="12">
        <v>-14.778359500000001</v>
      </c>
      <c r="N66" s="12">
        <v>7.9047447000000002</v>
      </c>
      <c r="O66" s="12">
        <v>-3.7596910000000001</v>
      </c>
      <c r="P66" s="7" t="s">
        <v>107</v>
      </c>
      <c r="Q66" s="7" t="s">
        <v>107</v>
      </c>
      <c r="R66" s="7" t="s">
        <v>107</v>
      </c>
      <c r="S66" s="12">
        <v>-0.15487870000000001</v>
      </c>
      <c r="T66" s="12">
        <v>0.5</v>
      </c>
      <c r="U66" s="12">
        <v>102.372495</v>
      </c>
      <c r="V66" s="12">
        <v>1.95583</v>
      </c>
      <c r="W66" s="12">
        <v>5.7574668000000004</v>
      </c>
      <c r="X66" s="12">
        <v>7.0643927</v>
      </c>
      <c r="Y66" s="12">
        <v>-2.8071595</v>
      </c>
      <c r="Z66" s="12">
        <v>-5.4513210000000001</v>
      </c>
      <c r="AA66" s="12">
        <v>85.554164299999997</v>
      </c>
      <c r="AB66" s="12">
        <v>23.027953400000001</v>
      </c>
      <c r="AC66" s="12">
        <v>18.797990599999999</v>
      </c>
      <c r="AD66" s="12">
        <v>36.681802400000002</v>
      </c>
      <c r="AE66" s="12">
        <v>54.511306599999998</v>
      </c>
      <c r="AF66" s="12">
        <v>1.2848416</v>
      </c>
      <c r="AG66" s="22" t="s">
        <v>107</v>
      </c>
    </row>
    <row r="67" spans="1:33" s="11" customFormat="1" hidden="1" outlineLevel="1" x14ac:dyDescent="0.3">
      <c r="A67" s="11" t="s">
        <v>73</v>
      </c>
      <c r="B67" s="12">
        <v>0.53477319999999995</v>
      </c>
      <c r="C67" s="12">
        <v>99.423333299999996</v>
      </c>
      <c r="D67" s="12">
        <v>1.4972605999999999</v>
      </c>
      <c r="E67" s="17">
        <v>0.5</v>
      </c>
      <c r="F67" s="13">
        <v>110.27</v>
      </c>
      <c r="G67" s="12">
        <v>-1.9203877</v>
      </c>
      <c r="H67" s="12">
        <v>-2.4471015999999999</v>
      </c>
      <c r="I67" s="12">
        <v>1.0077807000000001</v>
      </c>
      <c r="J67" s="12">
        <v>1.3907972</v>
      </c>
      <c r="K67" s="12">
        <v>1.9054215000000001</v>
      </c>
      <c r="L67" s="12">
        <v>-1.1464639999999999</v>
      </c>
      <c r="M67" s="12">
        <v>-20.4129334</v>
      </c>
      <c r="N67" s="12">
        <v>5.4312959000000003</v>
      </c>
      <c r="O67" s="12">
        <v>-4.1724155999999999</v>
      </c>
      <c r="P67" s="7" t="s">
        <v>107</v>
      </c>
      <c r="Q67" s="7" t="s">
        <v>107</v>
      </c>
      <c r="R67" s="7" t="s">
        <v>107</v>
      </c>
      <c r="S67" s="12">
        <v>0.4923555</v>
      </c>
      <c r="T67" s="12">
        <v>0.5</v>
      </c>
      <c r="U67" s="12">
        <v>101.2254786</v>
      </c>
      <c r="V67" s="12">
        <v>1.95583</v>
      </c>
      <c r="W67" s="12">
        <v>3.5790218999999999</v>
      </c>
      <c r="X67" s="12">
        <v>4.2299135000000003</v>
      </c>
      <c r="Y67" s="12">
        <v>-5.3288783000000004</v>
      </c>
      <c r="Z67" s="12">
        <v>-4.2406274000000002</v>
      </c>
      <c r="AA67" s="12">
        <v>79.826514900000006</v>
      </c>
      <c r="AB67" s="12">
        <v>20.858077600000001</v>
      </c>
      <c r="AC67" s="12">
        <v>17.066699700000001</v>
      </c>
      <c r="AD67" s="12">
        <v>33.5189156</v>
      </c>
      <c r="AE67" s="12">
        <v>52.599527100000003</v>
      </c>
      <c r="AF67" s="12">
        <v>2.6482087999999999</v>
      </c>
      <c r="AG67" s="22" t="s">
        <v>107</v>
      </c>
    </row>
    <row r="68" spans="1:33" s="11" customFormat="1" hidden="1" outlineLevel="1" x14ac:dyDescent="0.3">
      <c r="A68" s="11" t="s">
        <v>74</v>
      </c>
      <c r="B68" s="12">
        <v>0.83200640000000003</v>
      </c>
      <c r="C68" s="12">
        <v>99.72</v>
      </c>
      <c r="D68" s="12">
        <v>0.95842340000000004</v>
      </c>
      <c r="E68" s="17">
        <v>0.3333333</v>
      </c>
      <c r="F68" s="13">
        <v>109.21</v>
      </c>
      <c r="G68" s="12">
        <v>-2.273701</v>
      </c>
      <c r="H68" s="12">
        <v>1.1543882999999999</v>
      </c>
      <c r="I68" s="12">
        <v>-3.1908406</v>
      </c>
      <c r="J68" s="12">
        <v>3.5918524000000001</v>
      </c>
      <c r="K68" s="12">
        <v>5.4704677999999998</v>
      </c>
      <c r="L68" s="12">
        <v>-0.64308679999999996</v>
      </c>
      <c r="M68" s="12">
        <v>-12.478777600000001</v>
      </c>
      <c r="N68" s="12">
        <v>9.8315313</v>
      </c>
      <c r="O68" s="12">
        <v>5.8909070000000003</v>
      </c>
      <c r="P68" s="7" t="s">
        <v>107</v>
      </c>
      <c r="Q68" s="7" t="s">
        <v>107</v>
      </c>
      <c r="R68" s="7" t="s">
        <v>107</v>
      </c>
      <c r="S68" s="12">
        <v>0.12817229999999999</v>
      </c>
      <c r="T68" s="12">
        <v>0.25</v>
      </c>
      <c r="U68" s="12">
        <v>101.2737679</v>
      </c>
      <c r="V68" s="12">
        <v>1.95583</v>
      </c>
      <c r="W68" s="12">
        <v>6.7037164999999996</v>
      </c>
      <c r="X68" s="12">
        <v>6.4755466999999998</v>
      </c>
      <c r="Y68" s="12">
        <v>4.7540022999999998</v>
      </c>
      <c r="Z68" s="12">
        <v>-5.9946653999999997</v>
      </c>
      <c r="AA68" s="12">
        <v>82.927515200000002</v>
      </c>
      <c r="AB68" s="12">
        <v>22.775648</v>
      </c>
      <c r="AC68" s="12">
        <v>23.1412543</v>
      </c>
      <c r="AD68" s="12">
        <v>32.507882000000002</v>
      </c>
      <c r="AE68" s="12">
        <v>56.720792199999998</v>
      </c>
      <c r="AF68" s="12">
        <v>3.9816356000000002</v>
      </c>
      <c r="AG68" s="22" t="s">
        <v>107</v>
      </c>
    </row>
    <row r="69" spans="1:33" s="11" customFormat="1" hidden="1" outlineLevel="1" x14ac:dyDescent="0.3">
      <c r="A69" s="11" t="s">
        <v>75</v>
      </c>
      <c r="B69" s="12">
        <v>1.8456245</v>
      </c>
      <c r="C69" s="12">
        <v>99.49</v>
      </c>
      <c r="D69" s="12">
        <v>0.77317840000000004</v>
      </c>
      <c r="E69" s="17">
        <v>0.25</v>
      </c>
      <c r="F69" s="13">
        <v>108.16666669999999</v>
      </c>
      <c r="G69" s="12">
        <v>3.0241660000000001</v>
      </c>
      <c r="H69" s="12">
        <v>9.4595085999999995</v>
      </c>
      <c r="I69" s="12">
        <v>1.1639524000000001</v>
      </c>
      <c r="J69" s="12">
        <v>3.0026255000000002</v>
      </c>
      <c r="K69" s="12">
        <v>7.0725030999999996</v>
      </c>
      <c r="L69" s="12">
        <v>0.41102050000000001</v>
      </c>
      <c r="M69" s="12">
        <v>-4.8031644</v>
      </c>
      <c r="N69" s="12">
        <v>7.5710930999999997</v>
      </c>
      <c r="O69" s="12">
        <v>5.9765550000000003</v>
      </c>
      <c r="P69" s="7" t="s">
        <v>107</v>
      </c>
      <c r="Q69" s="7" t="s">
        <v>107</v>
      </c>
      <c r="R69" s="7" t="s">
        <v>107</v>
      </c>
      <c r="S69" s="12">
        <v>0.59833510000000001</v>
      </c>
      <c r="T69" s="12">
        <v>0.25</v>
      </c>
      <c r="U69" s="12">
        <v>101.3064645</v>
      </c>
      <c r="V69" s="12">
        <v>1.95583</v>
      </c>
      <c r="W69" s="12">
        <v>4.0998881999999996</v>
      </c>
      <c r="X69" s="12">
        <v>5.1401320999999998</v>
      </c>
      <c r="Y69" s="12">
        <v>5.3138180999999998</v>
      </c>
      <c r="Z69" s="12">
        <v>-6.7693608000000003</v>
      </c>
      <c r="AA69" s="12">
        <v>85.782020599999996</v>
      </c>
      <c r="AB69" s="12">
        <v>24.523873699999999</v>
      </c>
      <c r="AC69" s="12">
        <v>24.3922551</v>
      </c>
      <c r="AD69" s="12">
        <v>32.839631500000003</v>
      </c>
      <c r="AE69" s="12">
        <v>54.093655300000002</v>
      </c>
      <c r="AF69" s="12">
        <v>4.8767145000000003</v>
      </c>
      <c r="AG69" s="22" t="s">
        <v>107</v>
      </c>
    </row>
    <row r="70" spans="1:33" s="11" customFormat="1" hidden="1" outlineLevel="1" x14ac:dyDescent="0.3">
      <c r="A70" s="11" t="s">
        <v>76</v>
      </c>
      <c r="B70" s="12">
        <v>1.1953549000000001</v>
      </c>
      <c r="C70" s="12">
        <v>100.22333329999999</v>
      </c>
      <c r="D70" s="12">
        <v>0.69323509999999999</v>
      </c>
      <c r="E70" s="17">
        <v>0.21666669999999999</v>
      </c>
      <c r="F70" s="13">
        <v>109.7</v>
      </c>
      <c r="G70" s="12">
        <v>1.9265064000000001</v>
      </c>
      <c r="H70" s="12">
        <v>0.3144342</v>
      </c>
      <c r="I70" s="12">
        <v>2.0727145999999999</v>
      </c>
      <c r="J70" s="12">
        <v>-0.47735480000000002</v>
      </c>
      <c r="K70" s="12">
        <v>-0.20183619999999999</v>
      </c>
      <c r="L70" s="12">
        <v>1.0493112</v>
      </c>
      <c r="M70" s="12">
        <v>26.105832199999998</v>
      </c>
      <c r="N70" s="12">
        <v>-4.7369304000000003</v>
      </c>
      <c r="O70" s="12">
        <v>7.3367211000000001</v>
      </c>
      <c r="P70" s="7" t="s">
        <v>107</v>
      </c>
      <c r="Q70" s="7" t="s">
        <v>107</v>
      </c>
      <c r="R70" s="7" t="s">
        <v>107</v>
      </c>
      <c r="S70" s="12">
        <v>-0.12926579999999999</v>
      </c>
      <c r="T70" s="12">
        <v>0.15</v>
      </c>
      <c r="U70" s="12">
        <v>100.97380819999999</v>
      </c>
      <c r="V70" s="12">
        <v>1.95583</v>
      </c>
      <c r="W70" s="12">
        <v>-3.2323919999999999</v>
      </c>
      <c r="X70" s="12">
        <v>-6.0786454000000001</v>
      </c>
      <c r="Y70" s="12">
        <v>4.9925221000000004</v>
      </c>
      <c r="Z70" s="12">
        <v>-9.1855563</v>
      </c>
      <c r="AA70" s="12">
        <v>84.854404200000005</v>
      </c>
      <c r="AB70" s="12">
        <v>23.6723754</v>
      </c>
      <c r="AC70" s="12">
        <v>23.543663599999999</v>
      </c>
      <c r="AD70" s="12">
        <v>34.582595099999999</v>
      </c>
      <c r="AE70" s="12">
        <v>57.449385999999997</v>
      </c>
      <c r="AF70" s="12">
        <v>5.9325188999999998</v>
      </c>
      <c r="AG70" s="22" t="s">
        <v>107</v>
      </c>
    </row>
    <row r="71" spans="1:33" s="11" customFormat="1" hidden="1" outlineLevel="1" x14ac:dyDescent="0.3">
      <c r="A71" s="11" t="s">
        <v>77</v>
      </c>
      <c r="B71" s="12">
        <v>1.5779679</v>
      </c>
      <c r="C71" s="12">
        <v>99.91</v>
      </c>
      <c r="D71" s="12">
        <v>0.48948940000000002</v>
      </c>
      <c r="E71" s="17">
        <v>0.1166667</v>
      </c>
      <c r="F71" s="13">
        <v>101.8233333</v>
      </c>
      <c r="G71" s="12">
        <v>7.0939623999999997</v>
      </c>
      <c r="H71" s="12">
        <v>5.4264663999999998</v>
      </c>
      <c r="I71" s="12">
        <v>0.49515399999999998</v>
      </c>
      <c r="J71" s="12">
        <v>0.27655629999999998</v>
      </c>
      <c r="K71" s="12">
        <v>0.49140909999999999</v>
      </c>
      <c r="L71" s="12">
        <v>2.0132916000000001</v>
      </c>
      <c r="M71" s="12">
        <v>3.5894925999999998</v>
      </c>
      <c r="N71" s="12">
        <v>7.3021298000000003</v>
      </c>
      <c r="O71" s="12">
        <v>8.8521529999999995</v>
      </c>
      <c r="P71" s="7" t="s">
        <v>107</v>
      </c>
      <c r="Q71" s="7" t="s">
        <v>107</v>
      </c>
      <c r="R71" s="7" t="s">
        <v>107</v>
      </c>
      <c r="S71" s="12">
        <v>-0.4125838</v>
      </c>
      <c r="T71" s="12">
        <v>0.05</v>
      </c>
      <c r="U71" s="12">
        <v>100.7013688</v>
      </c>
      <c r="V71" s="12">
        <v>1.95583</v>
      </c>
      <c r="W71" s="12">
        <v>0.78686279999999997</v>
      </c>
      <c r="X71" s="12">
        <v>5.8730330999999998</v>
      </c>
      <c r="Y71" s="12">
        <v>9.8547039999999999</v>
      </c>
      <c r="Z71" s="12">
        <v>-6.6268099999999999</v>
      </c>
      <c r="AA71" s="12">
        <v>79.448092500000001</v>
      </c>
      <c r="AB71" s="12">
        <v>21.404581400000001</v>
      </c>
      <c r="AC71" s="12">
        <v>17.537390200000001</v>
      </c>
      <c r="AD71" s="12">
        <v>35.390077699999999</v>
      </c>
      <c r="AE71" s="12">
        <v>57.622657500000003</v>
      </c>
      <c r="AF71" s="12">
        <v>5.4128214000000003</v>
      </c>
      <c r="AG71" s="22" t="s">
        <v>107</v>
      </c>
    </row>
    <row r="72" spans="1:33" s="11" customFormat="1" hidden="1" outlineLevel="1" x14ac:dyDescent="0.3">
      <c r="A72" s="11" t="s">
        <v>78</v>
      </c>
      <c r="B72" s="12">
        <v>1.7505474000000001</v>
      </c>
      <c r="C72" s="12">
        <v>99.97</v>
      </c>
      <c r="D72" s="12">
        <v>0.25070199999999998</v>
      </c>
      <c r="E72" s="17">
        <v>0.05</v>
      </c>
      <c r="F72" s="13">
        <v>76.4033333</v>
      </c>
      <c r="G72" s="12">
        <v>7.7138749999999998</v>
      </c>
      <c r="H72" s="12">
        <v>5.5634195000000002</v>
      </c>
      <c r="I72" s="12">
        <v>-4.0654178999999999</v>
      </c>
      <c r="J72" s="12">
        <v>1.9975813</v>
      </c>
      <c r="K72" s="12">
        <v>0.76560870000000003</v>
      </c>
      <c r="L72" s="12">
        <v>2.5048544000000001</v>
      </c>
      <c r="M72" s="12">
        <v>14.316197900000001</v>
      </c>
      <c r="N72" s="12">
        <v>7.4404762</v>
      </c>
      <c r="O72" s="12">
        <v>7.8547001999999999</v>
      </c>
      <c r="P72" s="7" t="s">
        <v>107</v>
      </c>
      <c r="Q72" s="7" t="s">
        <v>107</v>
      </c>
      <c r="R72" s="7" t="s">
        <v>107</v>
      </c>
      <c r="S72" s="12">
        <v>-0.58883770000000002</v>
      </c>
      <c r="T72" s="12">
        <v>0.05</v>
      </c>
      <c r="U72" s="12">
        <v>101.15381619999999</v>
      </c>
      <c r="V72" s="12">
        <v>1.95583</v>
      </c>
      <c r="W72" s="12">
        <v>-0.55338540000000003</v>
      </c>
      <c r="X72" s="12">
        <v>7.5753624999999998</v>
      </c>
      <c r="Y72" s="12">
        <v>6.117686</v>
      </c>
      <c r="Z72" s="12">
        <v>-6.5188167000000004</v>
      </c>
      <c r="AA72" s="12">
        <v>78.877550999999997</v>
      </c>
      <c r="AB72" s="12">
        <v>22.1330724</v>
      </c>
      <c r="AC72" s="12">
        <v>25.026558600000001</v>
      </c>
      <c r="AD72" s="12">
        <v>33.026279000000002</v>
      </c>
      <c r="AE72" s="12">
        <v>56.842326</v>
      </c>
      <c r="AF72" s="12">
        <v>5.1370171999999998</v>
      </c>
      <c r="AG72" s="22" t="s">
        <v>107</v>
      </c>
    </row>
    <row r="73" spans="1:33" s="11" customFormat="1" hidden="1" outlineLevel="1" x14ac:dyDescent="0.3">
      <c r="A73" s="11" t="s">
        <v>79</v>
      </c>
      <c r="B73" s="12">
        <v>2.0633189000000001</v>
      </c>
      <c r="C73" s="12">
        <v>99.203333299999997</v>
      </c>
      <c r="D73" s="12">
        <v>-0.28813620000000001</v>
      </c>
      <c r="E73" s="17">
        <v>0.05</v>
      </c>
      <c r="F73" s="13">
        <v>53.9166667</v>
      </c>
      <c r="G73" s="12">
        <v>0.59016250000000003</v>
      </c>
      <c r="H73" s="12">
        <v>1.6758362</v>
      </c>
      <c r="I73" s="12">
        <v>1.5403576999999999</v>
      </c>
      <c r="J73" s="12">
        <v>3.1823519</v>
      </c>
      <c r="K73" s="12">
        <v>-0.19218930000000001</v>
      </c>
      <c r="L73" s="12">
        <v>1.1896386000000001</v>
      </c>
      <c r="M73" s="12">
        <v>-3.7725894000000002</v>
      </c>
      <c r="N73" s="12">
        <v>6.5143578</v>
      </c>
      <c r="O73" s="12">
        <v>0.88853970000000004</v>
      </c>
      <c r="P73" s="7" t="s">
        <v>107</v>
      </c>
      <c r="Q73" s="7" t="s">
        <v>107</v>
      </c>
      <c r="R73" s="7" t="s">
        <v>107</v>
      </c>
      <c r="S73" s="12">
        <v>-0.49133700000000002</v>
      </c>
      <c r="T73" s="12">
        <v>0.05</v>
      </c>
      <c r="U73" s="12">
        <v>100.6734368</v>
      </c>
      <c r="V73" s="12">
        <v>1.95583</v>
      </c>
      <c r="W73" s="12">
        <v>0.14321510000000001</v>
      </c>
      <c r="X73" s="12">
        <v>7.7852506000000004</v>
      </c>
      <c r="Y73" s="12">
        <v>0.28815210000000002</v>
      </c>
      <c r="Z73" s="12">
        <v>-3.9547797999999998</v>
      </c>
      <c r="AA73" s="12">
        <v>82.984886099999997</v>
      </c>
      <c r="AB73" s="12">
        <v>24.296300899999999</v>
      </c>
      <c r="AC73" s="12">
        <v>22.638544400000001</v>
      </c>
      <c r="AD73" s="12">
        <v>34.390743700000002</v>
      </c>
      <c r="AE73" s="12">
        <v>52.707720299999998</v>
      </c>
      <c r="AF73" s="12">
        <v>5.5203289</v>
      </c>
      <c r="AG73" s="22" t="s">
        <v>107</v>
      </c>
    </row>
    <row r="74" spans="1:33" s="11" customFormat="1" hidden="1" outlineLevel="1" x14ac:dyDescent="0.3">
      <c r="A74" s="11" t="s">
        <v>80</v>
      </c>
      <c r="B74" s="12">
        <v>2.2703967</v>
      </c>
      <c r="C74" s="12">
        <v>100.5233333</v>
      </c>
      <c r="D74" s="12">
        <v>0.29933149999999997</v>
      </c>
      <c r="E74" s="17">
        <v>0.05</v>
      </c>
      <c r="F74" s="13">
        <v>61.693333299999999</v>
      </c>
      <c r="G74" s="12">
        <v>-0.71992100000000003</v>
      </c>
      <c r="H74" s="12">
        <v>1.6018593999999999</v>
      </c>
      <c r="I74" s="12">
        <v>2.7712810000000001</v>
      </c>
      <c r="J74" s="12">
        <v>5.4501052999999997</v>
      </c>
      <c r="K74" s="12">
        <v>2.7115065</v>
      </c>
      <c r="L74" s="12">
        <v>1.2868701</v>
      </c>
      <c r="M74" s="12">
        <v>4.2416368999999996</v>
      </c>
      <c r="N74" s="12">
        <v>11.3807531</v>
      </c>
      <c r="O74" s="12">
        <v>2.4828513999999999</v>
      </c>
      <c r="P74" s="7" t="s">
        <v>107</v>
      </c>
      <c r="Q74" s="7" t="s">
        <v>107</v>
      </c>
      <c r="R74" s="7" t="s">
        <v>107</v>
      </c>
      <c r="S74" s="12">
        <v>0.36241259999999997</v>
      </c>
      <c r="T74" s="12">
        <v>0.05</v>
      </c>
      <c r="U74" s="12">
        <v>100.4664143</v>
      </c>
      <c r="V74" s="12">
        <v>1.95583</v>
      </c>
      <c r="W74" s="12">
        <v>5.2742616</v>
      </c>
      <c r="X74" s="12">
        <v>12.005645400000001</v>
      </c>
      <c r="Y74" s="12">
        <v>3.3772452999999998</v>
      </c>
      <c r="Z74" s="12">
        <v>-7.0105180999999996</v>
      </c>
      <c r="AA74" s="12">
        <v>80.809445400000001</v>
      </c>
      <c r="AB74" s="12">
        <v>22.451133500000001</v>
      </c>
      <c r="AC74" s="12">
        <v>22.6889574</v>
      </c>
      <c r="AD74" s="12">
        <v>35.997241799999998</v>
      </c>
      <c r="AE74" s="12">
        <v>55.192018099999999</v>
      </c>
      <c r="AF74" s="12">
        <v>5.6720258000000001</v>
      </c>
      <c r="AG74" s="22" t="s">
        <v>107</v>
      </c>
    </row>
    <row r="75" spans="1:33" s="11" customFormat="1" hidden="1" outlineLevel="1" x14ac:dyDescent="0.3">
      <c r="A75" s="11" t="s">
        <v>81</v>
      </c>
      <c r="B75" s="12">
        <v>2.2457793000000001</v>
      </c>
      <c r="C75" s="12">
        <v>100.1533333</v>
      </c>
      <c r="D75" s="12">
        <v>0.24355250000000001</v>
      </c>
      <c r="E75" s="17">
        <v>0.05</v>
      </c>
      <c r="F75" s="13">
        <v>50.233333299999998</v>
      </c>
      <c r="G75" s="12">
        <v>-3.8577899999999998E-2</v>
      </c>
      <c r="H75" s="12">
        <v>5.4687849999999996</v>
      </c>
      <c r="I75" s="12">
        <v>2.3472816999999999</v>
      </c>
      <c r="J75" s="12">
        <v>4.8760307999999997</v>
      </c>
      <c r="K75" s="12">
        <v>2.3409863</v>
      </c>
      <c r="L75" s="12">
        <v>2.1971002999999998</v>
      </c>
      <c r="M75" s="12">
        <v>8.2847693000000007</v>
      </c>
      <c r="N75" s="12">
        <v>12.258691000000001</v>
      </c>
      <c r="O75" s="12">
        <v>2.8218003999999999</v>
      </c>
      <c r="P75" s="7" t="s">
        <v>107</v>
      </c>
      <c r="Q75" s="7" t="s">
        <v>107</v>
      </c>
      <c r="R75" s="7" t="s">
        <v>107</v>
      </c>
      <c r="S75" s="12">
        <v>0.20714659999999999</v>
      </c>
      <c r="T75" s="12">
        <v>0.05</v>
      </c>
      <c r="U75" s="12">
        <v>99.315586800000005</v>
      </c>
      <c r="V75" s="12">
        <v>1.95583</v>
      </c>
      <c r="W75" s="12">
        <v>3.6659877999999999</v>
      </c>
      <c r="X75" s="12">
        <v>11.5120889</v>
      </c>
      <c r="Y75" s="12">
        <v>-0.95352530000000002</v>
      </c>
      <c r="Z75" s="12">
        <v>-5.2399785000000003</v>
      </c>
      <c r="AA75" s="12">
        <v>75.147256100000007</v>
      </c>
      <c r="AB75" s="12">
        <v>20.430588400000001</v>
      </c>
      <c r="AC75" s="12">
        <v>17.564684100000001</v>
      </c>
      <c r="AD75" s="12">
        <v>36.782725399999997</v>
      </c>
      <c r="AE75" s="12">
        <v>53.194914699999998</v>
      </c>
      <c r="AF75" s="12">
        <v>5.1943970999999998</v>
      </c>
      <c r="AG75" s="22" t="s">
        <v>107</v>
      </c>
    </row>
    <row r="76" spans="1:33" s="11" customFormat="1" hidden="1" outlineLevel="1" x14ac:dyDescent="0.3">
      <c r="A76" s="11" t="s">
        <v>82</v>
      </c>
      <c r="B76" s="12">
        <v>2.5478125</v>
      </c>
      <c r="C76" s="12">
        <v>100.1233333</v>
      </c>
      <c r="D76" s="12">
        <v>0.1533793</v>
      </c>
      <c r="E76" s="17">
        <v>0.05</v>
      </c>
      <c r="F76" s="13">
        <v>43.57</v>
      </c>
      <c r="G76" s="12">
        <v>-0.99480349999999995</v>
      </c>
      <c r="H76" s="12">
        <v>-2.7797945999999998</v>
      </c>
      <c r="I76" s="12">
        <v>-4.5210242999999997</v>
      </c>
      <c r="J76" s="12">
        <v>3.6867581</v>
      </c>
      <c r="K76" s="12">
        <v>2.0314618000000002</v>
      </c>
      <c r="L76" s="12">
        <v>-6.3143000000000001E-3</v>
      </c>
      <c r="M76" s="12">
        <v>3.8407149999999999</v>
      </c>
      <c r="N76" s="12">
        <v>8.3912209999999998</v>
      </c>
      <c r="O76" s="12">
        <v>0.81140460000000003</v>
      </c>
      <c r="P76" s="7" t="s">
        <v>107</v>
      </c>
      <c r="Q76" s="7" t="s">
        <v>107</v>
      </c>
      <c r="R76" s="7" t="s">
        <v>107</v>
      </c>
      <c r="S76" s="12">
        <v>-0.2317796</v>
      </c>
      <c r="T76" s="12">
        <v>0.05</v>
      </c>
      <c r="U76" s="12">
        <v>99.544562200000001</v>
      </c>
      <c r="V76" s="12">
        <v>1.95583</v>
      </c>
      <c r="W76" s="12">
        <v>3.3060556999999999</v>
      </c>
      <c r="X76" s="12">
        <v>5.3655004999999996</v>
      </c>
      <c r="Y76" s="12">
        <v>-4.6540378000000002</v>
      </c>
      <c r="Z76" s="12">
        <v>-3.8999815</v>
      </c>
      <c r="AA76" s="12">
        <v>75.945960299999996</v>
      </c>
      <c r="AB76" s="12">
        <v>21.1082392</v>
      </c>
      <c r="AC76" s="12">
        <v>24.224578999999999</v>
      </c>
      <c r="AD76" s="12">
        <v>33.167235099999999</v>
      </c>
      <c r="AE76" s="12">
        <v>51.657429100000002</v>
      </c>
      <c r="AF76" s="12">
        <v>4.7934681000000001</v>
      </c>
      <c r="AG76" s="22" t="s">
        <v>107</v>
      </c>
    </row>
    <row r="77" spans="1:33" s="11" customFormat="1" hidden="1" outlineLevel="1" x14ac:dyDescent="0.3">
      <c r="A77" s="11" t="s">
        <v>83</v>
      </c>
      <c r="B77" s="12">
        <v>1.9366078</v>
      </c>
      <c r="C77" s="12">
        <v>99.246666700000006</v>
      </c>
      <c r="D77" s="12">
        <v>4.3681400000000002E-2</v>
      </c>
      <c r="E77" s="17">
        <v>3.3333300000000003E-2</v>
      </c>
      <c r="F77" s="13">
        <v>33.696666700000002</v>
      </c>
      <c r="G77" s="12">
        <v>1.6468474</v>
      </c>
      <c r="H77" s="12">
        <v>1.2128835</v>
      </c>
      <c r="I77" s="12">
        <v>1.3265305999999999</v>
      </c>
      <c r="J77" s="12">
        <v>3.4120853000000002</v>
      </c>
      <c r="K77" s="12">
        <v>3.6081511000000002</v>
      </c>
      <c r="L77" s="12">
        <v>0.75848559999999998</v>
      </c>
      <c r="M77" s="12">
        <v>11.960246700000001</v>
      </c>
      <c r="N77" s="12">
        <v>5.7652899</v>
      </c>
      <c r="O77" s="12">
        <v>5.6078125999999999</v>
      </c>
      <c r="P77" s="7" t="s">
        <v>107</v>
      </c>
      <c r="Q77" s="7" t="s">
        <v>107</v>
      </c>
      <c r="R77" s="7" t="s">
        <v>107</v>
      </c>
      <c r="S77" s="12">
        <v>0.83160080000000003</v>
      </c>
      <c r="T77" s="12">
        <v>0</v>
      </c>
      <c r="U77" s="12">
        <v>98.825100000000006</v>
      </c>
      <c r="V77" s="12">
        <v>1.95583</v>
      </c>
      <c r="W77" s="12">
        <v>4.7550948000000002</v>
      </c>
      <c r="X77" s="12">
        <v>1.8269976000000001</v>
      </c>
      <c r="Y77" s="12">
        <v>-0.62312749999999995</v>
      </c>
      <c r="Z77" s="12">
        <v>-5.1132064000000002</v>
      </c>
      <c r="AA77" s="12">
        <v>80.798833799999997</v>
      </c>
      <c r="AB77" s="12">
        <v>23.179300300000001</v>
      </c>
      <c r="AC77" s="12">
        <v>23.327988300000001</v>
      </c>
      <c r="AD77" s="12">
        <v>33.134110800000002</v>
      </c>
      <c r="AE77" s="12">
        <v>49.559766799999998</v>
      </c>
      <c r="AF77" s="12">
        <v>4.2201181999999999</v>
      </c>
      <c r="AG77" s="22" t="s">
        <v>107</v>
      </c>
    </row>
    <row r="78" spans="1:33" s="11" customFormat="1" hidden="1" outlineLevel="1" x14ac:dyDescent="0.3">
      <c r="A78" s="11" t="s">
        <v>84</v>
      </c>
      <c r="B78" s="12">
        <v>2.4666936000000002</v>
      </c>
      <c r="C78" s="12">
        <v>100.42</v>
      </c>
      <c r="D78" s="12">
        <v>-0.10279530000000001</v>
      </c>
      <c r="E78" s="17">
        <v>0</v>
      </c>
      <c r="F78" s="13">
        <v>45.523333299999997</v>
      </c>
      <c r="G78" s="12">
        <v>3.4506871000000001</v>
      </c>
      <c r="H78" s="12">
        <v>2.8050155000000001</v>
      </c>
      <c r="I78" s="12">
        <v>2.5298459000000002</v>
      </c>
      <c r="J78" s="12">
        <v>2.6292798999999998</v>
      </c>
      <c r="K78" s="12">
        <v>1.4393252999999999</v>
      </c>
      <c r="L78" s="12">
        <v>-0.2641676</v>
      </c>
      <c r="M78" s="12">
        <v>10.5433699</v>
      </c>
      <c r="N78" s="12">
        <v>11.1906362</v>
      </c>
      <c r="O78" s="12">
        <v>7.903302</v>
      </c>
      <c r="P78" s="7" t="s">
        <v>107</v>
      </c>
      <c r="Q78" s="7" t="s">
        <v>107</v>
      </c>
      <c r="R78" s="7" t="s">
        <v>107</v>
      </c>
      <c r="S78" s="12">
        <v>0.28372449999999999</v>
      </c>
      <c r="T78" s="12">
        <v>0</v>
      </c>
      <c r="U78" s="12">
        <v>98.316900000000004</v>
      </c>
      <c r="V78" s="12">
        <v>1.95583</v>
      </c>
      <c r="W78" s="12">
        <v>4.5424180999999999</v>
      </c>
      <c r="X78" s="12">
        <v>7.2606488000000002</v>
      </c>
      <c r="Y78" s="12">
        <v>3.1633963</v>
      </c>
      <c r="Z78" s="12">
        <v>-5.7700597</v>
      </c>
      <c r="AA78" s="12">
        <v>78.486542200000002</v>
      </c>
      <c r="AB78" s="12">
        <v>21.4619058</v>
      </c>
      <c r="AC78" s="12">
        <v>23.385608900000001</v>
      </c>
      <c r="AD78" s="12">
        <v>37.221890600000002</v>
      </c>
      <c r="AE78" s="12">
        <v>54.890655500000001</v>
      </c>
      <c r="AF78" s="12">
        <v>2.8521188999999998</v>
      </c>
      <c r="AG78" s="22" t="s">
        <v>107</v>
      </c>
    </row>
    <row r="79" spans="1:33" s="11" customFormat="1" hidden="1" outlineLevel="1" x14ac:dyDescent="0.3">
      <c r="A79" s="11" t="s">
        <v>85</v>
      </c>
      <c r="B79" s="12">
        <v>1.6225508</v>
      </c>
      <c r="C79" s="12">
        <v>100.42</v>
      </c>
      <c r="D79" s="12">
        <v>0.26625840000000001</v>
      </c>
      <c r="E79" s="17">
        <v>0</v>
      </c>
      <c r="F79" s="13">
        <v>45.786666699999998</v>
      </c>
      <c r="G79" s="12">
        <v>-0.8619059</v>
      </c>
      <c r="H79" s="12">
        <v>1.4394928</v>
      </c>
      <c r="I79" s="12">
        <v>3.0157509999999998</v>
      </c>
      <c r="J79" s="12">
        <v>3.3581403000000001</v>
      </c>
      <c r="K79" s="12">
        <v>1.9655020999999999</v>
      </c>
      <c r="L79" s="12">
        <v>-0.4874695</v>
      </c>
      <c r="M79" s="12">
        <v>17.069090899999999</v>
      </c>
      <c r="N79" s="12">
        <v>7.7678972999999996</v>
      </c>
      <c r="O79" s="12">
        <v>6.6107630000000004</v>
      </c>
      <c r="P79" s="7" t="s">
        <v>107</v>
      </c>
      <c r="Q79" s="7" t="s">
        <v>107</v>
      </c>
      <c r="R79" s="7" t="s">
        <v>107</v>
      </c>
      <c r="S79" s="12">
        <v>0.80103360000000001</v>
      </c>
      <c r="T79" s="12">
        <v>0</v>
      </c>
      <c r="U79" s="12">
        <v>97.720299999999995</v>
      </c>
      <c r="V79" s="12">
        <v>1.95583</v>
      </c>
      <c r="W79" s="12">
        <v>2.6195154</v>
      </c>
      <c r="X79" s="12">
        <v>5.0629762999999999</v>
      </c>
      <c r="Y79" s="12">
        <v>0.27050580000000002</v>
      </c>
      <c r="Z79" s="12">
        <v>-2.5562575000000001</v>
      </c>
      <c r="AA79" s="12">
        <v>73.1940022</v>
      </c>
      <c r="AB79" s="12">
        <v>19.308712499999999</v>
      </c>
      <c r="AC79" s="12">
        <v>19.046399000000001</v>
      </c>
      <c r="AD79" s="12">
        <v>36.900796700000001</v>
      </c>
      <c r="AE79" s="12">
        <v>50.932737899999999</v>
      </c>
      <c r="AF79" s="12">
        <v>2.9394832000000002</v>
      </c>
      <c r="AG79" s="22" t="s">
        <v>107</v>
      </c>
    </row>
    <row r="80" spans="1:33" s="11" customFormat="1" hidden="1" outlineLevel="1" x14ac:dyDescent="0.3">
      <c r="A80" s="11" t="s">
        <v>86</v>
      </c>
      <c r="B80" s="12">
        <v>1.866331</v>
      </c>
      <c r="C80" s="12">
        <v>100.89333329999999</v>
      </c>
      <c r="D80" s="12">
        <v>0.7690515</v>
      </c>
      <c r="E80" s="17">
        <v>0</v>
      </c>
      <c r="F80" s="13">
        <v>49.186666700000004</v>
      </c>
      <c r="G80" s="12">
        <v>0.78490979999999999</v>
      </c>
      <c r="H80" s="12">
        <v>6.9341565999999997</v>
      </c>
      <c r="I80" s="12">
        <v>-2.1677553999999999</v>
      </c>
      <c r="J80" s="12">
        <v>3.567777</v>
      </c>
      <c r="K80" s="12">
        <v>1.7585261000000001</v>
      </c>
      <c r="L80" s="12">
        <v>-0.47991919999999999</v>
      </c>
      <c r="M80" s="12">
        <v>10.9543523</v>
      </c>
      <c r="N80" s="12">
        <v>12.4832901</v>
      </c>
      <c r="O80" s="12">
        <v>8.4425071999999997</v>
      </c>
      <c r="P80" s="7" t="s">
        <v>107</v>
      </c>
      <c r="Q80" s="7" t="s">
        <v>107</v>
      </c>
      <c r="R80" s="7" t="s">
        <v>107</v>
      </c>
      <c r="S80" s="12">
        <v>1.6778523999999999</v>
      </c>
      <c r="T80" s="12">
        <v>0</v>
      </c>
      <c r="U80" s="12">
        <v>98.801299999999998</v>
      </c>
      <c r="V80" s="12">
        <v>1.95583</v>
      </c>
      <c r="W80" s="12">
        <v>5.6717364000000003</v>
      </c>
      <c r="X80" s="12">
        <v>13.544830599999999</v>
      </c>
      <c r="Y80" s="12">
        <v>8.8144925000000001</v>
      </c>
      <c r="Z80" s="12">
        <v>-5.5879856999999999</v>
      </c>
      <c r="AA80" s="12">
        <v>74.461569900000001</v>
      </c>
      <c r="AB80" s="12">
        <v>20.077574800000001</v>
      </c>
      <c r="AC80" s="12">
        <v>25.384046099999999</v>
      </c>
      <c r="AD80" s="12">
        <v>36.064611599999999</v>
      </c>
      <c r="AE80" s="12">
        <v>53.828978300000003</v>
      </c>
      <c r="AF80" s="12">
        <v>3.7520798000000002</v>
      </c>
      <c r="AG80" s="22" t="s">
        <v>107</v>
      </c>
    </row>
    <row r="81" spans="1:33" s="11" customFormat="1" hidden="1" outlineLevel="1" x14ac:dyDescent="0.3">
      <c r="A81" s="11" t="s">
        <v>87</v>
      </c>
      <c r="B81" s="12">
        <v>3.0351661999999999</v>
      </c>
      <c r="C81" s="12">
        <v>101</v>
      </c>
      <c r="D81" s="12">
        <v>1.766642</v>
      </c>
      <c r="E81" s="17">
        <v>0</v>
      </c>
      <c r="F81" s="13">
        <v>53.68</v>
      </c>
      <c r="G81" s="12">
        <v>0.78076239999999997</v>
      </c>
      <c r="H81" s="12">
        <v>6.7991172000000004</v>
      </c>
      <c r="I81" s="12">
        <v>3.3708855999999998</v>
      </c>
      <c r="J81" s="12">
        <v>2.9274225</v>
      </c>
      <c r="K81" s="12">
        <v>1.5842655999999999</v>
      </c>
      <c r="L81" s="12">
        <v>0.12546260000000001</v>
      </c>
      <c r="M81" s="12">
        <v>4.8852158000000001</v>
      </c>
      <c r="N81" s="12">
        <v>14.9235737</v>
      </c>
      <c r="O81" s="12">
        <v>6.2205706999999997</v>
      </c>
      <c r="P81" s="7" t="s">
        <v>107</v>
      </c>
      <c r="Q81" s="7" t="s">
        <v>107</v>
      </c>
      <c r="R81" s="7" t="s">
        <v>107</v>
      </c>
      <c r="S81" s="12">
        <v>1.4948454</v>
      </c>
      <c r="T81" s="12">
        <v>0</v>
      </c>
      <c r="U81" s="12">
        <v>99.698333300000002</v>
      </c>
      <c r="V81" s="12">
        <v>1.95583</v>
      </c>
      <c r="W81" s="12">
        <v>2.5938566000000001</v>
      </c>
      <c r="X81" s="12">
        <v>18.997170700000002</v>
      </c>
      <c r="Y81" s="12">
        <v>13.5297894</v>
      </c>
      <c r="Z81" s="12">
        <v>-4.1441452999999999</v>
      </c>
      <c r="AA81" s="12">
        <v>79.628022799999997</v>
      </c>
      <c r="AB81" s="12">
        <v>22.273846800000001</v>
      </c>
      <c r="AC81" s="12">
        <v>23.737684699999999</v>
      </c>
      <c r="AD81" s="12">
        <v>37.852664599999997</v>
      </c>
      <c r="AE81" s="12">
        <v>54.015058199999999</v>
      </c>
      <c r="AF81" s="12">
        <v>4.5776406999999999</v>
      </c>
      <c r="AG81" s="22" t="s">
        <v>107</v>
      </c>
    </row>
    <row r="82" spans="1:33" s="11" customFormat="1" hidden="1" outlineLevel="1" x14ac:dyDescent="0.3">
      <c r="A82" s="11" t="s">
        <v>88</v>
      </c>
      <c r="B82" s="12">
        <v>2.3084487</v>
      </c>
      <c r="C82" s="12">
        <v>102.11333329999999</v>
      </c>
      <c r="D82" s="12">
        <v>1.6862509999999999</v>
      </c>
      <c r="E82" s="17">
        <v>0</v>
      </c>
      <c r="F82" s="13">
        <v>49.67</v>
      </c>
      <c r="G82" s="12">
        <v>2.1837404999999999</v>
      </c>
      <c r="H82" s="12">
        <v>6.3663347000000003</v>
      </c>
      <c r="I82" s="12">
        <v>3.9479297</v>
      </c>
      <c r="J82" s="12">
        <v>3.3956246999999999</v>
      </c>
      <c r="K82" s="12">
        <v>1.655959</v>
      </c>
      <c r="L82" s="12">
        <v>2.0369552999999998</v>
      </c>
      <c r="M82" s="12">
        <v>16.302142100000001</v>
      </c>
      <c r="N82" s="12">
        <v>10.5266901</v>
      </c>
      <c r="O82" s="12">
        <v>9.5258946000000009</v>
      </c>
      <c r="P82" s="7" t="s">
        <v>107</v>
      </c>
      <c r="Q82" s="7" t="s">
        <v>107</v>
      </c>
      <c r="R82" s="7" t="s">
        <v>107</v>
      </c>
      <c r="S82" s="12">
        <v>1.8261316999999999</v>
      </c>
      <c r="T82" s="12">
        <v>0</v>
      </c>
      <c r="U82" s="12">
        <v>99.287999999999997</v>
      </c>
      <c r="V82" s="12">
        <v>1.95583</v>
      </c>
      <c r="W82" s="12">
        <v>1.7891374</v>
      </c>
      <c r="X82" s="12">
        <v>16.1770432</v>
      </c>
      <c r="Y82" s="12">
        <v>12.655243</v>
      </c>
      <c r="Z82" s="12">
        <v>-7.1691754999999997</v>
      </c>
      <c r="AA82" s="12">
        <v>76.879920400000003</v>
      </c>
      <c r="AB82" s="12">
        <v>20.729862799999999</v>
      </c>
      <c r="AC82" s="12">
        <v>26.5444627</v>
      </c>
      <c r="AD82" s="12">
        <v>41.206355000000002</v>
      </c>
      <c r="AE82" s="12">
        <v>58.922915799999998</v>
      </c>
      <c r="AF82" s="12">
        <v>6.0198561000000002</v>
      </c>
      <c r="AG82" s="22" t="s">
        <v>107</v>
      </c>
    </row>
    <row r="83" spans="1:33" s="11" customFormat="1" hidden="1" outlineLevel="1" x14ac:dyDescent="0.3">
      <c r="A83" s="11" t="s">
        <v>89</v>
      </c>
      <c r="B83" s="12">
        <v>3.0333996999999999</v>
      </c>
      <c r="C83" s="12">
        <v>102.1166667</v>
      </c>
      <c r="D83" s="12">
        <v>1.6895705000000001</v>
      </c>
      <c r="E83" s="17">
        <v>0</v>
      </c>
      <c r="F83" s="13">
        <v>52.11</v>
      </c>
      <c r="G83" s="12">
        <v>1.3193649000000001</v>
      </c>
      <c r="H83" s="12">
        <v>10.2769776</v>
      </c>
      <c r="I83" s="12">
        <v>5.8504883999999997</v>
      </c>
      <c r="J83" s="12">
        <v>4.1433441999999996</v>
      </c>
      <c r="K83" s="12">
        <v>1.1831566</v>
      </c>
      <c r="L83" s="12">
        <v>1.6140175000000001</v>
      </c>
      <c r="M83" s="12">
        <v>14.9717339</v>
      </c>
      <c r="N83" s="12">
        <v>14.2714955</v>
      </c>
      <c r="O83" s="12">
        <v>7.7739542000000004</v>
      </c>
      <c r="P83" s="7" t="s">
        <v>107</v>
      </c>
      <c r="Q83" s="7" t="s">
        <v>107</v>
      </c>
      <c r="R83" s="7" t="s">
        <v>107</v>
      </c>
      <c r="S83" s="12">
        <v>1.5637015999999999</v>
      </c>
      <c r="T83" s="12">
        <v>0</v>
      </c>
      <c r="U83" s="12">
        <v>98.350399999999993</v>
      </c>
      <c r="V83" s="12">
        <v>1.95583</v>
      </c>
      <c r="W83" s="12">
        <v>5.4562859000000001</v>
      </c>
      <c r="X83" s="12">
        <v>20.723811300000001</v>
      </c>
      <c r="Y83" s="12">
        <v>15.185284899999999</v>
      </c>
      <c r="Z83" s="12">
        <v>-3.3578700000000001</v>
      </c>
      <c r="AA83" s="12">
        <v>71.003010099999997</v>
      </c>
      <c r="AB83" s="12">
        <v>18.594378899999999</v>
      </c>
      <c r="AC83" s="12">
        <v>21.520257399999998</v>
      </c>
      <c r="AD83" s="12">
        <v>42.109815599999997</v>
      </c>
      <c r="AE83" s="12">
        <v>55.455604399999999</v>
      </c>
      <c r="AF83" s="12">
        <v>6.8172315000000001</v>
      </c>
      <c r="AG83" s="22" t="s">
        <v>107</v>
      </c>
    </row>
    <row r="84" spans="1:33" s="11" customFormat="1" hidden="1" outlineLevel="1" x14ac:dyDescent="0.3">
      <c r="A84" s="11" t="s">
        <v>90</v>
      </c>
      <c r="B84" s="12">
        <v>2.9900169999999999</v>
      </c>
      <c r="C84" s="12">
        <v>102.6233333</v>
      </c>
      <c r="D84" s="12">
        <v>1.7146821999999999</v>
      </c>
      <c r="E84" s="17">
        <v>0</v>
      </c>
      <c r="F84" s="13">
        <v>61.53</v>
      </c>
      <c r="G84" s="12">
        <v>3.9303477999999998</v>
      </c>
      <c r="H84" s="12">
        <v>1.9190221000000001</v>
      </c>
      <c r="I84" s="12">
        <v>-2.8697306999999999</v>
      </c>
      <c r="J84" s="12">
        <v>2.4628494000000001</v>
      </c>
      <c r="K84" s="12">
        <v>1.1681239999999999</v>
      </c>
      <c r="L84" s="12">
        <v>1.7956852999999999</v>
      </c>
      <c r="M84" s="12">
        <v>9.4702734999999993</v>
      </c>
      <c r="N84" s="12">
        <v>7.9066027999999999</v>
      </c>
      <c r="O84" s="12">
        <v>6.9197040000000003</v>
      </c>
      <c r="P84" s="7" t="s">
        <v>107</v>
      </c>
      <c r="Q84" s="7" t="s">
        <v>107</v>
      </c>
      <c r="R84" s="7" t="s">
        <v>107</v>
      </c>
      <c r="S84" s="12">
        <v>1.4724549</v>
      </c>
      <c r="T84" s="12">
        <v>0</v>
      </c>
      <c r="U84" s="12">
        <v>99.516066699999996</v>
      </c>
      <c r="V84" s="12">
        <v>1.95583</v>
      </c>
      <c r="W84" s="12">
        <v>2.6986507</v>
      </c>
      <c r="X84" s="12">
        <v>16.061912800000002</v>
      </c>
      <c r="Y84" s="12">
        <v>11.056812600000001</v>
      </c>
      <c r="Z84" s="12">
        <v>-4.5869166000000003</v>
      </c>
      <c r="AA84" s="12">
        <v>72.271107599999993</v>
      </c>
      <c r="AB84" s="12">
        <v>19.460402899999998</v>
      </c>
      <c r="AC84" s="12">
        <v>26.892589600000001</v>
      </c>
      <c r="AD84" s="12">
        <v>39.761956699999999</v>
      </c>
      <c r="AE84" s="12">
        <v>56.788597199999998</v>
      </c>
      <c r="AF84" s="12">
        <v>6.6542344</v>
      </c>
      <c r="AG84" s="22" t="s">
        <v>107</v>
      </c>
    </row>
    <row r="85" spans="1:33" s="11" customFormat="1" hidden="1" outlineLevel="1" x14ac:dyDescent="0.3">
      <c r="A85" s="11" t="s">
        <v>91</v>
      </c>
      <c r="B85" s="12">
        <v>2.2828298</v>
      </c>
      <c r="C85" s="12">
        <v>102.5466667</v>
      </c>
      <c r="D85" s="12">
        <v>1.5313532000000001</v>
      </c>
      <c r="E85" s="17">
        <v>0</v>
      </c>
      <c r="F85" s="13">
        <v>66.806666699999994</v>
      </c>
      <c r="G85" s="12">
        <v>3.6121444</v>
      </c>
      <c r="H85" s="12">
        <v>8.8812657999999995</v>
      </c>
      <c r="I85" s="12">
        <v>5.0254475999999997</v>
      </c>
      <c r="J85" s="12">
        <v>4.3295402000000003</v>
      </c>
      <c r="K85" s="12">
        <v>1.9307968</v>
      </c>
      <c r="L85" s="12">
        <v>2.3870684999999998</v>
      </c>
      <c r="M85" s="12">
        <v>13.249285</v>
      </c>
      <c r="N85" s="12">
        <v>10.0108651</v>
      </c>
      <c r="O85" s="12">
        <v>7.8083691999999996</v>
      </c>
      <c r="P85" s="7" t="s">
        <v>107</v>
      </c>
      <c r="Q85" s="7" t="s">
        <v>107</v>
      </c>
      <c r="R85" s="7" t="s">
        <v>107</v>
      </c>
      <c r="S85" s="12">
        <v>2.1076689000000002</v>
      </c>
      <c r="T85" s="12">
        <v>0</v>
      </c>
      <c r="U85" s="12">
        <v>100.4523667</v>
      </c>
      <c r="V85" s="12">
        <v>1.95583</v>
      </c>
      <c r="W85" s="12">
        <v>4.9900200000000003</v>
      </c>
      <c r="X85" s="12">
        <v>13.859901499999999</v>
      </c>
      <c r="Y85" s="12">
        <v>11.7829192</v>
      </c>
      <c r="Z85" s="12">
        <v>-4.6362854000000002</v>
      </c>
      <c r="AA85" s="12">
        <v>75.549642199999994</v>
      </c>
      <c r="AB85" s="12">
        <v>21.4379828</v>
      </c>
      <c r="AC85" s="12">
        <v>25.051024399999999</v>
      </c>
      <c r="AD85" s="12">
        <v>39.780918200000002</v>
      </c>
      <c r="AE85" s="12">
        <v>55.732813200000002</v>
      </c>
      <c r="AF85" s="12">
        <v>6.8724086</v>
      </c>
      <c r="AG85" s="22" t="s">
        <v>107</v>
      </c>
    </row>
    <row r="86" spans="1:33" s="11" customFormat="1" hidden="1" outlineLevel="1" x14ac:dyDescent="0.3">
      <c r="A86" s="11" t="s">
        <v>92</v>
      </c>
      <c r="B86" s="12">
        <v>2.5023559999999998</v>
      </c>
      <c r="C86" s="12">
        <v>104.0133333</v>
      </c>
      <c r="D86" s="12">
        <v>1.8606777000000001</v>
      </c>
      <c r="E86" s="17">
        <v>0</v>
      </c>
      <c r="F86" s="13">
        <v>74.5</v>
      </c>
      <c r="G86" s="12">
        <v>6.6769651999999997</v>
      </c>
      <c r="H86" s="12">
        <v>5.2916122000000003</v>
      </c>
      <c r="I86" s="12">
        <v>3.4123036</v>
      </c>
      <c r="J86" s="12">
        <v>3.8591218</v>
      </c>
      <c r="K86" s="12">
        <v>2.1359289000000001</v>
      </c>
      <c r="L86" s="12">
        <v>0.61186649999999998</v>
      </c>
      <c r="M86" s="12">
        <v>-1.4976735000000001</v>
      </c>
      <c r="N86" s="12">
        <v>10.1901606</v>
      </c>
      <c r="O86" s="12">
        <v>2.1810105000000002</v>
      </c>
      <c r="P86" s="7" t="s">
        <v>107</v>
      </c>
      <c r="Q86" s="7" t="s">
        <v>107</v>
      </c>
      <c r="R86" s="7" t="s">
        <v>107</v>
      </c>
      <c r="S86" s="12">
        <v>2.7532204999999998</v>
      </c>
      <c r="T86" s="12">
        <v>0</v>
      </c>
      <c r="U86" s="12">
        <v>100.6944</v>
      </c>
      <c r="V86" s="12">
        <v>1.95583</v>
      </c>
      <c r="W86" s="12">
        <v>1.3496547000000001</v>
      </c>
      <c r="X86" s="12">
        <v>14.589225900000001</v>
      </c>
      <c r="Y86" s="12">
        <v>6.3870956999999997</v>
      </c>
      <c r="Z86" s="12">
        <v>-2.4580131000000001</v>
      </c>
      <c r="AA86" s="12">
        <v>73.701834500000004</v>
      </c>
      <c r="AB86" s="12">
        <v>19.8713196</v>
      </c>
      <c r="AC86" s="12">
        <v>24.637039900000001</v>
      </c>
      <c r="AD86" s="12">
        <v>43.681982300000001</v>
      </c>
      <c r="AE86" s="12">
        <v>57.992298300000002</v>
      </c>
      <c r="AF86" s="12">
        <v>7.1537797999999997</v>
      </c>
      <c r="AG86" s="22" t="s">
        <v>107</v>
      </c>
    </row>
    <row r="87" spans="1:33" s="11" customFormat="1" hidden="1" outlineLevel="1" x14ac:dyDescent="0.3">
      <c r="A87" s="11" t="s">
        <v>93</v>
      </c>
      <c r="B87" s="12">
        <v>1.7229988000000001</v>
      </c>
      <c r="C87" s="12">
        <v>104.3666667</v>
      </c>
      <c r="D87" s="12">
        <v>2.2033621999999999</v>
      </c>
      <c r="E87" s="17">
        <v>0</v>
      </c>
      <c r="F87" s="13">
        <v>75.223333299999993</v>
      </c>
      <c r="G87" s="12">
        <v>7.1885700000000003</v>
      </c>
      <c r="H87" s="12">
        <v>2.7984920999999998</v>
      </c>
      <c r="I87" s="12">
        <v>4.4668739999999998</v>
      </c>
      <c r="J87" s="12">
        <v>3.1283210000000001</v>
      </c>
      <c r="K87" s="12">
        <v>1.3039908</v>
      </c>
      <c r="L87" s="12">
        <v>0.93943140000000003</v>
      </c>
      <c r="M87" s="12">
        <v>12.6330578</v>
      </c>
      <c r="N87" s="12">
        <v>5.7964092000000003</v>
      </c>
      <c r="O87" s="12">
        <v>7.0431879999999998</v>
      </c>
      <c r="P87" s="7" t="s">
        <v>107</v>
      </c>
      <c r="Q87" s="7" t="s">
        <v>107</v>
      </c>
      <c r="R87" s="7" t="s">
        <v>107</v>
      </c>
      <c r="S87" s="12">
        <v>3.4578495999999999</v>
      </c>
      <c r="T87" s="12">
        <v>0</v>
      </c>
      <c r="U87" s="12">
        <v>100.0825</v>
      </c>
      <c r="V87" s="12">
        <v>1.95583</v>
      </c>
      <c r="W87" s="12">
        <v>0.75642960000000004</v>
      </c>
      <c r="X87" s="12">
        <v>9.8378622</v>
      </c>
      <c r="Y87" s="12">
        <v>7.2371008999999997</v>
      </c>
      <c r="Z87" s="12">
        <v>-1.9866594</v>
      </c>
      <c r="AA87" s="12">
        <v>69.914179200000007</v>
      </c>
      <c r="AB87" s="12">
        <v>18.498907899999999</v>
      </c>
      <c r="AC87" s="12">
        <v>23.348114800000001</v>
      </c>
      <c r="AD87" s="12">
        <v>44.239636400000002</v>
      </c>
      <c r="AE87" s="12">
        <v>56.881108400000002</v>
      </c>
      <c r="AF87" s="12">
        <v>7.4178797000000003</v>
      </c>
      <c r="AG87" s="22" t="s">
        <v>107</v>
      </c>
    </row>
    <row r="88" spans="1:33" s="11" customFormat="1" hidden="1" outlineLevel="1" x14ac:dyDescent="0.3">
      <c r="A88" s="11" t="s">
        <v>94</v>
      </c>
      <c r="B88" s="12">
        <v>1.7730376000000001</v>
      </c>
      <c r="C88" s="12">
        <v>104.64</v>
      </c>
      <c r="D88" s="12">
        <v>1.9651152000000001</v>
      </c>
      <c r="E88" s="17">
        <v>0</v>
      </c>
      <c r="F88" s="13">
        <v>67.713333300000002</v>
      </c>
      <c r="G88" s="12">
        <v>11.190281300000001</v>
      </c>
      <c r="H88" s="12">
        <v>6.8551850999999999</v>
      </c>
      <c r="I88" s="12">
        <v>-4.5079333000000004</v>
      </c>
      <c r="J88" s="12">
        <v>4.0770790999999997</v>
      </c>
      <c r="K88" s="12">
        <v>2.7388653999999999</v>
      </c>
      <c r="L88" s="12">
        <v>1.3214486000000001</v>
      </c>
      <c r="M88" s="12">
        <v>-3.7178222000000001</v>
      </c>
      <c r="N88" s="12">
        <v>3.6992647000000001</v>
      </c>
      <c r="O88" s="12">
        <v>-0.63437140000000003</v>
      </c>
      <c r="P88" s="7" t="s">
        <v>107</v>
      </c>
      <c r="Q88" s="7" t="s">
        <v>107</v>
      </c>
      <c r="R88" s="7" t="s">
        <v>107</v>
      </c>
      <c r="S88" s="12">
        <v>4.1531148</v>
      </c>
      <c r="T88" s="12">
        <v>0</v>
      </c>
      <c r="U88" s="12">
        <v>101.2473667</v>
      </c>
      <c r="V88" s="12">
        <v>1.95583</v>
      </c>
      <c r="W88" s="12">
        <v>-0.37956210000000001</v>
      </c>
      <c r="X88" s="12">
        <v>6.9166942999999996</v>
      </c>
      <c r="Y88" s="12">
        <v>3.2784856000000002</v>
      </c>
      <c r="Z88" s="12">
        <v>-3.9830101</v>
      </c>
      <c r="AA88" s="12">
        <v>71.238544700000006</v>
      </c>
      <c r="AB88" s="12">
        <v>19.079697299999999</v>
      </c>
      <c r="AC88" s="12">
        <v>24.7241599</v>
      </c>
      <c r="AD88" s="12">
        <v>39.979710900000001</v>
      </c>
      <c r="AE88" s="12">
        <v>55.156613299999997</v>
      </c>
      <c r="AF88" s="12">
        <v>7.2862175999999996</v>
      </c>
      <c r="AG88" s="22" t="s">
        <v>107</v>
      </c>
    </row>
    <row r="89" spans="1:33" s="11" customFormat="1" hidden="1" outlineLevel="1" x14ac:dyDescent="0.3">
      <c r="A89" s="11" t="s">
        <v>95</v>
      </c>
      <c r="B89" s="12">
        <v>1.9308453999999999</v>
      </c>
      <c r="C89" s="12">
        <v>104.17</v>
      </c>
      <c r="D89" s="12">
        <v>1.5830191</v>
      </c>
      <c r="E89" s="17">
        <v>0</v>
      </c>
      <c r="F89" s="13">
        <v>63.17</v>
      </c>
      <c r="G89" s="12">
        <v>7.1794171999999996</v>
      </c>
      <c r="H89" s="12">
        <v>4.5735599999999996</v>
      </c>
      <c r="I89" s="12">
        <v>4.1813333999999998</v>
      </c>
      <c r="J89" s="12">
        <v>2.7800623</v>
      </c>
      <c r="K89" s="12">
        <v>2.2026661999999999</v>
      </c>
      <c r="L89" s="12">
        <v>1.0953371999999999</v>
      </c>
      <c r="M89" s="12">
        <v>9.1738391000000004</v>
      </c>
      <c r="N89" s="12">
        <v>0.56193170000000003</v>
      </c>
      <c r="O89" s="12">
        <v>4.1886502999999999</v>
      </c>
      <c r="P89" s="7" t="s">
        <v>107</v>
      </c>
      <c r="Q89" s="7" t="s">
        <v>107</v>
      </c>
      <c r="R89" s="7" t="s">
        <v>107</v>
      </c>
      <c r="S89" s="12">
        <v>4.0288484999999996</v>
      </c>
      <c r="T89" s="12">
        <v>0</v>
      </c>
      <c r="U89" s="12">
        <v>101.49290000000001</v>
      </c>
      <c r="V89" s="12">
        <v>1.95583</v>
      </c>
      <c r="W89" s="12">
        <v>-5.0380228000000002</v>
      </c>
      <c r="X89" s="12">
        <v>1.8366385999999999</v>
      </c>
      <c r="Y89" s="12">
        <v>4.1213151000000003</v>
      </c>
      <c r="Z89" s="12">
        <v>-4.3305331000000002</v>
      </c>
      <c r="AA89" s="12">
        <v>74.685974999999999</v>
      </c>
      <c r="AB89" s="12">
        <v>21.122540099999998</v>
      </c>
      <c r="AC89" s="12">
        <v>26.232555900000001</v>
      </c>
      <c r="AD89" s="12">
        <v>38.358141400000001</v>
      </c>
      <c r="AE89" s="12">
        <v>54.944288800000002</v>
      </c>
      <c r="AF89" s="12">
        <v>7.4999406000000004</v>
      </c>
      <c r="AG89" s="22" t="s">
        <v>107</v>
      </c>
    </row>
    <row r="90" spans="1:33" s="11" customFormat="1" hidden="1" outlineLevel="1" x14ac:dyDescent="0.3">
      <c r="A90" s="11" t="s">
        <v>96</v>
      </c>
      <c r="B90" s="12">
        <v>1.5959346999999999</v>
      </c>
      <c r="C90" s="12">
        <v>105.7566667</v>
      </c>
      <c r="D90" s="12">
        <v>1.6760672000000001</v>
      </c>
      <c r="E90" s="17">
        <v>0</v>
      </c>
      <c r="F90" s="13">
        <v>68.923333299999996</v>
      </c>
      <c r="G90" s="12">
        <v>3.9686295</v>
      </c>
      <c r="H90" s="12">
        <v>3.6378002999999999</v>
      </c>
      <c r="I90" s="12">
        <v>3.2416407</v>
      </c>
      <c r="J90" s="12">
        <v>2.8739319999999999</v>
      </c>
      <c r="K90" s="12">
        <v>-4.6325400000000003E-2</v>
      </c>
      <c r="L90" s="12">
        <v>1.4558633999999999</v>
      </c>
      <c r="M90" s="12">
        <v>13.6495596</v>
      </c>
      <c r="N90" s="12">
        <v>3.6559013999999999</v>
      </c>
      <c r="O90" s="12">
        <v>6.4446715000000001</v>
      </c>
      <c r="P90" s="7" t="s">
        <v>107</v>
      </c>
      <c r="Q90" s="7" t="s">
        <v>107</v>
      </c>
      <c r="R90" s="7" t="s">
        <v>107</v>
      </c>
      <c r="S90" s="12">
        <v>4.4001967000000004</v>
      </c>
      <c r="T90" s="12">
        <v>0</v>
      </c>
      <c r="U90" s="12">
        <v>101.3448333</v>
      </c>
      <c r="V90" s="12">
        <v>1.95583</v>
      </c>
      <c r="W90" s="12">
        <v>-3.5614740999999999</v>
      </c>
      <c r="X90" s="12">
        <v>5.1539346000000004</v>
      </c>
      <c r="Y90" s="12">
        <v>5.0627215000000003</v>
      </c>
      <c r="Z90" s="12">
        <v>-2.4048487999999999</v>
      </c>
      <c r="AA90" s="12">
        <v>71.061951899999997</v>
      </c>
      <c r="AB90" s="12">
        <v>19.691089099999999</v>
      </c>
      <c r="AC90" s="12">
        <v>26.502970300000001</v>
      </c>
      <c r="AD90" s="12">
        <v>43.461386099999999</v>
      </c>
      <c r="AE90" s="12">
        <v>57.648656299999999</v>
      </c>
      <c r="AF90" s="12">
        <v>7.4272007000000002</v>
      </c>
      <c r="AG90" s="22" t="s">
        <v>107</v>
      </c>
    </row>
    <row r="91" spans="1:33" s="11" customFormat="1" hidden="1" outlineLevel="1" x14ac:dyDescent="0.3">
      <c r="A91" s="11" t="s">
        <v>97</v>
      </c>
      <c r="B91" s="12">
        <v>2.3612953000000001</v>
      </c>
      <c r="C91" s="12">
        <v>105.74</v>
      </c>
      <c r="D91" s="12">
        <v>1.3158734999999999</v>
      </c>
      <c r="E91" s="17">
        <v>0</v>
      </c>
      <c r="F91" s="13">
        <v>61.93</v>
      </c>
      <c r="G91" s="12">
        <v>4.5600065000000001</v>
      </c>
      <c r="H91" s="12">
        <v>1.8215379</v>
      </c>
      <c r="I91" s="12">
        <v>3.4913028000000002</v>
      </c>
      <c r="J91" s="12">
        <v>3.4337762999999999</v>
      </c>
      <c r="K91" s="12">
        <v>2.7024835999999999</v>
      </c>
      <c r="L91" s="12">
        <v>0.46534409999999998</v>
      </c>
      <c r="M91" s="12">
        <v>1.5543296</v>
      </c>
      <c r="N91" s="12">
        <v>-1.7076538999999999</v>
      </c>
      <c r="O91" s="12">
        <v>-2.6594096</v>
      </c>
      <c r="P91" s="7" t="s">
        <v>107</v>
      </c>
      <c r="Q91" s="7" t="s">
        <v>107</v>
      </c>
      <c r="R91" s="7" t="s">
        <v>107</v>
      </c>
      <c r="S91" s="12">
        <v>4.4888997000000002</v>
      </c>
      <c r="T91" s="12">
        <v>0</v>
      </c>
      <c r="U91" s="12">
        <v>100.4740333</v>
      </c>
      <c r="V91" s="12">
        <v>1.95583</v>
      </c>
      <c r="W91" s="12">
        <v>-5.6756757000000002</v>
      </c>
      <c r="X91" s="12">
        <v>-1.3858956</v>
      </c>
      <c r="Y91" s="12">
        <v>-1.8244426</v>
      </c>
      <c r="Z91" s="12">
        <v>-0.1266147</v>
      </c>
      <c r="AA91" s="12">
        <v>68.955292400000005</v>
      </c>
      <c r="AB91" s="12">
        <v>18.127336100000001</v>
      </c>
      <c r="AC91" s="12">
        <v>22.991710000000001</v>
      </c>
      <c r="AD91" s="12">
        <v>41.292363600000002</v>
      </c>
      <c r="AE91" s="12">
        <v>52.855561799999997</v>
      </c>
      <c r="AF91" s="12">
        <v>7.6891002000000004</v>
      </c>
      <c r="AG91" s="22" t="s">
        <v>107</v>
      </c>
    </row>
    <row r="92" spans="1:33" s="11" customFormat="1" hidden="1" outlineLevel="1" x14ac:dyDescent="0.3">
      <c r="A92" s="11" t="s">
        <v>98</v>
      </c>
      <c r="B92" s="12">
        <v>1.3592039</v>
      </c>
      <c r="C92" s="12">
        <v>106.0066667</v>
      </c>
      <c r="D92" s="12">
        <v>1.3060653</v>
      </c>
      <c r="E92" s="17">
        <v>0</v>
      </c>
      <c r="F92" s="13">
        <v>63.41</v>
      </c>
      <c r="G92" s="12">
        <v>0.48157430000000001</v>
      </c>
      <c r="H92" s="12">
        <v>4.7152820000000002</v>
      </c>
      <c r="I92" s="12">
        <v>-2.8216675000000002</v>
      </c>
      <c r="J92" s="12">
        <v>2.4288637999999998</v>
      </c>
      <c r="K92" s="12">
        <v>4.1367798000000002</v>
      </c>
      <c r="L92" s="12">
        <v>1.0150722999999999</v>
      </c>
      <c r="M92" s="12">
        <v>1.5510736000000001</v>
      </c>
      <c r="N92" s="12">
        <v>-0.31862059999999998</v>
      </c>
      <c r="O92" s="12">
        <v>-1.8400292</v>
      </c>
      <c r="P92" s="7" t="s">
        <v>107</v>
      </c>
      <c r="Q92" s="7" t="s">
        <v>107</v>
      </c>
      <c r="R92" s="7" t="s">
        <v>107</v>
      </c>
      <c r="S92" s="12">
        <v>4.3238048999999998</v>
      </c>
      <c r="T92" s="12">
        <v>0</v>
      </c>
      <c r="U92" s="12">
        <v>101.4299333</v>
      </c>
      <c r="V92" s="12">
        <v>1.95583</v>
      </c>
      <c r="W92" s="12">
        <v>-6.9167642999999996</v>
      </c>
      <c r="X92" s="12">
        <v>-3.1716749000000002</v>
      </c>
      <c r="Y92" s="12">
        <v>0.1169694</v>
      </c>
      <c r="Z92" s="12">
        <v>-3.7919971000000001</v>
      </c>
      <c r="AA92" s="12">
        <v>71.509218500000003</v>
      </c>
      <c r="AB92" s="12">
        <v>18.754554800000001</v>
      </c>
      <c r="AC92" s="12">
        <v>23.944090899999999</v>
      </c>
      <c r="AD92" s="12">
        <v>36.942405000000001</v>
      </c>
      <c r="AE92" s="12">
        <v>52.697014199999998</v>
      </c>
      <c r="AF92" s="12">
        <v>7.9448550000000004</v>
      </c>
      <c r="AG92" s="22" t="s">
        <v>107</v>
      </c>
    </row>
    <row r="93" spans="1:33" s="11" customFormat="1" hidden="1" outlineLevel="1" x14ac:dyDescent="0.3">
      <c r="A93" s="11" t="s">
        <v>99</v>
      </c>
      <c r="B93" s="12">
        <v>-2.2061226999999999</v>
      </c>
      <c r="C93" s="12">
        <v>105.74666670000001</v>
      </c>
      <c r="D93" s="12">
        <v>1.5135516</v>
      </c>
      <c r="E93" s="17">
        <v>0</v>
      </c>
      <c r="F93" s="13">
        <v>50.44</v>
      </c>
      <c r="G93" s="12">
        <v>7.0016541999999999</v>
      </c>
      <c r="H93" s="12">
        <v>2.2592664999999998</v>
      </c>
      <c r="I93" s="12">
        <v>2.6412277</v>
      </c>
      <c r="J93" s="12">
        <v>2.3244527000000001</v>
      </c>
      <c r="K93" s="12">
        <v>0.60018070000000001</v>
      </c>
      <c r="L93" s="12">
        <v>1.1076811</v>
      </c>
      <c r="M93" s="12">
        <v>-7.0811500000000001</v>
      </c>
      <c r="N93" s="12">
        <v>0.27770250000000002</v>
      </c>
      <c r="O93" s="12">
        <v>-6.1670866999999996</v>
      </c>
      <c r="P93" s="7">
        <v>1149</v>
      </c>
      <c r="Q93" s="7">
        <v>230</v>
      </c>
      <c r="R93" s="7">
        <v>16.7</v>
      </c>
      <c r="S93" s="12">
        <v>4.6617259999999998</v>
      </c>
      <c r="T93" s="12">
        <v>0</v>
      </c>
      <c r="U93" s="12">
        <v>101.87613330000001</v>
      </c>
      <c r="V93" s="12">
        <v>1.95583</v>
      </c>
      <c r="W93" s="12">
        <v>-3.9706372999999999</v>
      </c>
      <c r="X93" s="12">
        <v>-1.5980426999999999</v>
      </c>
      <c r="Y93" s="12">
        <v>-5.5748932</v>
      </c>
      <c r="Z93" s="12">
        <v>-2.2315752999999998</v>
      </c>
      <c r="AA93" s="12">
        <v>74.022634400000001</v>
      </c>
      <c r="AB93" s="12">
        <v>21.299994099999999</v>
      </c>
      <c r="AC93" s="12">
        <v>23.4081887</v>
      </c>
      <c r="AD93" s="12">
        <v>36.571665600000003</v>
      </c>
      <c r="AE93" s="12">
        <v>50.268412599999998</v>
      </c>
      <c r="AF93" s="12">
        <v>5.2768864999999998</v>
      </c>
      <c r="AG93" s="22" t="s">
        <v>107</v>
      </c>
    </row>
    <row r="94" spans="1:33" s="11" customFormat="1" hidden="1" outlineLevel="1" x14ac:dyDescent="0.3">
      <c r="A94" s="11" t="s">
        <v>100</v>
      </c>
      <c r="B94" s="12">
        <v>-13.380244299999999</v>
      </c>
      <c r="C94" s="12">
        <v>106.50333329999999</v>
      </c>
      <c r="D94" s="12">
        <v>0.70602319999999996</v>
      </c>
      <c r="E94" s="17">
        <v>0</v>
      </c>
      <c r="F94" s="13">
        <v>29.343333300000001</v>
      </c>
      <c r="G94" s="12">
        <v>13.3331035</v>
      </c>
      <c r="H94" s="12">
        <v>-11.6611444</v>
      </c>
      <c r="I94" s="12">
        <v>-5.7835652</v>
      </c>
      <c r="J94" s="12">
        <v>-7.3510524999999998</v>
      </c>
      <c r="K94" s="12">
        <v>-4.6098585999999999</v>
      </c>
      <c r="L94" s="12">
        <v>0.9021555</v>
      </c>
      <c r="M94" s="12">
        <v>-21.115296399999998</v>
      </c>
      <c r="N94" s="12">
        <v>-30.7482112</v>
      </c>
      <c r="O94" s="12">
        <v>-29.5148248</v>
      </c>
      <c r="P94" s="7">
        <v>1159</v>
      </c>
      <c r="Q94" s="7">
        <v>220</v>
      </c>
      <c r="R94" s="7">
        <v>16</v>
      </c>
      <c r="S94" s="12">
        <v>3.5789968999999999</v>
      </c>
      <c r="T94" s="12">
        <v>0</v>
      </c>
      <c r="U94" s="12">
        <v>99.706033300000001</v>
      </c>
      <c r="V94" s="12">
        <v>1.95583</v>
      </c>
      <c r="W94" s="12">
        <v>-14.001284500000001</v>
      </c>
      <c r="X94" s="12">
        <v>-32.143548000000003</v>
      </c>
      <c r="Y94" s="12">
        <v>-28.693990700000001</v>
      </c>
      <c r="Z94" s="12">
        <v>-2.7583055000000001</v>
      </c>
      <c r="AA94" s="12">
        <v>72.359825999999998</v>
      </c>
      <c r="AB94" s="12">
        <v>22.073656499999998</v>
      </c>
      <c r="AC94" s="12">
        <v>22.131257999999999</v>
      </c>
      <c r="AD94" s="12">
        <v>31.9419082</v>
      </c>
      <c r="AE94" s="12">
        <v>44.522335900000002</v>
      </c>
      <c r="AF94" s="12">
        <v>1.8901261</v>
      </c>
      <c r="AG94" s="22" t="s">
        <v>107</v>
      </c>
    </row>
    <row r="95" spans="1:33" s="11" customFormat="1" hidden="1" outlineLevel="1" x14ac:dyDescent="0.3">
      <c r="A95" s="11" t="s">
        <v>101</v>
      </c>
      <c r="B95" s="12">
        <v>-3.6984297000000002</v>
      </c>
      <c r="C95" s="12">
        <v>106.27</v>
      </c>
      <c r="D95" s="12">
        <v>0.50122940000000005</v>
      </c>
      <c r="E95" s="17">
        <v>0</v>
      </c>
      <c r="F95" s="13">
        <v>42.963333300000002</v>
      </c>
      <c r="G95" s="12">
        <v>11.7249283</v>
      </c>
      <c r="H95" s="12">
        <v>-2.2204027000000002</v>
      </c>
      <c r="I95" s="12">
        <v>-0.96522509999999995</v>
      </c>
      <c r="J95" s="12">
        <v>-4.8004581000000002</v>
      </c>
      <c r="K95" s="12">
        <v>-4.0283499999999997</v>
      </c>
      <c r="L95" s="12">
        <v>1.3712823000000001</v>
      </c>
      <c r="M95" s="12">
        <v>17.251641599999999</v>
      </c>
      <c r="N95" s="12">
        <v>-20.793818099999999</v>
      </c>
      <c r="O95" s="12">
        <v>-12.963884200000001</v>
      </c>
      <c r="P95" s="7">
        <v>1210</v>
      </c>
      <c r="Q95" s="7">
        <v>200</v>
      </c>
      <c r="R95" s="7">
        <v>14.2</v>
      </c>
      <c r="S95" s="12">
        <v>3.875788</v>
      </c>
      <c r="T95" s="12">
        <v>0</v>
      </c>
      <c r="U95" s="12">
        <v>99.096400000000003</v>
      </c>
      <c r="V95" s="12">
        <v>1.95583</v>
      </c>
      <c r="W95" s="12">
        <v>-7.0041387999999998</v>
      </c>
      <c r="X95" s="12">
        <v>-22.9125926</v>
      </c>
      <c r="Y95" s="12">
        <v>-15.096942800000001</v>
      </c>
      <c r="Z95" s="12">
        <v>-3.5750335</v>
      </c>
      <c r="AA95" s="12">
        <v>68.999988999999999</v>
      </c>
      <c r="AB95" s="12">
        <v>19.8279362</v>
      </c>
      <c r="AC95" s="12">
        <v>27.517036300000001</v>
      </c>
      <c r="AD95" s="12">
        <v>33.4558702</v>
      </c>
      <c r="AE95" s="12">
        <v>47.166105199999997</v>
      </c>
      <c r="AF95" s="12">
        <v>0.67915420000000004</v>
      </c>
      <c r="AG95" s="22" t="s">
        <v>107</v>
      </c>
    </row>
    <row r="96" spans="1:33" s="11" customFormat="1" hidden="1" outlineLevel="1" x14ac:dyDescent="0.3">
      <c r="A96" s="11" t="s">
        <v>102</v>
      </c>
      <c r="B96" s="12">
        <v>-3.2236577</v>
      </c>
      <c r="C96" s="12">
        <v>106.2833333</v>
      </c>
      <c r="D96" s="12">
        <v>0.26098979999999999</v>
      </c>
      <c r="E96" s="17">
        <v>0</v>
      </c>
      <c r="F96" s="13">
        <v>44.29</v>
      </c>
      <c r="G96" s="12">
        <v>8.6736305999999992</v>
      </c>
      <c r="H96" s="12">
        <v>0.17814920000000001</v>
      </c>
      <c r="I96" s="12">
        <v>-6.3421911</v>
      </c>
      <c r="J96" s="12">
        <v>-1.7861815000000001</v>
      </c>
      <c r="K96" s="12">
        <v>-5.8531320999999998</v>
      </c>
      <c r="L96" s="12">
        <v>2.7405602999999998</v>
      </c>
      <c r="M96" s="12">
        <v>-21.218236900000001</v>
      </c>
      <c r="N96" s="12">
        <v>-4.2399173000000001</v>
      </c>
      <c r="O96" s="12">
        <v>-3.3614364999999999</v>
      </c>
      <c r="P96" s="7">
        <v>1176</v>
      </c>
      <c r="Q96" s="7">
        <v>235</v>
      </c>
      <c r="R96" s="7">
        <v>16.600000000000001</v>
      </c>
      <c r="S96" s="12">
        <v>3.7071149000000001</v>
      </c>
      <c r="T96" s="12">
        <v>0</v>
      </c>
      <c r="U96" s="12">
        <v>99.808099999999996</v>
      </c>
      <c r="V96" s="12">
        <v>1.95583</v>
      </c>
      <c r="W96" s="12">
        <v>-0.50377839999999996</v>
      </c>
      <c r="X96" s="12">
        <v>-3.6661204999999999</v>
      </c>
      <c r="Y96" s="12">
        <v>-7.6945247999999999</v>
      </c>
      <c r="Z96" s="12">
        <v>-2.6764115999999998</v>
      </c>
      <c r="AA96" s="12">
        <v>68.991637600000004</v>
      </c>
      <c r="AB96" s="12">
        <v>19.969833399999999</v>
      </c>
      <c r="AC96" s="12">
        <v>19.3165938</v>
      </c>
      <c r="AD96" s="12">
        <v>36.286405100000003</v>
      </c>
      <c r="AE96" s="12">
        <v>49.596300200000002</v>
      </c>
      <c r="AF96" s="12">
        <v>-0.80951139999999999</v>
      </c>
      <c r="AG96" s="22" t="s">
        <v>107</v>
      </c>
    </row>
    <row r="97" spans="1:33" s="11" customFormat="1" hidden="1" outlineLevel="1" x14ac:dyDescent="0.3">
      <c r="A97" s="11" t="s">
        <v>103</v>
      </c>
      <c r="B97" s="12">
        <v>-0.1765746</v>
      </c>
      <c r="C97" s="12">
        <v>107.21</v>
      </c>
      <c r="D97" s="12">
        <v>1.3838102999999999</v>
      </c>
      <c r="E97" s="17">
        <v>0</v>
      </c>
      <c r="F97" s="13">
        <v>60.82</v>
      </c>
      <c r="G97" s="12">
        <v>4.0898630000000002</v>
      </c>
      <c r="H97" s="12">
        <v>3.5598169999999998</v>
      </c>
      <c r="I97" s="12">
        <v>2.4279473999999999</v>
      </c>
      <c r="J97" s="12">
        <v>2.5998332999999998</v>
      </c>
      <c r="K97" s="12">
        <v>3.8507821999999998</v>
      </c>
      <c r="L97" s="12">
        <v>1.664272</v>
      </c>
      <c r="M97" s="12">
        <v>-43.7941371</v>
      </c>
      <c r="N97" s="12">
        <v>4.9172577000000004</v>
      </c>
      <c r="O97" s="12">
        <v>8.0191548000000008</v>
      </c>
      <c r="P97" s="7">
        <v>1115</v>
      </c>
      <c r="Q97" s="7">
        <v>262</v>
      </c>
      <c r="R97" s="7">
        <v>19.100000000000001</v>
      </c>
      <c r="S97" s="12">
        <v>3.4947465000000002</v>
      </c>
      <c r="T97" s="12">
        <v>0</v>
      </c>
      <c r="U97" s="12">
        <v>100.6891667</v>
      </c>
      <c r="V97" s="12">
        <v>1.95583</v>
      </c>
      <c r="W97" s="12">
        <v>6.8102850000000004</v>
      </c>
      <c r="X97" s="12">
        <v>8.4922208999999995</v>
      </c>
      <c r="Y97" s="12">
        <v>1.2151730000000001</v>
      </c>
      <c r="Z97" s="12">
        <v>-0.70151269999999999</v>
      </c>
      <c r="AA97" s="12">
        <v>72.5490858</v>
      </c>
      <c r="AB97" s="12">
        <v>20.9853193</v>
      </c>
      <c r="AC97" s="12">
        <v>12.531523</v>
      </c>
      <c r="AD97" s="12">
        <v>37.694767200000001</v>
      </c>
      <c r="AE97" s="12">
        <v>48.336035299999999</v>
      </c>
      <c r="AF97" s="12">
        <v>0.6971733</v>
      </c>
      <c r="AG97" s="22" t="s">
        <v>107</v>
      </c>
    </row>
    <row r="98" spans="1:33" s="11" customFormat="1" hidden="1" outlineLevel="1" x14ac:dyDescent="0.3">
      <c r="A98" s="11" t="s">
        <v>104</v>
      </c>
      <c r="B98" s="12">
        <v>14.630134099999999</v>
      </c>
      <c r="C98" s="12">
        <v>108.82</v>
      </c>
      <c r="D98" s="12">
        <v>2.1752058000000001</v>
      </c>
      <c r="E98" s="17">
        <v>0</v>
      </c>
      <c r="F98" s="13">
        <v>68.833333300000007</v>
      </c>
      <c r="G98" s="12">
        <v>0.53569149999999999</v>
      </c>
      <c r="H98" s="12">
        <v>20.4359547</v>
      </c>
      <c r="I98" s="12">
        <v>0.90648930000000005</v>
      </c>
      <c r="J98" s="12">
        <v>11.147636200000001</v>
      </c>
      <c r="K98" s="12">
        <v>8.7091568000000006</v>
      </c>
      <c r="L98" s="12">
        <v>4.4404440000000003</v>
      </c>
      <c r="M98" s="12">
        <v>60.6750823</v>
      </c>
      <c r="N98" s="12">
        <v>41.687344899999999</v>
      </c>
      <c r="O98" s="12">
        <v>41.618865499999998</v>
      </c>
      <c r="P98" s="7">
        <v>1137</v>
      </c>
      <c r="Q98" s="7">
        <v>250</v>
      </c>
      <c r="R98" s="7">
        <v>18.100000000000001</v>
      </c>
      <c r="S98" s="12">
        <v>4.3418958999999999</v>
      </c>
      <c r="T98" s="12">
        <v>0</v>
      </c>
      <c r="U98" s="12">
        <v>101.10433329999999</v>
      </c>
      <c r="V98" s="12">
        <v>1.95583</v>
      </c>
      <c r="W98" s="12">
        <v>18.0358476</v>
      </c>
      <c r="X98" s="12">
        <v>50.176288399999997</v>
      </c>
      <c r="Y98" s="12">
        <v>39.386446999999997</v>
      </c>
      <c r="Z98" s="12">
        <v>-3.4163912999999999</v>
      </c>
      <c r="AA98" s="12">
        <v>69.999471999999997</v>
      </c>
      <c r="AB98" s="12">
        <v>20.1415069</v>
      </c>
      <c r="AC98" s="12">
        <v>31.6183537</v>
      </c>
      <c r="AD98" s="12">
        <v>41.332699699999999</v>
      </c>
      <c r="AE98" s="12">
        <v>53.473784299999998</v>
      </c>
      <c r="AF98" s="12">
        <v>3.6428704000000001</v>
      </c>
      <c r="AG98" s="22" t="s">
        <v>107</v>
      </c>
    </row>
    <row r="99" spans="1:33" s="11" customFormat="1" hidden="1" outlineLevel="1" x14ac:dyDescent="0.3">
      <c r="A99" s="11" t="s">
        <v>105</v>
      </c>
      <c r="B99" s="12">
        <v>4.8925850000000004</v>
      </c>
      <c r="C99" s="12">
        <v>109.55666669999999</v>
      </c>
      <c r="D99" s="12">
        <v>3.0927511999999999</v>
      </c>
      <c r="E99" s="17">
        <v>0</v>
      </c>
      <c r="F99" s="13">
        <v>73.47</v>
      </c>
      <c r="G99" s="12">
        <v>-1.2432954000000001</v>
      </c>
      <c r="H99" s="12">
        <v>15.20485</v>
      </c>
      <c r="I99" s="12">
        <v>4.2834063999999996</v>
      </c>
      <c r="J99" s="12">
        <v>7.6564059999999996</v>
      </c>
      <c r="K99" s="12">
        <v>-0.14309450000000001</v>
      </c>
      <c r="L99" s="12">
        <v>4.1062947000000003</v>
      </c>
      <c r="M99" s="12">
        <v>32.875387799999999</v>
      </c>
      <c r="N99" s="12">
        <v>35.149241000000004</v>
      </c>
      <c r="O99" s="12">
        <v>21.390032000000001</v>
      </c>
      <c r="P99" s="7">
        <v>1173</v>
      </c>
      <c r="Q99" s="7">
        <v>229</v>
      </c>
      <c r="R99" s="7">
        <v>16.399999999999999</v>
      </c>
      <c r="S99" s="12">
        <v>4.4729153000000004</v>
      </c>
      <c r="T99" s="12">
        <v>0</v>
      </c>
      <c r="U99" s="12">
        <v>101.5</v>
      </c>
      <c r="V99" s="12">
        <v>1.95583</v>
      </c>
      <c r="W99" s="12">
        <v>8.1478944999999996</v>
      </c>
      <c r="X99" s="12">
        <v>51.992363900000001</v>
      </c>
      <c r="Y99" s="12">
        <v>32.311381699999998</v>
      </c>
      <c r="Z99" s="12">
        <v>-0.42704880000000001</v>
      </c>
      <c r="AA99" s="12">
        <v>62.319216900000001</v>
      </c>
      <c r="AB99" s="12">
        <v>18.480267699999999</v>
      </c>
      <c r="AC99" s="12">
        <v>32.952534800000002</v>
      </c>
      <c r="AD99" s="12">
        <v>44.5601585</v>
      </c>
      <c r="AE99" s="12">
        <v>54.6859374</v>
      </c>
      <c r="AF99" s="12">
        <v>4.2937152000000003</v>
      </c>
      <c r="AG99" s="22" t="s">
        <v>107</v>
      </c>
    </row>
    <row r="100" spans="1:33" s="11" customFormat="1" hidden="1" outlineLevel="1" x14ac:dyDescent="0.3">
      <c r="A100" s="11" t="s">
        <v>106</v>
      </c>
      <c r="B100" s="12">
        <v>5.3916862999999999</v>
      </c>
      <c r="C100" s="12">
        <v>111.5333333</v>
      </c>
      <c r="D100" s="12">
        <v>4.9396268000000001</v>
      </c>
      <c r="E100" s="17">
        <v>0</v>
      </c>
      <c r="F100" s="13">
        <v>79.586666699999995</v>
      </c>
      <c r="G100" s="12">
        <v>5.2430589999999997</v>
      </c>
      <c r="H100" s="12">
        <v>2.4112665999999998</v>
      </c>
      <c r="I100" s="12">
        <v>-6.7214723000000003</v>
      </c>
      <c r="J100" s="12">
        <v>8.2057926000000005</v>
      </c>
      <c r="K100" s="12">
        <v>4.7453684000000003</v>
      </c>
      <c r="L100" s="12">
        <v>1.2507410000000001</v>
      </c>
      <c r="M100" s="12">
        <v>43.752910999999997</v>
      </c>
      <c r="N100" s="12">
        <v>19.762419000000001</v>
      </c>
      <c r="O100" s="12">
        <v>14.586449099999999</v>
      </c>
      <c r="P100" s="7">
        <v>1179</v>
      </c>
      <c r="Q100" s="7">
        <v>226</v>
      </c>
      <c r="R100" s="7">
        <v>16.100000000000001</v>
      </c>
      <c r="S100" s="12">
        <v>5.1509768999999999</v>
      </c>
      <c r="T100" s="12">
        <v>0</v>
      </c>
      <c r="U100" s="12">
        <v>105.1333333</v>
      </c>
      <c r="V100" s="12">
        <v>1.95583</v>
      </c>
      <c r="W100" s="12">
        <v>6.8987341999999998</v>
      </c>
      <c r="X100" s="12">
        <v>45.7749326</v>
      </c>
      <c r="Y100" s="12">
        <v>35.516257500000002</v>
      </c>
      <c r="Z100" s="12">
        <v>-2.5438033999999998</v>
      </c>
      <c r="AA100" s="12">
        <v>65.265578199999993</v>
      </c>
      <c r="AB100" s="12">
        <v>18.2946423</v>
      </c>
      <c r="AC100" s="12">
        <v>25.7439173</v>
      </c>
      <c r="AD100" s="12">
        <v>45.884763800000002</v>
      </c>
      <c r="AE100" s="12">
        <v>58.303108399999999</v>
      </c>
      <c r="AF100" s="12">
        <v>5.4651801000000004</v>
      </c>
      <c r="AG100" s="22" t="s">
        <v>107</v>
      </c>
    </row>
    <row r="101" spans="1:33" hidden="1" outlineLevel="1" x14ac:dyDescent="0.3">
      <c r="A101" t="s">
        <v>108</v>
      </c>
      <c r="B101" s="12">
        <v>5.7284746999999996</v>
      </c>
      <c r="C101" s="12">
        <v>114.2266667</v>
      </c>
      <c r="D101" s="12">
        <v>6.5447875</v>
      </c>
      <c r="E101" s="17">
        <v>0</v>
      </c>
      <c r="F101" s="12">
        <v>100.2966667</v>
      </c>
      <c r="G101" s="12">
        <v>3.8081957000000002</v>
      </c>
      <c r="H101" s="12">
        <v>11.2310088</v>
      </c>
      <c r="I101" s="12">
        <v>4.5335852000000001</v>
      </c>
      <c r="J101" s="12">
        <v>5.7526270000000004</v>
      </c>
      <c r="K101" s="12">
        <v>4.2416725</v>
      </c>
      <c r="L101" s="12">
        <v>2.6851961000000002</v>
      </c>
      <c r="M101" s="12">
        <v>0.63273979999999996</v>
      </c>
      <c r="N101" s="12">
        <v>26.5177364</v>
      </c>
      <c r="O101" s="12">
        <v>17.148687599999999</v>
      </c>
      <c r="P101" s="7">
        <v>1157</v>
      </c>
      <c r="Q101" s="7">
        <v>231</v>
      </c>
      <c r="R101" s="7">
        <v>16.7</v>
      </c>
      <c r="S101" s="12">
        <v>8.1659678000000007</v>
      </c>
      <c r="T101" s="12">
        <v>0</v>
      </c>
      <c r="U101" s="12">
        <v>109.1772333</v>
      </c>
      <c r="V101" s="12">
        <v>1.95583</v>
      </c>
      <c r="W101" s="12">
        <v>3.5133377000000001</v>
      </c>
      <c r="X101" s="12">
        <v>44.4398415</v>
      </c>
      <c r="Y101" s="12">
        <v>42.717653400000003</v>
      </c>
      <c r="Z101" s="12">
        <v>-3.6558307000000001</v>
      </c>
      <c r="AA101" s="12">
        <v>72.421460699999997</v>
      </c>
      <c r="AB101" s="12">
        <v>19.708373900000002</v>
      </c>
      <c r="AC101" s="12">
        <v>13.3593081</v>
      </c>
      <c r="AD101" s="12">
        <v>47.582081299999999</v>
      </c>
      <c r="AE101" s="12">
        <v>60.288084099999999</v>
      </c>
      <c r="AF101" s="12">
        <v>5.5699044000000004</v>
      </c>
      <c r="AG101" s="22" t="s">
        <v>107</v>
      </c>
    </row>
    <row r="102" spans="1:33" hidden="1" outlineLevel="1" x14ac:dyDescent="0.3">
      <c r="A102" t="s">
        <v>109</v>
      </c>
      <c r="B102" s="12">
        <v>4.2015890999999996</v>
      </c>
      <c r="C102" s="12">
        <v>118.4333333</v>
      </c>
      <c r="D102" s="12">
        <v>8.8341604</v>
      </c>
      <c r="E102" s="17">
        <v>0</v>
      </c>
      <c r="F102" s="12">
        <v>113.5433333</v>
      </c>
      <c r="G102" s="12">
        <v>12.888546</v>
      </c>
      <c r="H102" s="12">
        <v>18.7325078</v>
      </c>
      <c r="I102" s="12">
        <v>2.6099956</v>
      </c>
      <c r="J102" s="12">
        <v>5.7286408</v>
      </c>
      <c r="K102" s="12">
        <v>3.4973184000000002</v>
      </c>
      <c r="L102" s="12">
        <v>0.1608733</v>
      </c>
      <c r="M102" s="12">
        <v>8.2971819</v>
      </c>
      <c r="N102" s="12">
        <v>7.2320634000000004</v>
      </c>
      <c r="O102" s="12">
        <v>4.6538744999999997</v>
      </c>
      <c r="P102" s="7">
        <v>1154</v>
      </c>
      <c r="Q102" s="7">
        <v>215</v>
      </c>
      <c r="R102" s="7">
        <v>15.7</v>
      </c>
      <c r="S102" s="12">
        <v>10.718954200000001</v>
      </c>
      <c r="T102" s="12">
        <v>0</v>
      </c>
      <c r="U102" s="12">
        <v>115.7251667</v>
      </c>
      <c r="V102" s="12">
        <v>1.95583</v>
      </c>
      <c r="W102" s="12">
        <v>4.3973426</v>
      </c>
      <c r="X102" s="12">
        <v>42.463882099999999</v>
      </c>
      <c r="Y102" s="12">
        <v>42.465379499999997</v>
      </c>
      <c r="Z102" s="12">
        <v>-6.1184009000000001</v>
      </c>
      <c r="AA102" s="12">
        <v>68.526315800000006</v>
      </c>
      <c r="AB102" s="12">
        <v>18.293675400000001</v>
      </c>
      <c r="AC102" s="12">
        <v>34.264484699999997</v>
      </c>
      <c r="AD102" s="12">
        <v>49.324192799999999</v>
      </c>
      <c r="AE102" s="12">
        <v>63.812472399999997</v>
      </c>
      <c r="AF102" s="12">
        <v>5.5520848999999997</v>
      </c>
      <c r="AG102" s="22" t="s">
        <v>107</v>
      </c>
    </row>
    <row r="103" spans="1:33" hidden="1" outlineLevel="1" x14ac:dyDescent="0.3">
      <c r="A103" t="s">
        <v>110</v>
      </c>
      <c r="B103" s="12">
        <v>2.5907767000000002</v>
      </c>
      <c r="C103" s="12">
        <v>120.83</v>
      </c>
      <c r="D103" s="12">
        <v>10.289956500000001</v>
      </c>
      <c r="E103" s="17">
        <v>0.75</v>
      </c>
      <c r="F103" s="12">
        <v>100.7133333</v>
      </c>
      <c r="G103" s="12">
        <v>19.846477199999999</v>
      </c>
      <c r="H103" s="12">
        <v>7.5290879999999998</v>
      </c>
      <c r="I103" s="12">
        <v>0.62047289999999999</v>
      </c>
      <c r="J103" s="12">
        <v>3.0469955</v>
      </c>
      <c r="K103" s="12">
        <v>0.31460009999999999</v>
      </c>
      <c r="L103" s="12">
        <v>1.3802264</v>
      </c>
      <c r="M103" s="12">
        <v>-5.3576302</v>
      </c>
      <c r="N103" s="12">
        <v>12.228980999999999</v>
      </c>
      <c r="O103" s="12">
        <v>2.9437245999999999</v>
      </c>
      <c r="P103" s="7">
        <v>1163</v>
      </c>
      <c r="Q103" s="7">
        <v>203</v>
      </c>
      <c r="R103" s="7">
        <v>14.8</v>
      </c>
      <c r="S103" s="12">
        <v>13.360585199999999</v>
      </c>
      <c r="T103" s="12">
        <v>1.25</v>
      </c>
      <c r="U103" s="12">
        <v>118.65466670000001</v>
      </c>
      <c r="V103" s="12">
        <v>1.95583</v>
      </c>
      <c r="W103" s="12">
        <v>-0.6331118</v>
      </c>
      <c r="X103" s="12">
        <v>30.2192361</v>
      </c>
      <c r="Y103" s="12">
        <v>32.485130499999997</v>
      </c>
      <c r="Z103" s="12">
        <v>-2.1630699999999998</v>
      </c>
      <c r="AA103" s="12">
        <v>61.912563300000002</v>
      </c>
      <c r="AB103" s="12">
        <v>18.128518799999998</v>
      </c>
      <c r="AC103" s="12">
        <v>32.607882099999998</v>
      </c>
      <c r="AD103" s="12">
        <v>50.181709300000001</v>
      </c>
      <c r="AE103" s="12">
        <v>62.657696199999997</v>
      </c>
      <c r="AF103" s="12">
        <v>5.3383424000000002</v>
      </c>
      <c r="AG103" s="22" t="s">
        <v>107</v>
      </c>
    </row>
    <row r="104" spans="1:33" hidden="1" outlineLevel="1" x14ac:dyDescent="0.3">
      <c r="A104" t="s">
        <v>111</v>
      </c>
      <c r="B104" s="12">
        <v>1.4006327999999999</v>
      </c>
      <c r="C104" s="12">
        <v>123.8</v>
      </c>
      <c r="D104" s="12">
        <v>10.9982068</v>
      </c>
      <c r="E104" s="17">
        <v>1.9166666999999999</v>
      </c>
      <c r="F104" s="12">
        <v>88.556666699999994</v>
      </c>
      <c r="G104" s="12">
        <v>12.1725031</v>
      </c>
      <c r="H104" s="12">
        <v>17.880613100000001</v>
      </c>
      <c r="I104" s="12">
        <v>-4.8152914000000004</v>
      </c>
      <c r="J104" s="12">
        <v>2.6274267999999998</v>
      </c>
      <c r="K104" s="12">
        <v>-0.7966396</v>
      </c>
      <c r="L104" s="12">
        <v>1.0889291999999999</v>
      </c>
      <c r="M104" s="12">
        <v>6.4395933999999997</v>
      </c>
      <c r="N104" s="12">
        <v>3.9292837999999999</v>
      </c>
      <c r="O104" s="12">
        <v>1.9182471000000001</v>
      </c>
      <c r="P104" s="7">
        <v>1174</v>
      </c>
      <c r="Q104" s="7">
        <v>196</v>
      </c>
      <c r="R104" s="7">
        <v>14.3</v>
      </c>
      <c r="S104" s="12">
        <v>14.379223</v>
      </c>
      <c r="T104" s="12">
        <v>2.5</v>
      </c>
      <c r="U104" s="12">
        <v>122.1367667</v>
      </c>
      <c r="V104" s="12">
        <v>1.95583</v>
      </c>
      <c r="W104" s="12">
        <v>-3.1083481000000002</v>
      </c>
      <c r="X104" s="12">
        <v>15.4794906</v>
      </c>
      <c r="Y104" s="12">
        <v>21.354466599999999</v>
      </c>
      <c r="Z104" s="12">
        <v>-5.3972911000000003</v>
      </c>
      <c r="AA104" s="12">
        <v>64.498329799999993</v>
      </c>
      <c r="AB104" s="12">
        <v>18.6572642</v>
      </c>
      <c r="AC104" s="12">
        <v>27.693513100000001</v>
      </c>
      <c r="AD104" s="12">
        <v>45.426203100000002</v>
      </c>
      <c r="AE104" s="12">
        <v>60.656521900000001</v>
      </c>
      <c r="AF104" s="12">
        <v>5.2019748000000003</v>
      </c>
      <c r="AG104" s="22" t="s">
        <v>107</v>
      </c>
    </row>
    <row r="105" spans="1:33" collapsed="1" x14ac:dyDescent="0.3">
      <c r="A105" t="s">
        <v>112</v>
      </c>
      <c r="B105" s="12">
        <v>1.3448477999999999</v>
      </c>
      <c r="C105" s="12">
        <v>124.9666667</v>
      </c>
      <c r="D105" s="12">
        <v>9.4023579000000002</v>
      </c>
      <c r="E105" s="17">
        <v>3</v>
      </c>
      <c r="F105" s="12">
        <v>81.173333299999996</v>
      </c>
      <c r="G105" s="12">
        <v>20.1652165</v>
      </c>
      <c r="H105" s="12">
        <v>14.718906199999999</v>
      </c>
      <c r="I105" s="12">
        <v>3.1111591000000001</v>
      </c>
      <c r="J105" s="12">
        <v>1.7899973</v>
      </c>
      <c r="K105" s="12">
        <v>0.40706409999999998</v>
      </c>
      <c r="L105" s="12">
        <v>2.1390068000000002</v>
      </c>
      <c r="M105" s="12">
        <v>18.611335700000001</v>
      </c>
      <c r="N105" s="12">
        <v>1.4604112</v>
      </c>
      <c r="O105" s="12">
        <v>1.998238</v>
      </c>
      <c r="P105" s="7">
        <v>1175</v>
      </c>
      <c r="Q105" s="7">
        <v>180</v>
      </c>
      <c r="R105" s="7">
        <v>13.3</v>
      </c>
      <c r="S105" s="12">
        <v>15.6090594</v>
      </c>
      <c r="T105" s="12">
        <v>3.5</v>
      </c>
      <c r="U105" s="12">
        <v>122.7</v>
      </c>
      <c r="V105" s="12">
        <v>1.95583</v>
      </c>
      <c r="W105" s="12">
        <v>-2.4827153000000002</v>
      </c>
      <c r="X105" s="12">
        <v>5.2869394999999999</v>
      </c>
      <c r="Y105" s="12">
        <v>6.1260636999999996</v>
      </c>
      <c r="Z105" s="12">
        <v>-3.6692629000000001</v>
      </c>
      <c r="AA105" s="12">
        <v>73.927045100000001</v>
      </c>
      <c r="AB105" s="12">
        <v>20.1053313</v>
      </c>
      <c r="AC105" s="12">
        <v>16.170947600000002</v>
      </c>
      <c r="AD105" s="12">
        <v>43.957694799999999</v>
      </c>
      <c r="AE105" s="12">
        <v>56.144182999999998</v>
      </c>
      <c r="AF105" s="12">
        <v>5.5831806999999998</v>
      </c>
      <c r="AG105" s="22" t="s">
        <v>107</v>
      </c>
    </row>
    <row r="106" spans="1:33" x14ac:dyDescent="0.3">
      <c r="A106" t="s">
        <v>113</v>
      </c>
      <c r="B106" s="12">
        <v>0.20197219999999999</v>
      </c>
      <c r="C106" s="12">
        <v>126.9766667</v>
      </c>
      <c r="D106" s="12">
        <v>7.2136222999999999</v>
      </c>
      <c r="E106" s="17">
        <v>3.75</v>
      </c>
      <c r="F106" s="12">
        <v>78.316666699999999</v>
      </c>
      <c r="G106" s="12">
        <v>13.5663953</v>
      </c>
      <c r="H106" s="12">
        <v>11.452146900000001</v>
      </c>
      <c r="I106" s="12">
        <v>2.0616422999999999</v>
      </c>
      <c r="J106" s="12">
        <v>1.2458714</v>
      </c>
      <c r="K106" s="12">
        <v>1.719644</v>
      </c>
      <c r="L106" s="12">
        <v>1.3078643999999999</v>
      </c>
      <c r="M106" s="12">
        <v>1.6180924000000001</v>
      </c>
      <c r="N106" s="12">
        <v>-6.1365461999999997</v>
      </c>
      <c r="O106" s="12">
        <v>-2.2400750999999999</v>
      </c>
      <c r="P106" s="7">
        <v>1184</v>
      </c>
      <c r="Q106" s="7">
        <v>179</v>
      </c>
      <c r="R106" s="7">
        <v>13.1</v>
      </c>
      <c r="S106" s="12">
        <v>14.757969299999999</v>
      </c>
      <c r="T106" s="12">
        <v>4</v>
      </c>
      <c r="U106" s="12">
        <v>123.0971667</v>
      </c>
      <c r="V106" s="12">
        <v>1.95583</v>
      </c>
      <c r="W106" s="12">
        <v>-6.4545455</v>
      </c>
      <c r="X106" s="12">
        <v>-5.4748286999999998</v>
      </c>
      <c r="Y106" s="12">
        <v>-2.0579388000000001</v>
      </c>
      <c r="Z106" s="12">
        <v>-4.6379865000000002</v>
      </c>
      <c r="AA106" s="12">
        <v>72.199129099999993</v>
      </c>
      <c r="AB106" s="12">
        <v>19.766099199999999</v>
      </c>
      <c r="AC106" s="12">
        <v>32.802190600000003</v>
      </c>
      <c r="AD106" s="12">
        <v>43.464634500000003</v>
      </c>
      <c r="AE106" s="12">
        <v>58.273950900000003</v>
      </c>
      <c r="AF106" s="12">
        <v>5.7030386999999996</v>
      </c>
      <c r="AG106" s="22" t="s">
        <v>107</v>
      </c>
    </row>
    <row r="107" spans="1:33" x14ac:dyDescent="0.3">
      <c r="A107" t="s">
        <v>114</v>
      </c>
      <c r="B107" s="12">
        <v>-0.19771859999999999</v>
      </c>
      <c r="C107" s="12">
        <v>127.6866667</v>
      </c>
      <c r="D107" s="12">
        <v>5.6746392999999999</v>
      </c>
      <c r="E107" s="17">
        <v>4.25</v>
      </c>
      <c r="F107" s="12">
        <v>86.66</v>
      </c>
      <c r="G107" s="12">
        <v>13.275078499999999</v>
      </c>
      <c r="H107" s="12">
        <v>12.9771392</v>
      </c>
      <c r="I107" s="12">
        <v>0.57491210000000004</v>
      </c>
      <c r="J107" s="12">
        <v>1.9137978</v>
      </c>
      <c r="K107" s="12">
        <v>2.6139926999999998</v>
      </c>
      <c r="L107" s="12">
        <v>1.9367702</v>
      </c>
      <c r="M107" s="12">
        <v>0.98994040000000005</v>
      </c>
      <c r="N107" s="12">
        <v>-13.2624145</v>
      </c>
      <c r="O107" s="12">
        <v>-9.5116998000000006</v>
      </c>
      <c r="P107" s="7">
        <v>1202</v>
      </c>
      <c r="Q107" s="7">
        <v>189</v>
      </c>
      <c r="R107" s="7">
        <v>13.6</v>
      </c>
      <c r="S107" s="12">
        <v>11.368381100000001</v>
      </c>
      <c r="T107" s="12">
        <v>4.5</v>
      </c>
      <c r="U107" s="12">
        <v>123.7212</v>
      </c>
      <c r="V107" s="12">
        <v>1.95583</v>
      </c>
      <c r="W107" s="12">
        <v>-0.41414459999999997</v>
      </c>
      <c r="X107" s="12">
        <v>-4.8414624000000002</v>
      </c>
      <c r="Y107" s="12">
        <v>-1.4820690999999999</v>
      </c>
      <c r="Z107" s="12">
        <v>-2.2542452000000002</v>
      </c>
      <c r="AA107" s="12">
        <v>68.880121700000004</v>
      </c>
      <c r="AB107" s="12">
        <v>18.7921856</v>
      </c>
      <c r="AC107" s="12">
        <v>34.432930900000002</v>
      </c>
      <c r="AD107" s="12">
        <v>45.489907199999998</v>
      </c>
      <c r="AE107" s="12">
        <v>58.803910399999999</v>
      </c>
      <c r="AF107" s="12">
        <v>6.5354393000000002</v>
      </c>
      <c r="AG107" s="22" t="s">
        <v>107</v>
      </c>
    </row>
    <row r="108" spans="1:33" x14ac:dyDescent="0.3">
      <c r="A108" t="s">
        <v>115</v>
      </c>
      <c r="B108" s="7" t="s">
        <v>107</v>
      </c>
      <c r="C108" s="12">
        <v>127.9933333</v>
      </c>
      <c r="D108" s="12">
        <v>3.3871836000000002</v>
      </c>
      <c r="E108" s="17">
        <v>4.5</v>
      </c>
      <c r="F108" s="12">
        <v>83.723333299999993</v>
      </c>
      <c r="G108" s="7" t="s">
        <v>107</v>
      </c>
      <c r="H108" s="7" t="s">
        <v>107</v>
      </c>
      <c r="I108" s="7" t="s">
        <v>107</v>
      </c>
      <c r="J108" s="7" t="s">
        <v>107</v>
      </c>
      <c r="K108" s="7" t="s">
        <v>107</v>
      </c>
      <c r="L108" s="7" t="s">
        <v>107</v>
      </c>
      <c r="M108" s="7" t="s">
        <v>107</v>
      </c>
      <c r="N108" s="7" t="s">
        <v>107</v>
      </c>
      <c r="O108" s="7" t="s">
        <v>107</v>
      </c>
      <c r="P108" s="7" t="s">
        <v>107</v>
      </c>
      <c r="Q108" s="7" t="s">
        <v>107</v>
      </c>
      <c r="R108" s="7" t="s">
        <v>107</v>
      </c>
      <c r="S108" s="7" t="s">
        <v>107</v>
      </c>
      <c r="T108" s="12">
        <v>4.5</v>
      </c>
      <c r="U108" s="12">
        <v>124.57183329999999</v>
      </c>
      <c r="V108" s="12">
        <v>1.95583</v>
      </c>
      <c r="W108" s="12">
        <v>-6.0800489000000004</v>
      </c>
      <c r="X108" s="7" t="s">
        <v>107</v>
      </c>
      <c r="Y108" s="7" t="s">
        <v>107</v>
      </c>
      <c r="Z108" s="7" t="s">
        <v>107</v>
      </c>
      <c r="AA108" s="7" t="s">
        <v>107</v>
      </c>
      <c r="AB108" s="7" t="s">
        <v>107</v>
      </c>
      <c r="AC108" s="7" t="s">
        <v>107</v>
      </c>
      <c r="AD108" s="7" t="s">
        <v>107</v>
      </c>
      <c r="AE108" s="7" t="s">
        <v>107</v>
      </c>
      <c r="AF108" s="7" t="s">
        <v>107</v>
      </c>
      <c r="AG108" s="22" t="s">
        <v>107</v>
      </c>
    </row>
  </sheetData>
  <pageMargins left="0.7" right="0.7" top="0.75" bottom="0.75" header="0.3" footer="0.3"/>
  <pageSetup paperSize="9" orientation="portrait" horizontalDpi="90" verticalDpi="9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3B5C-ED67-4885-A530-53D2A88AF034}">
  <sheetPr codeName="Tabelle33">
    <tabColor rgb="FF7030A0"/>
  </sheetPr>
  <dimension ref="A1:AG108"/>
  <sheetViews>
    <sheetView workbookViewId="0">
      <pane xSplit="1" ySplit="12" topLeftCell="Z13" activePane="bottomRight" state="frozen"/>
      <selection activeCell="E12" sqref="E12"/>
      <selection pane="topRight" activeCell="E12" sqref="E12"/>
      <selection pane="bottomLeft" activeCell="E12" sqref="E12"/>
      <selection pane="bottomRight" activeCell="AG13" sqref="AG13"/>
    </sheetView>
  </sheetViews>
  <sheetFormatPr defaultColWidth="9.109375" defaultRowHeight="14.4" outlineLevelRow="1" x14ac:dyDescent="0.3"/>
  <cols>
    <col min="2" max="2" width="11.5546875" bestFit="1" customWidth="1"/>
    <col min="4" max="4" width="12.44140625" customWidth="1"/>
    <col min="7" max="7" width="12.44140625" bestFit="1" customWidth="1"/>
    <col min="8" max="8" width="12.33203125" customWidth="1"/>
    <col min="18" max="18" width="11.109375" bestFit="1" customWidth="1"/>
    <col min="19" max="19" width="12.44140625" bestFit="1" customWidth="1"/>
    <col min="24" max="24" width="12.5546875" bestFit="1" customWidth="1"/>
    <col min="25" max="25" width="12.6640625" bestFit="1" customWidth="1"/>
    <col min="27" max="27" width="13.6640625" customWidth="1"/>
    <col min="33" max="33" width="9.109375" style="15"/>
  </cols>
  <sheetData>
    <row r="1" spans="1:33" s="8" customFormat="1" x14ac:dyDescent="0.3">
      <c r="A1" s="8" t="s">
        <v>0</v>
      </c>
      <c r="B1" s="8" t="s">
        <v>1</v>
      </c>
      <c r="C1" s="8" t="s">
        <v>2</v>
      </c>
      <c r="D1" s="8" t="s">
        <v>3</v>
      </c>
      <c r="E1" s="14" t="s">
        <v>4</v>
      </c>
      <c r="F1" s="8" t="s">
        <v>5</v>
      </c>
      <c r="G1" s="8" t="s">
        <v>6</v>
      </c>
      <c r="H1" s="8" t="s">
        <v>254</v>
      </c>
      <c r="I1" s="8" t="s">
        <v>7</v>
      </c>
      <c r="J1" s="8" t="s">
        <v>230</v>
      </c>
      <c r="K1" s="8" t="s">
        <v>231</v>
      </c>
      <c r="L1" s="8" t="s">
        <v>232</v>
      </c>
      <c r="M1" s="8" t="s">
        <v>233</v>
      </c>
      <c r="N1" s="8" t="s">
        <v>234</v>
      </c>
      <c r="O1" s="8" t="s">
        <v>235</v>
      </c>
      <c r="P1" s="8" t="s">
        <v>8</v>
      </c>
      <c r="Q1" s="8" t="s">
        <v>9</v>
      </c>
      <c r="R1" s="8" t="s">
        <v>10</v>
      </c>
      <c r="S1" s="8" t="s">
        <v>11</v>
      </c>
      <c r="T1" s="14" t="s">
        <v>12</v>
      </c>
      <c r="U1" s="8" t="s">
        <v>13</v>
      </c>
      <c r="V1" s="8" t="s">
        <v>14</v>
      </c>
      <c r="W1" s="8" t="s">
        <v>15</v>
      </c>
      <c r="X1" s="8" t="s">
        <v>16</v>
      </c>
      <c r="Y1" s="8" t="s">
        <v>17</v>
      </c>
      <c r="Z1" s="8" t="s">
        <v>18</v>
      </c>
      <c r="AA1" s="9" t="s">
        <v>248</v>
      </c>
      <c r="AB1" s="8" t="s">
        <v>236</v>
      </c>
      <c r="AC1" s="8" t="s">
        <v>237</v>
      </c>
      <c r="AD1" s="8" t="s">
        <v>238</v>
      </c>
      <c r="AE1" s="8" t="s">
        <v>239</v>
      </c>
      <c r="AF1" s="14" t="s">
        <v>255</v>
      </c>
      <c r="AG1" s="9"/>
    </row>
    <row r="2" spans="1:33" s="10" customFormat="1" outlineLevel="1" x14ac:dyDescent="0.3">
      <c r="A2" s="16" t="s">
        <v>1292</v>
      </c>
      <c r="B2" s="26"/>
      <c r="C2" s="26"/>
      <c r="D2" s="26" t="s">
        <v>198</v>
      </c>
      <c r="E2" s="26"/>
      <c r="F2" s="26"/>
      <c r="G2" s="26" t="s">
        <v>1113</v>
      </c>
      <c r="H2" s="26" t="s">
        <v>1115</v>
      </c>
      <c r="I2" s="26"/>
      <c r="J2" s="26" t="s">
        <v>1037</v>
      </c>
      <c r="K2" s="26" t="s">
        <v>1039</v>
      </c>
      <c r="L2" s="26" t="s">
        <v>1041</v>
      </c>
      <c r="M2" s="26" t="s">
        <v>1043</v>
      </c>
      <c r="N2" s="26" t="s">
        <v>1045</v>
      </c>
      <c r="O2" s="26" t="s">
        <v>1047</v>
      </c>
      <c r="P2" s="26"/>
      <c r="Q2" s="26"/>
      <c r="R2" s="26"/>
      <c r="S2" s="26" t="s">
        <v>1052</v>
      </c>
      <c r="T2" s="26"/>
      <c r="U2" s="26"/>
      <c r="V2" s="26"/>
      <c r="W2" s="26" t="s">
        <v>1055</v>
      </c>
      <c r="X2" s="26" t="s">
        <v>1057</v>
      </c>
      <c r="Y2" s="26" t="s">
        <v>1059</v>
      </c>
      <c r="Z2" s="26"/>
      <c r="AA2" s="26"/>
      <c r="AB2" s="26"/>
      <c r="AC2" s="26"/>
      <c r="AD2" s="26"/>
      <c r="AE2" s="26"/>
      <c r="AF2" s="26" t="s">
        <v>1068</v>
      </c>
      <c r="AG2" s="26"/>
    </row>
    <row r="3" spans="1:33" outlineLevel="1" x14ac:dyDescent="0.3">
      <c r="A3" s="16" t="s">
        <v>1293</v>
      </c>
      <c r="B3" s="27" t="s">
        <v>123</v>
      </c>
      <c r="C3" s="27" t="s">
        <v>195</v>
      </c>
      <c r="D3" s="27" t="s">
        <v>195</v>
      </c>
      <c r="E3" s="27" t="s">
        <v>186</v>
      </c>
      <c r="F3" s="27" t="s">
        <v>125</v>
      </c>
      <c r="G3" s="27" t="s">
        <v>1034</v>
      </c>
      <c r="H3" s="27" t="s">
        <v>1034</v>
      </c>
      <c r="I3" s="27" t="s">
        <v>1034</v>
      </c>
      <c r="J3" s="27" t="s">
        <v>123</v>
      </c>
      <c r="K3" s="27" t="s">
        <v>839</v>
      </c>
      <c r="L3" s="27" t="s">
        <v>326</v>
      </c>
      <c r="M3" s="27" t="s">
        <v>326</v>
      </c>
      <c r="N3" s="27" t="s">
        <v>326</v>
      </c>
      <c r="O3" s="27" t="s">
        <v>326</v>
      </c>
      <c r="P3" s="27" t="s">
        <v>1267</v>
      </c>
      <c r="Q3" s="27" t="s">
        <v>1267</v>
      </c>
      <c r="R3" s="27" t="s">
        <v>1267</v>
      </c>
      <c r="S3" s="27" t="s">
        <v>1054</v>
      </c>
      <c r="T3" s="27" t="s">
        <v>1071</v>
      </c>
      <c r="U3" s="27" t="s">
        <v>1073</v>
      </c>
      <c r="V3" s="27" t="s">
        <v>125</v>
      </c>
      <c r="W3" s="27" t="s">
        <v>1285</v>
      </c>
      <c r="X3" s="27" t="s">
        <v>207</v>
      </c>
      <c r="Y3" s="27" t="s">
        <v>207</v>
      </c>
      <c r="Z3" s="27" t="s">
        <v>1062</v>
      </c>
      <c r="AA3" s="27" t="s">
        <v>839</v>
      </c>
      <c r="AB3" s="27" t="s">
        <v>125</v>
      </c>
      <c r="AC3" s="27" t="s">
        <v>125</v>
      </c>
      <c r="AD3" s="27" t="s">
        <v>125</v>
      </c>
      <c r="AE3" s="27" t="s">
        <v>125</v>
      </c>
      <c r="AF3" s="27" t="s">
        <v>1070</v>
      </c>
      <c r="AG3" s="23"/>
    </row>
    <row r="4" spans="1:33" outlineLevel="1" x14ac:dyDescent="0.3">
      <c r="A4" s="16" t="s">
        <v>1288</v>
      </c>
      <c r="B4" s="2">
        <v>144396</v>
      </c>
      <c r="C4" s="2">
        <v>77811</v>
      </c>
      <c r="D4" s="2">
        <v>77812</v>
      </c>
      <c r="E4" s="2">
        <v>144399</v>
      </c>
      <c r="F4" s="27">
        <v>101874</v>
      </c>
      <c r="G4" s="2">
        <v>53383</v>
      </c>
      <c r="H4" s="2">
        <v>53382</v>
      </c>
      <c r="I4" s="2">
        <v>89223</v>
      </c>
      <c r="J4" s="2">
        <v>88660</v>
      </c>
      <c r="K4" s="2">
        <v>90873</v>
      </c>
      <c r="L4" s="2">
        <v>90917</v>
      </c>
      <c r="M4" s="2">
        <v>90939</v>
      </c>
      <c r="N4" s="2">
        <v>90983</v>
      </c>
      <c r="O4" s="2">
        <v>91005</v>
      </c>
      <c r="P4" s="2">
        <v>53372</v>
      </c>
      <c r="Q4" s="2">
        <v>53376</v>
      </c>
      <c r="R4" s="2">
        <v>53378</v>
      </c>
      <c r="S4" s="2">
        <v>321</v>
      </c>
      <c r="T4" s="2">
        <v>55352</v>
      </c>
      <c r="U4" s="2">
        <v>101896</v>
      </c>
      <c r="V4" s="27">
        <v>1945</v>
      </c>
      <c r="W4" s="2">
        <v>70535</v>
      </c>
      <c r="X4" s="2">
        <v>87269</v>
      </c>
      <c r="Y4" s="2">
        <v>87306</v>
      </c>
      <c r="Z4" s="2">
        <v>88740</v>
      </c>
      <c r="AA4" s="2">
        <v>90345</v>
      </c>
      <c r="AB4" s="27">
        <v>90389</v>
      </c>
      <c r="AC4" s="27">
        <v>90411</v>
      </c>
      <c r="AD4" s="27">
        <v>90499</v>
      </c>
      <c r="AE4" s="27">
        <v>90521</v>
      </c>
      <c r="AF4" s="2">
        <v>89619</v>
      </c>
      <c r="AG4" s="27"/>
    </row>
    <row r="5" spans="1:33" outlineLevel="1" x14ac:dyDescent="0.3">
      <c r="A5" t="s">
        <v>1291</v>
      </c>
      <c r="B5" s="27" t="s">
        <v>221</v>
      </c>
      <c r="C5" s="27" t="s">
        <v>194</v>
      </c>
      <c r="D5" s="27" t="s">
        <v>199</v>
      </c>
      <c r="E5" s="27" t="s">
        <v>253</v>
      </c>
      <c r="F5" s="27" t="s">
        <v>189</v>
      </c>
      <c r="G5" s="27" t="s">
        <v>1114</v>
      </c>
      <c r="H5" s="27" t="s">
        <v>1116</v>
      </c>
      <c r="I5" s="27" t="s">
        <v>1033</v>
      </c>
      <c r="J5" s="27" t="s">
        <v>1038</v>
      </c>
      <c r="K5" s="27" t="s">
        <v>1040</v>
      </c>
      <c r="L5" s="27" t="s">
        <v>1042</v>
      </c>
      <c r="M5" s="27" t="s">
        <v>1044</v>
      </c>
      <c r="N5" s="27" t="s">
        <v>1046</v>
      </c>
      <c r="O5" s="27" t="s">
        <v>1048</v>
      </c>
      <c r="P5" s="27" t="s">
        <v>1049</v>
      </c>
      <c r="Q5" s="27" t="s">
        <v>1050</v>
      </c>
      <c r="R5" s="27" t="s">
        <v>1051</v>
      </c>
      <c r="S5" s="27" t="s">
        <v>1053</v>
      </c>
      <c r="T5" s="27" t="s">
        <v>1307</v>
      </c>
      <c r="U5" s="27" t="s">
        <v>1072</v>
      </c>
      <c r="V5" s="27" t="s">
        <v>1074</v>
      </c>
      <c r="W5" s="27" t="s">
        <v>1056</v>
      </c>
      <c r="X5" s="27" t="s">
        <v>1058</v>
      </c>
      <c r="Y5" s="27" t="s">
        <v>1060</v>
      </c>
      <c r="Z5" s="27" t="s">
        <v>1061</v>
      </c>
      <c r="AA5" s="27" t="s">
        <v>1063</v>
      </c>
      <c r="AB5" s="27" t="s">
        <v>1064</v>
      </c>
      <c r="AC5" s="27" t="s">
        <v>1065</v>
      </c>
      <c r="AD5" s="27" t="s">
        <v>1066</v>
      </c>
      <c r="AE5" s="27" t="s">
        <v>1067</v>
      </c>
      <c r="AF5" s="27" t="s">
        <v>1069</v>
      </c>
      <c r="AG5" s="27"/>
    </row>
    <row r="6" spans="1:33" outlineLevel="1" x14ac:dyDescent="0.3">
      <c r="A6" t="s">
        <v>1289</v>
      </c>
      <c r="B6" s="27" t="s">
        <v>222</v>
      </c>
      <c r="C6" s="27" t="s">
        <v>196</v>
      </c>
      <c r="D6" s="27" t="s">
        <v>196</v>
      </c>
      <c r="E6" s="27" t="s">
        <v>187</v>
      </c>
      <c r="F6" s="27" t="s">
        <v>190</v>
      </c>
      <c r="G6" s="27" t="s">
        <v>1035</v>
      </c>
      <c r="H6" s="27" t="s">
        <v>1035</v>
      </c>
      <c r="I6" s="27" t="s">
        <v>1035</v>
      </c>
      <c r="J6" s="27" t="s">
        <v>1035</v>
      </c>
      <c r="K6" s="27" t="s">
        <v>1035</v>
      </c>
      <c r="L6" s="27" t="s">
        <v>1035</v>
      </c>
      <c r="M6" s="27" t="s">
        <v>1035</v>
      </c>
      <c r="N6" s="27" t="s">
        <v>1035</v>
      </c>
      <c r="O6" s="27" t="s">
        <v>1035</v>
      </c>
      <c r="P6" s="27" t="s">
        <v>1035</v>
      </c>
      <c r="Q6" s="27" t="s">
        <v>1035</v>
      </c>
      <c r="R6" s="27" t="s">
        <v>1035</v>
      </c>
      <c r="S6" s="27" t="s">
        <v>1035</v>
      </c>
      <c r="T6" s="27" t="s">
        <v>1035</v>
      </c>
      <c r="U6" s="27" t="s">
        <v>1035</v>
      </c>
      <c r="V6" s="27" t="s">
        <v>1035</v>
      </c>
      <c r="W6" s="27" t="s">
        <v>1035</v>
      </c>
      <c r="X6" s="27" t="s">
        <v>1035</v>
      </c>
      <c r="Y6" s="27" t="s">
        <v>1035</v>
      </c>
      <c r="Z6" s="27" t="s">
        <v>1035</v>
      </c>
      <c r="AA6" s="27" t="s">
        <v>1035</v>
      </c>
      <c r="AB6" s="27" t="s">
        <v>1035</v>
      </c>
      <c r="AC6" s="27" t="s">
        <v>1035</v>
      </c>
      <c r="AD6" s="27" t="s">
        <v>1035</v>
      </c>
      <c r="AE6" s="27" t="s">
        <v>1035</v>
      </c>
      <c r="AF6" s="27" t="s">
        <v>1035</v>
      </c>
      <c r="AG6" s="23"/>
    </row>
    <row r="7" spans="1:33" outlineLevel="1" x14ac:dyDescent="0.3">
      <c r="A7" t="s">
        <v>1290</v>
      </c>
      <c r="B7" s="27" t="s">
        <v>223</v>
      </c>
      <c r="C7" s="27" t="s">
        <v>197</v>
      </c>
      <c r="D7" s="27" t="s">
        <v>197</v>
      </c>
      <c r="E7" s="27" t="s">
        <v>188</v>
      </c>
      <c r="F7" s="27" t="s">
        <v>191</v>
      </c>
      <c r="G7" s="27" t="s">
        <v>1036</v>
      </c>
      <c r="H7" s="27" t="s">
        <v>1036</v>
      </c>
      <c r="I7" s="27" t="s">
        <v>1036</v>
      </c>
      <c r="J7" s="27" t="s">
        <v>1036</v>
      </c>
      <c r="K7" s="27" t="s">
        <v>1036</v>
      </c>
      <c r="L7" s="27" t="s">
        <v>1036</v>
      </c>
      <c r="M7" s="27" t="s">
        <v>1036</v>
      </c>
      <c r="N7" s="27" t="s">
        <v>1036</v>
      </c>
      <c r="O7" s="27" t="s">
        <v>1036</v>
      </c>
      <c r="P7" s="27" t="s">
        <v>1036</v>
      </c>
      <c r="Q7" s="27" t="s">
        <v>1036</v>
      </c>
      <c r="R7" s="27" t="s">
        <v>1036</v>
      </c>
      <c r="S7" s="27" t="s">
        <v>1036</v>
      </c>
      <c r="T7" s="27" t="s">
        <v>1036</v>
      </c>
      <c r="U7" s="27" t="s">
        <v>1036</v>
      </c>
      <c r="V7" s="27" t="s">
        <v>1036</v>
      </c>
      <c r="W7" s="27" t="s">
        <v>1036</v>
      </c>
      <c r="X7" s="27" t="s">
        <v>1036</v>
      </c>
      <c r="Y7" s="27" t="s">
        <v>1036</v>
      </c>
      <c r="Z7" s="27" t="s">
        <v>1036</v>
      </c>
      <c r="AA7" s="27" t="s">
        <v>1036</v>
      </c>
      <c r="AB7" s="27" t="s">
        <v>1036</v>
      </c>
      <c r="AC7" s="27" t="s">
        <v>1036</v>
      </c>
      <c r="AD7" s="27" t="s">
        <v>1036</v>
      </c>
      <c r="AE7" s="27" t="s">
        <v>1036</v>
      </c>
      <c r="AF7" s="27" t="s">
        <v>1036</v>
      </c>
      <c r="AG7" s="23"/>
    </row>
    <row r="8" spans="1:33" outlineLevel="1" x14ac:dyDescent="0.3">
      <c r="A8" s="16" t="s">
        <v>489</v>
      </c>
      <c r="B8" s="27" t="s">
        <v>120</v>
      </c>
      <c r="C8" s="27" t="s">
        <v>163</v>
      </c>
      <c r="D8" s="27" t="s">
        <v>163</v>
      </c>
      <c r="E8" s="27" t="s">
        <v>159</v>
      </c>
      <c r="F8" s="27"/>
      <c r="G8" s="27" t="s">
        <v>179</v>
      </c>
      <c r="H8" s="27" t="s">
        <v>173</v>
      </c>
      <c r="I8" s="27" t="s">
        <v>182</v>
      </c>
      <c r="J8" s="27" t="s">
        <v>120</v>
      </c>
      <c r="K8" s="27" t="s">
        <v>126</v>
      </c>
      <c r="L8" s="27" t="s">
        <v>129</v>
      </c>
      <c r="M8" s="27" t="s">
        <v>132</v>
      </c>
      <c r="N8" s="27" t="s">
        <v>135</v>
      </c>
      <c r="O8" s="27" t="s">
        <v>138</v>
      </c>
      <c r="P8" s="27" t="s">
        <v>141</v>
      </c>
      <c r="Q8" s="27" t="s">
        <v>146</v>
      </c>
      <c r="R8" s="27" t="s">
        <v>149</v>
      </c>
      <c r="S8" s="27" t="s">
        <v>154</v>
      </c>
      <c r="T8" s="27" t="s">
        <v>159</v>
      </c>
      <c r="U8" s="27" t="s">
        <v>163</v>
      </c>
      <c r="V8" s="27" t="s">
        <v>168</v>
      </c>
      <c r="W8" s="27" t="s">
        <v>217</v>
      </c>
      <c r="X8" s="27" t="s">
        <v>208</v>
      </c>
      <c r="Y8" s="27" t="s">
        <v>213</v>
      </c>
      <c r="Z8" s="27" t="s">
        <v>204</v>
      </c>
      <c r="AA8" s="27" t="s">
        <v>126</v>
      </c>
      <c r="AB8" s="27" t="s">
        <v>129</v>
      </c>
      <c r="AC8" s="27" t="s">
        <v>132</v>
      </c>
      <c r="AD8" s="27" t="s">
        <v>135</v>
      </c>
      <c r="AE8" s="27" t="s">
        <v>138</v>
      </c>
      <c r="AF8" s="27" t="s">
        <v>351</v>
      </c>
      <c r="AG8" s="23"/>
    </row>
    <row r="9" spans="1:33" outlineLevel="1" x14ac:dyDescent="0.3">
      <c r="A9" s="16" t="s">
        <v>490</v>
      </c>
      <c r="B9" s="27" t="s">
        <v>121</v>
      </c>
      <c r="C9" s="27" t="s">
        <v>164</v>
      </c>
      <c r="D9" s="27" t="s">
        <v>164</v>
      </c>
      <c r="E9" s="27" t="s">
        <v>160</v>
      </c>
      <c r="F9" s="27"/>
      <c r="G9" s="27" t="s">
        <v>180</v>
      </c>
      <c r="H9" s="27" t="s">
        <v>174</v>
      </c>
      <c r="I9" s="27" t="s">
        <v>183</v>
      </c>
      <c r="J9" s="27" t="s">
        <v>121</v>
      </c>
      <c r="K9" s="27" t="s">
        <v>127</v>
      </c>
      <c r="L9" s="27" t="s">
        <v>130</v>
      </c>
      <c r="M9" s="27" t="s">
        <v>133</v>
      </c>
      <c r="N9" s="27" t="s">
        <v>136</v>
      </c>
      <c r="O9" s="27" t="s">
        <v>139</v>
      </c>
      <c r="P9" s="27" t="s">
        <v>142</v>
      </c>
      <c r="Q9" s="27" t="s">
        <v>147</v>
      </c>
      <c r="R9" s="27" t="s">
        <v>150</v>
      </c>
      <c r="S9" s="27" t="s">
        <v>155</v>
      </c>
      <c r="T9" s="27" t="s">
        <v>160</v>
      </c>
      <c r="U9" s="27" t="s">
        <v>164</v>
      </c>
      <c r="V9" s="27" t="s">
        <v>169</v>
      </c>
      <c r="W9" s="27" t="s">
        <v>218</v>
      </c>
      <c r="X9" s="27" t="s">
        <v>209</v>
      </c>
      <c r="Y9" s="27" t="s">
        <v>214</v>
      </c>
      <c r="Z9" s="27" t="s">
        <v>205</v>
      </c>
      <c r="AA9" s="27" t="s">
        <v>127</v>
      </c>
      <c r="AB9" s="27" t="s">
        <v>130</v>
      </c>
      <c r="AC9" s="27" t="s">
        <v>133</v>
      </c>
      <c r="AD9" s="27" t="s">
        <v>136</v>
      </c>
      <c r="AE9" s="27" t="s">
        <v>139</v>
      </c>
      <c r="AF9" s="27" t="s">
        <v>352</v>
      </c>
      <c r="AG9" s="24"/>
    </row>
    <row r="10" spans="1:33" outlineLevel="1" x14ac:dyDescent="0.3">
      <c r="A10" s="16" t="s">
        <v>491</v>
      </c>
      <c r="B10" s="27" t="s">
        <v>224</v>
      </c>
      <c r="C10" s="27" t="s">
        <v>165</v>
      </c>
      <c r="D10" s="27" t="s">
        <v>200</v>
      </c>
      <c r="E10" s="27" t="s">
        <v>226</v>
      </c>
      <c r="F10" s="27"/>
      <c r="G10" s="27" t="s">
        <v>175</v>
      </c>
      <c r="H10" s="27" t="s">
        <v>175</v>
      </c>
      <c r="I10" s="27" t="s">
        <v>184</v>
      </c>
      <c r="J10" s="27" t="s">
        <v>122</v>
      </c>
      <c r="K10" s="27" t="s">
        <v>122</v>
      </c>
      <c r="L10" s="27" t="s">
        <v>122</v>
      </c>
      <c r="M10" s="27" t="s">
        <v>122</v>
      </c>
      <c r="N10" s="27" t="s">
        <v>122</v>
      </c>
      <c r="O10" s="27" t="s">
        <v>122</v>
      </c>
      <c r="P10" s="27" t="s">
        <v>143</v>
      </c>
      <c r="Q10" s="27" t="s">
        <v>143</v>
      </c>
      <c r="R10" s="27" t="s">
        <v>151</v>
      </c>
      <c r="S10" s="27" t="s">
        <v>156</v>
      </c>
      <c r="T10" s="27" t="s">
        <v>447</v>
      </c>
      <c r="U10" s="27" t="s">
        <v>165</v>
      </c>
      <c r="V10" s="27" t="s">
        <v>170</v>
      </c>
      <c r="W10" s="27" t="s">
        <v>219</v>
      </c>
      <c r="X10" s="27" t="s">
        <v>210</v>
      </c>
      <c r="Y10" s="27" t="s">
        <v>210</v>
      </c>
      <c r="Z10" s="27" t="s">
        <v>184</v>
      </c>
      <c r="AA10" s="27" t="s">
        <v>184</v>
      </c>
      <c r="AB10" s="27" t="s">
        <v>184</v>
      </c>
      <c r="AC10" s="27" t="s">
        <v>184</v>
      </c>
      <c r="AD10" s="27" t="s">
        <v>184</v>
      </c>
      <c r="AE10" s="27" t="s">
        <v>184</v>
      </c>
      <c r="AF10" s="27" t="s">
        <v>156</v>
      </c>
      <c r="AG10" s="23"/>
    </row>
    <row r="11" spans="1:33" ht="15.6" customHeight="1" outlineLevel="1" x14ac:dyDescent="0.3">
      <c r="A11" s="16" t="s">
        <v>492</v>
      </c>
      <c r="B11" s="27" t="s">
        <v>225</v>
      </c>
      <c r="C11" s="27" t="s">
        <v>166</v>
      </c>
      <c r="D11" s="27" t="s">
        <v>201</v>
      </c>
      <c r="E11" s="27" t="s">
        <v>227</v>
      </c>
      <c r="F11" s="27"/>
      <c r="G11" s="27" t="s">
        <v>176</v>
      </c>
      <c r="H11" s="27" t="s">
        <v>176</v>
      </c>
      <c r="I11" s="27" t="s">
        <v>185</v>
      </c>
      <c r="J11" s="27" t="s">
        <v>118</v>
      </c>
      <c r="K11" s="27" t="s">
        <v>118</v>
      </c>
      <c r="L11" s="27" t="s">
        <v>118</v>
      </c>
      <c r="M11" s="27" t="s">
        <v>118</v>
      </c>
      <c r="N11" s="27" t="s">
        <v>118</v>
      </c>
      <c r="O11" s="27" t="s">
        <v>118</v>
      </c>
      <c r="P11" s="27" t="s">
        <v>144</v>
      </c>
      <c r="Q11" s="27" t="s">
        <v>144</v>
      </c>
      <c r="R11" s="27" t="s">
        <v>152</v>
      </c>
      <c r="S11" s="27" t="s">
        <v>157</v>
      </c>
      <c r="T11" s="27" t="s">
        <v>448</v>
      </c>
      <c r="U11" s="27" t="s">
        <v>166</v>
      </c>
      <c r="V11" s="27" t="s">
        <v>171</v>
      </c>
      <c r="W11" s="27" t="s">
        <v>220</v>
      </c>
      <c r="X11" s="27" t="s">
        <v>211</v>
      </c>
      <c r="Y11" s="27" t="s">
        <v>211</v>
      </c>
      <c r="Z11" s="27" t="s">
        <v>185</v>
      </c>
      <c r="AA11" s="27" t="s">
        <v>185</v>
      </c>
      <c r="AB11" s="27" t="s">
        <v>185</v>
      </c>
      <c r="AC11" s="27" t="s">
        <v>185</v>
      </c>
      <c r="AD11" s="27" t="s">
        <v>185</v>
      </c>
      <c r="AE11" s="27" t="s">
        <v>185</v>
      </c>
      <c r="AF11" s="27" t="s">
        <v>157</v>
      </c>
      <c r="AG11" s="23"/>
    </row>
    <row r="12" spans="1:33" outlineLevel="1" x14ac:dyDescent="0.3">
      <c r="B12" s="4" t="str">
        <f>INDEX({"31/01/2024 @ 15:43","macro_id=DBGlobal","label_id=144396","time=Q","year_from=2000","year_to=2023","direction=V","opt_font=true","fontsize=8","opt_color=true","col_desc=Calculation:10;Footnote 1:9;ID:8;Label:7;Reporter:6:s;Reporter:5:long;Indicator:4:s;Indicator:3:l;Unit:2:s;Unit:1:long;","numberformat=0.00","auto_tr=1999|2015","com=true","comp=4"},1,1)</f>
        <v>31/01/2024 @ 15:43</v>
      </c>
      <c r="C12" s="4" t="str">
        <f>INDEX({"31/01/2024 @ 15:43","macro_id=DBGlobal","label_id=77811","time=Q","year_from=2000","year_to=2023","direction=V","opt_font=true","fontsize=8","opt_color=true","col_desc=Calculation:10;Footnote 1:9;ID:8;Label:7;Reporter:6:s;Reporter:5:long;Indicator:4:s;Indicator:3:l;Unit:2:s;Unit:1:long;","numberformat=0.00","auto_tr=1999|2015","com=true","comp=4"},1,1)</f>
        <v>31/01/2024 @ 15:43</v>
      </c>
      <c r="D12" s="6" t="str">
        <f>INDEX({"31/01/2024 @ 15:43","macro_id=DBGlobal","label_id=77812","calc=SubScal(L_77812,100)","time=Q","year_from=2000","year_to=2023","direction=V","opt_font=true","fontsize=8","opt_color=true","col_desc=Calculation:10;Footnote 1:9;ID:8;Label:7;Reporter:6:s;Reporter:5:long;Indicator:4:s;Indicator:3:l;Unit:2:s;Unit:1:long;","numberformat=0.00","auto_tr=1999|2015","com=true","comp=4"},1,1)</f>
        <v>31/01/2024 @ 15:43</v>
      </c>
      <c r="E12" s="4" t="str">
        <f>INDEX({"31/01/2024 @ 15:43","macro_id=DBGlobal","label_id=144399","time=Q","year_from=2000","year_to=2023","direction=V","opt_font=true","fontsize=8","opt_color=true","col_desc=Calculation:10;Footnote 1:9;ID:8;Label:7;Reporter:6:s;Reporter:5:long;Indicator:4:s;Indicator:3:l;Unit:2:s;Unit:1:long;","numberformat=0.00","auto_tr=1999|2015","com=true","comp=4"},1,1)</f>
        <v>31/01/2024 @ 15:43</v>
      </c>
      <c r="F12" s="4" t="str">
        <f>INDEX({"31/01/2024 @ 15:43","macro_id=DBGlobal","label_id=101874","time=Q","year_from=2000","year_to=2023","direction=V","opt_font=true","fontsize=8","opt_color=true","col_desc=Calculation:10;Footnote 1:9;ID:8;Label:7;Reporter:6:s;Reporter:5:long;Indicator:4:s;Indicator:3:l;Unit:2:s;Unit:1:long;","numberformat=0.00","auto_tr=1999|2015","com=true","comp=4"},1,1)</f>
        <v>31/01/2024 @ 15:43</v>
      </c>
      <c r="G12" s="5" t="str">
        <f>INDEX({"31/01/2024 @ 15:43","macro_id=DBGlobal","label_id=53383","calc=SubScal(CPPY=100(L_53383),100)","time=Q","year_from=2000","year_to=2023","direction=V","opt_font=true","fontsize=8","opt_color=true","col_desc=Calculation:10;Footnote 1:9;ID:8;Label:7;Reporter:6:s;Reporter:5:long;Indicator:4:s;Indicator:3:l;Unit:2:s;Unit:1:long;","numberformat=0.00","auto_tr=1999|2015","com=true","comp=4"},1,1)</f>
        <v>31/01/2024 @ 15:43</v>
      </c>
      <c r="H12" s="5" t="str">
        <f>INDEX({"31/01/2024 @ 15:43","macro_id=DBGlobal","label_id=53382","calc=SubScal(CPPY=100(L_53382),100)","time=Q","year_from=2000","year_to=2023","direction=V","opt_font=true","fontsize=8","opt_color=true","col_desc=Calculation:10;Footnote 1:9;ID:8;Label:7;Reporter:6:s;Reporter:5:long;Indicator:4:s;Indicator:3:l;Unit:2:s;Unit:1:long;","numberformat=0.00","auto_tr=1999|2015","com=true","comp=4"},1,1)</f>
        <v>31/01/2024 @ 15:43</v>
      </c>
      <c r="I12" s="1" t="str">
        <f>INDEX({"31/01/2024 @ 15:43","macro_id=DBGlobal","label_id=89223","time=Q","year_from=2000","year_to=2023","direction=V","opt_font=true","fontsize=8","opt_color=true","col_desc=Calculation:10;Footnote 1:9;ID:8;Label:7;Reporter:6:s;Reporter:5:long;Indicator:4:s;Indicator:3:l;Unit:2:s;Unit:1:long;","numberformat=0.00","auto_tr=1999|2015","com=true","comp=4"},1,1)</f>
        <v>31/01/2024 @ 15:43</v>
      </c>
      <c r="J12" s="5" t="str">
        <f>INDEX({"31/01/2024 @ 15:43","macro_id=DBGlobal","label_id=88660","calc=SubScal(CPPY=100(L_88660),100)","time=Q","year_from=2000","year_to=2023","direction=V","opt_font=true","fontsize=8","opt_color=true","col_desc=Calculation:10;Footnote 1:9;ID:8;Label:7;Reporter:6:s;Reporter:5:long;Indicator:4:s;Indicator:3:l;Unit:2:s;Unit:1:long;","numberformat=0.00","auto_tr=1999|2015","com=true","comp=4"},1,1)</f>
        <v>31/01/2024 @ 15:43</v>
      </c>
      <c r="K12" s="5" t="str">
        <f>INDEX({"31/01/2024 @ 15:43","macro_id=DBGlobal","label_id=90873","calc=SubScal(CPPY=100(L_90873),100)","time=Q","year_from=2000","year_to=2023","direction=V","opt_font=true","fontsize=8","opt_color=true","col_desc=Calculation:10;Footnote 1:9;ID:8;Label:7;Reporter:6:s;Reporter:5:long;Indicator:4:s;Indicator:3:l;Unit:2:s;Unit:1:long;","numberformat=0.00","auto_tr=1999|2015","com=true","comp=4"},1,1)</f>
        <v>31/01/2024 @ 15:43</v>
      </c>
      <c r="L12" s="5" t="str">
        <f>INDEX({"31/01/2024 @ 15:43","macro_id=DBGlobal","label_id=90917","calc=SubScal(CPPY=100(L_90917),100)","time=Q","year_from=2000","year_to=2023","direction=V","opt_font=true","fontsize=8","opt_color=true","col_desc=Calculation:10;Footnote 1:9;ID:8;Label:7;Reporter:6:s;Reporter:5:long;Indicator:4:s;Indicator:3:l;Unit:2:s;Unit:1:long;","numberformat=0.00","auto_tr=1999|2015","com=true","comp=4"},1,1)</f>
        <v>31/01/2024 @ 15:43</v>
      </c>
      <c r="M12" s="5" t="str">
        <f>INDEX({"31/01/2024 @ 15:43","macro_id=DBGlobal","label_id=90939","calc=SubScal(CPPY=100(L_90939),100)","time=Q","year_from=2000","year_to=2023","direction=V","opt_font=true","fontsize=8","opt_color=true","col_desc=Calculation:10;Footnote 1:9;ID:8;Label:7;Reporter:6:s;Reporter:5:long;Indicator:4:s;Indicator:3:l;Unit:2:s;Unit:1:long;","numberformat=0.00","auto_tr=1999|2015","com=true","comp=4"},1,1)</f>
        <v>31/01/2024 @ 15:43</v>
      </c>
      <c r="N12" s="5" t="str">
        <f>INDEX({"31/01/2024 @ 15:43","macro_id=DBGlobal","label_id=90983","calc=SubScal(CPPY=100(L_90983),100)","time=Q","year_from=2000","year_to=2023","direction=V","opt_font=true","fontsize=8","opt_color=true","col_desc=Calculation:10;Footnote 1:9;ID:8;Label:7;Reporter:6:s;Reporter:5:long;Indicator:4:s;Indicator:3:l;Unit:2:s;Unit:1:long;","numberformat=0.00","auto_tr=1999|2015","com=true","comp=4"},1,1)</f>
        <v>31/01/2024 @ 15:43</v>
      </c>
      <c r="O12" s="5" t="str">
        <f>INDEX({"31/01/2024 @ 15:43","macro_id=DBGlobal","label_id=91005","calc=SubScal(CPPY=100(L_91005),100)","time=Q","year_from=2000","year_to=2023","direction=V","opt_font=true","fontsize=8","opt_color=true","col_desc=Calculation:10;Footnote 1:9;ID:8;Label:7;Reporter:6:s;Reporter:5:long;Indicator:4:s;Indicator:3:l;Unit:2:s;Unit:1:long;","numberformat=0.00","auto_tr=1999|2015","com=true","comp=4"},1,1)</f>
        <v>31/01/2024 @ 15:43</v>
      </c>
      <c r="P12" s="1" t="str">
        <f>INDEX({"31/01/2024 @ 15:43","macro_id=DBGlobal","label_id=53372","time=Q","year_from=2000","year_to=2023","direction=V","opt_font=true","fontsize=8","opt_color=true","col_desc=Calculation:10;Footnote 1:9;ID:8;Label:7;Reporter:6:s;Reporter:5:long;Indicator:4:s;Indicator:3:l;Unit:2:s;Unit:1:long;","numberformat=0.00","auto_tr=1999|2015","com=true","comp=4"},1,1)</f>
        <v>31/01/2024 @ 15:43</v>
      </c>
      <c r="Q12" s="1" t="str">
        <f>INDEX({"31/01/2024 @ 15:43","macro_id=DBGlobal","label_id=53376","time=Q","year_from=2000","year_to=2023","direction=V","opt_font=true","fontsize=8","opt_color=true","col_desc=Calculation:10;Footnote 1:9;ID:8;Label:7;Reporter:6:s;Reporter:5:long;Indicator:4:s;Indicator:3:l;Unit:2:s;Unit:1:long;","numberformat=0.00","auto_tr=1999|2015","com=true","comp=4"},1,1)</f>
        <v>31/01/2024 @ 15:43</v>
      </c>
      <c r="R12" s="1" t="str">
        <f>INDEX({"31/01/2024 @ 15:43","macro_id=DBGlobal","label_id=53378","time=Q","year_from=2000","year_to=2023","direction=V","opt_font=true","fontsize=8","opt_color=true","col_desc=Calculation:10;Footnote 1:9;ID:8;Label:7;Reporter:6:s;Reporter:5:long;Indicator:4:s;Indicator:3:l;Unit:2:s;Unit:1:long;","numberformat=0.00","auto_tr=1999|2015","com=true","comp=4"},1,1)</f>
        <v>31/01/2024 @ 15:43</v>
      </c>
      <c r="S12" s="5" t="str">
        <f>INDEX({"31/01/2024 @ 15:43","macro_id=DBGlobal","label_id=321","calc=SubScal(L_321,100)","time=Q","year_from=2000","year_to=2023","direction=V","opt_font=true","fontsize=8","opt_color=true","col_desc=Calculation:10;Footnote 1:9;ID:8;Label:7;Reporter:6:s;Reporter:5:long;Indicator:4:s;Indicator:3:l;Unit:2:s;Unit:1:long;","numberformat=0.00","auto_tr=1999|2015","com=true","comp=4"},1,1)</f>
        <v>31/01/2024 @ 15:43</v>
      </c>
      <c r="T12" s="1" t="str">
        <f>INDEX({"31/01/2024 @ 15:43","macro_id=DBGlobal","label_id=55352","time=Q","year_from=2000","year_to=2023","direction=V","opt_font=true","fontsize=8","opt_color=true","col_desc=Calculation:10;Footnote 1:9;ID:8;Label:7;Reporter:6:s;Reporter:5:long;Indicator:4:s;Indicator:3:l;Unit:2:s;Unit:1:long;","numberformat=0.00","auto_tr=1999|2015","com=true","comp=4"},1,1)</f>
        <v>31/01/2024 @ 15:43</v>
      </c>
      <c r="U12" s="4" t="str">
        <f>INDEX({"31/01/2024 @ 15:43","macro_id=DBGlobal","label_id=101896","time=Q","year_from=2000","year_to=2023","direction=V","opt_font=true","fontsize=8","opt_color=true","col_desc=Calculation:10;Footnote 1:9;ID:8;Label:7;Reporter:6:s;Reporter:5:long;Indicator:4:s;Indicator:3:l;Unit:2:s;Unit:1:long;","numberformat=0.00","auto_tr=1999|2015","com=true","comp=4"},1,1)</f>
        <v>31/01/2024 @ 15:43</v>
      </c>
      <c r="V12" s="4" t="str">
        <f>INDEX({"31/01/2024 @ 15:43","macro_id=DBGlobal","label_id=1945","time=Q","year_from=2000","year_to=2023","direction=V","opt_font=true","fontsize=8","opt_color=true","col_desc=Calculation:10;Footnote 1:9;ID:8;Label:7;Reporter:6:s;Reporter:5:long;Indicator:4:s;Indicator:3:l;Unit:2:s;Unit:1:long;","numberformat=0.00","auto_tr=1999|2015","com=true","comp=4"},1,1)</f>
        <v>31/01/2024 @ 15:43</v>
      </c>
      <c r="W12" s="5" t="str">
        <f>INDEX({"31/01/2024 @ 15:43","macro_id=DBGlobal","label_id=70535","calc=SubScal(L_70535,100)","time=Q","year_from=2000","year_to=2023","direction=V","opt_font=true","fontsize=8","opt_color=true","col_desc=Calculation:10;Footnote 1:9;ID:8;Label:7;Reporter:6:s;Reporter:5:long;Indicator:4:s;Indicator:3:l;Unit:2:s;Unit:1:long;","numberformat=0.00","auto_tr=1999|2015","com=true","comp=4"},1,1)</f>
        <v>31/01/2024 @ 15:43</v>
      </c>
      <c r="X12" s="6" t="str">
        <f>INDEX({"31/01/2024 @ 15:43","macro_id=DBGlobal","label_id=87269","calc=SubScal(CPPY=100(AddNull(L_87269,L_87343)),100)","time=Q","year_from=2000","year_to=2023","direction=V","opt_font=true","fontsize=8","opt_color=true","col_desc=Calculation:10;Footnote 1:9;ID:8;Label:7;Reporter:6:s;Reporter:5:long;Indicator:4:s;Indicator:3:l;Unit:2:s;Unit:1:long;","numberformat=0.00","auto_tr=1999|2015","com=true","comp=4"},1,1)</f>
        <v>31/01/2024 @ 15:43</v>
      </c>
      <c r="Y12" s="6" t="str">
        <f>INDEX({"31/01/2024 @ 15:43","macro_id=DBGlobal","label_id=87306","calc=SubScal(CPPY=100(AddNull(L_87306,L_87380)),100)","time=Q","year_from=2000","year_to=2023","direction=V","opt_font=true","fontsize=8","opt_color=true","col_desc=Calculation:10;Footnote 1:9;ID:8;Label:7;Reporter:6:s;Reporter:5:long;Indicator:4:s;Indicator:3:l;Unit:2:s;Unit:1:long;","numberformat=0.00","auto_tr=1999|2015","com=true","comp=4"},1,1)</f>
        <v>31/01/2024 @ 15:43</v>
      </c>
      <c r="Z12" s="1" t="str">
        <f>INDEX({"31/01/2024 @ 15:43","macro_id=DBGlobal","label_id=88740","time=Q","year_from=2000","year_to=2023","direction=V","opt_font=true","fontsize=8","opt_color=true","col_desc=Calculation:10;Footnote 1:9;ID:8;Label:7;Reporter:6:s;Reporter:5:long;Indicator:4:s;Indicator:3:l;Unit:2:s;Unit:1:long;","numberformat=0.00","auto_tr=1999|2015","com=true","comp=4"},1,1)</f>
        <v>31/01/2024 @ 15:43</v>
      </c>
      <c r="AA12" s="1" t="str">
        <f>INDEX({"31/01/2024 @ 15:43","macro_id=DBGlobal","label_id=90345","time=Q","year_from=2000","year_to=2023","direction=V","opt_font=true","fontsize=8","opt_color=true","col_desc=Calculation:10;Footnote 1:9;ID:8;Label:7;Reporter:6:s;Reporter:5:long;Indicator:4:s;Indicator:3:l;Unit:2:s;Unit:1:long;","numberformat=0.00","auto_tr=1999|2015","com=true","comp=4"},1,1)</f>
        <v>31/01/2024 @ 15:43</v>
      </c>
      <c r="AB12" s="1" t="str">
        <f>INDEX({"31/01/2024 @ 15:43","macro_id=DBGlobal","label_id=90389","time=Q","year_from=2000","year_to=2023","direction=V","opt_font=true","fontsize=8","opt_color=true","col_desc=Calculation:10;Footnote 1:9;ID:8;Label:7;Reporter:6:s;Reporter:5:long;Indicator:4:s;Indicator:3:l;Unit:2:s;Unit:1:long;","numberformat=0.00","auto_tr=1999|2015","com=true","comp=4"},1,1)</f>
        <v>31/01/2024 @ 15:43</v>
      </c>
      <c r="AC12" s="1" t="str">
        <f>INDEX({"31/01/2024 @ 15:43","macro_id=DBGlobal","label_id=90411","time=Q","year_from=2000","year_to=2023","direction=V","opt_font=true","fontsize=8","opt_color=true","col_desc=Calculation:10;Footnote 1:9;ID:8;Label:7;Reporter:6:s;Reporter:5:long;Indicator:4:s;Indicator:3:l;Unit:2:s;Unit:1:long;","numberformat=0.00","auto_tr=1999|2015","com=true","comp=4"},1,1)</f>
        <v>31/01/2024 @ 15:43</v>
      </c>
      <c r="AD12" s="1" t="str">
        <f>INDEX({"31/01/2024 @ 15:43","macro_id=DBGlobal","label_id=90499","time=Q","year_from=2000","year_to=2023","direction=V","opt_font=true","fontsize=8","opt_color=true","col_desc=Calculation:10;Footnote 1:9;ID:8;Label:7;Reporter:6:s;Reporter:5:long;Indicator:4:s;Indicator:3:l;Unit:2:s;Unit:1:long;","numberformat=0.00","auto_tr=1999|2015","com=true","comp=4"},1,1)</f>
        <v>31/01/2024 @ 15:43</v>
      </c>
      <c r="AE12" s="1" t="str">
        <f>INDEX({"31/01/2024 @ 15:43","macro_id=DBGlobal","label_id=90521","time=Q","year_from=2000","year_to=2023","direction=V","opt_font=true","fontsize=8","opt_color=true","col_desc=Calculation:10;Footnote 1:9;ID:8;Label:7;Reporter:6:s;Reporter:5:long;Indicator:4:s;Indicator:3:l;Unit:2:s;Unit:1:long;","numberformat=0.00","auto_tr=1999|2015","com=true","comp=4"},1,1)</f>
        <v>31/01/2024 @ 15:43</v>
      </c>
      <c r="AF12" s="5" t="str">
        <f>INDEX({"31/01/2024 @ 15:43","macro_id=DBGlobal","label_id=89619","calc=SubScal(L_89619,100)","time=Q","year_from=2000","year_to=2023","direction=V","opt_font=true","fontsize=8","opt_color=true","col_desc=Calculation:10;Footnote 1:9;ID:8;Label:7;Reporter:6:s;Reporter:5:long;Indicator:4:s;Indicator:3:l;Unit:2:s;Unit:1:long;","numberformat=0.00","auto_tr=1999|2015","com=true","comp=4"},1,1)</f>
        <v>31/01/2024 @ 15:43</v>
      </c>
      <c r="AG12" s="25" t="str">
        <f>INDEX({"31/01/2024 @ 15:43","macro_id=DBGlobal","label_id=mebgdtpx_help_q&gt;mdb-h","time=Q","year_from=2000","year_to=2023","direction=V","opt_font=true","fontsize=8","opt_color=true","col_desc=Calculation:10;Footnote 1:9;ID:8;Label:7;Reporter:6:s;Reporter:5:long;Indicator:4:s;Indicator:3:l;Unit:2:s;Unit:1:long;","numberformat=0.00","auto_tr=1999|2015","com=true","comp=4"},1,1)</f>
        <v>31/01/2024 @ 15:43</v>
      </c>
    </row>
    <row r="13" spans="1:33" s="11" customFormat="1" x14ac:dyDescent="0.3">
      <c r="A13" s="11" t="s">
        <v>19</v>
      </c>
      <c r="B13" s="12">
        <v>4.8214176000000002</v>
      </c>
      <c r="C13" s="12">
        <v>73.989999999999995</v>
      </c>
      <c r="D13" s="12">
        <v>1.7557532</v>
      </c>
      <c r="E13" s="12">
        <v>3.25</v>
      </c>
      <c r="F13" s="13">
        <v>26.926666699999998</v>
      </c>
      <c r="G13" s="7" t="s">
        <v>107</v>
      </c>
      <c r="H13" s="7" t="s">
        <v>107</v>
      </c>
      <c r="I13" s="7" t="s">
        <v>107</v>
      </c>
      <c r="J13" s="7" t="s">
        <v>107</v>
      </c>
      <c r="K13" s="7" t="s">
        <v>107</v>
      </c>
      <c r="L13" s="7" t="s">
        <v>107</v>
      </c>
      <c r="M13" s="7" t="s">
        <v>107</v>
      </c>
      <c r="N13" s="7" t="s">
        <v>107</v>
      </c>
      <c r="O13" s="7" t="s">
        <v>107</v>
      </c>
      <c r="P13" s="7" t="s">
        <v>107</v>
      </c>
      <c r="Q13" s="7" t="s">
        <v>107</v>
      </c>
      <c r="R13" s="7" t="s">
        <v>107</v>
      </c>
      <c r="S13" s="7" t="s">
        <v>107</v>
      </c>
      <c r="T13" s="7" t="s">
        <v>107</v>
      </c>
      <c r="U13" s="7" t="s">
        <v>107</v>
      </c>
      <c r="V13" s="7" t="s">
        <v>107</v>
      </c>
      <c r="W13" s="7" t="s">
        <v>107</v>
      </c>
      <c r="X13" s="7" t="s">
        <v>107</v>
      </c>
      <c r="Y13" s="7" t="s">
        <v>107</v>
      </c>
      <c r="Z13" s="7" t="s">
        <v>107</v>
      </c>
      <c r="AA13" s="7" t="s">
        <v>107</v>
      </c>
      <c r="AB13" s="7" t="s">
        <v>107</v>
      </c>
      <c r="AC13" s="7" t="s">
        <v>107</v>
      </c>
      <c r="AD13" s="7" t="s">
        <v>107</v>
      </c>
      <c r="AE13" s="7" t="s">
        <v>107</v>
      </c>
      <c r="AF13" s="7" t="s">
        <v>107</v>
      </c>
      <c r="AG13" s="22" t="s">
        <v>107</v>
      </c>
    </row>
    <row r="14" spans="1:33" s="11" customFormat="1" hidden="1" outlineLevel="1" x14ac:dyDescent="0.3">
      <c r="A14" s="11" t="s">
        <v>20</v>
      </c>
      <c r="B14" s="12">
        <v>4.3154814000000004</v>
      </c>
      <c r="C14" s="12">
        <v>74.493333300000003</v>
      </c>
      <c r="D14" s="12">
        <v>1.6742492</v>
      </c>
      <c r="E14" s="12">
        <v>3.9166666999999999</v>
      </c>
      <c r="F14" s="13">
        <v>26.766666699999998</v>
      </c>
      <c r="G14" s="7" t="s">
        <v>107</v>
      </c>
      <c r="H14" s="7" t="s">
        <v>107</v>
      </c>
      <c r="I14" s="7" t="s">
        <v>107</v>
      </c>
      <c r="J14" s="7" t="s">
        <v>107</v>
      </c>
      <c r="K14" s="7" t="s">
        <v>107</v>
      </c>
      <c r="L14" s="7" t="s">
        <v>107</v>
      </c>
      <c r="M14" s="7" t="s">
        <v>107</v>
      </c>
      <c r="N14" s="7" t="s">
        <v>107</v>
      </c>
      <c r="O14" s="7" t="s">
        <v>107</v>
      </c>
      <c r="P14" s="7" t="s">
        <v>107</v>
      </c>
      <c r="Q14" s="7" t="s">
        <v>107</v>
      </c>
      <c r="R14" s="7" t="s">
        <v>107</v>
      </c>
      <c r="S14" s="7" t="s">
        <v>107</v>
      </c>
      <c r="T14" s="7" t="s">
        <v>107</v>
      </c>
      <c r="U14" s="7" t="s">
        <v>107</v>
      </c>
      <c r="V14" s="7" t="s">
        <v>107</v>
      </c>
      <c r="W14" s="7" t="s">
        <v>107</v>
      </c>
      <c r="X14" s="7" t="s">
        <v>107</v>
      </c>
      <c r="Y14" s="7" t="s">
        <v>107</v>
      </c>
      <c r="Z14" s="7" t="s">
        <v>107</v>
      </c>
      <c r="AA14" s="7" t="s">
        <v>107</v>
      </c>
      <c r="AB14" s="7" t="s">
        <v>107</v>
      </c>
      <c r="AC14" s="7" t="s">
        <v>107</v>
      </c>
      <c r="AD14" s="7" t="s">
        <v>107</v>
      </c>
      <c r="AE14" s="7" t="s">
        <v>107</v>
      </c>
      <c r="AF14" s="7" t="s">
        <v>107</v>
      </c>
      <c r="AG14" s="22" t="s">
        <v>107</v>
      </c>
    </row>
    <row r="15" spans="1:33" s="11" customFormat="1" hidden="1" outlineLevel="1" x14ac:dyDescent="0.3">
      <c r="A15" s="11" t="s">
        <v>21</v>
      </c>
      <c r="B15" s="12">
        <v>3.5071058000000002</v>
      </c>
      <c r="C15" s="12">
        <v>74.819999999999993</v>
      </c>
      <c r="D15" s="12">
        <v>1.9670194000000001</v>
      </c>
      <c r="E15" s="17">
        <v>4.3333332999999996</v>
      </c>
      <c r="F15" s="13">
        <v>30.673333299999999</v>
      </c>
      <c r="G15" s="7" t="s">
        <v>107</v>
      </c>
      <c r="H15" s="7" t="s">
        <v>107</v>
      </c>
      <c r="I15" s="7" t="s">
        <v>107</v>
      </c>
      <c r="J15" s="7" t="s">
        <v>107</v>
      </c>
      <c r="K15" s="7" t="s">
        <v>107</v>
      </c>
      <c r="L15" s="7" t="s">
        <v>107</v>
      </c>
      <c r="M15" s="7" t="s">
        <v>107</v>
      </c>
      <c r="N15" s="7" t="s">
        <v>107</v>
      </c>
      <c r="O15" s="7" t="s">
        <v>107</v>
      </c>
      <c r="P15" s="7" t="s">
        <v>107</v>
      </c>
      <c r="Q15" s="7" t="s">
        <v>107</v>
      </c>
      <c r="R15" s="7" t="s">
        <v>107</v>
      </c>
      <c r="S15" s="7" t="s">
        <v>107</v>
      </c>
      <c r="T15" s="7" t="s">
        <v>107</v>
      </c>
      <c r="U15" s="7" t="s">
        <v>107</v>
      </c>
      <c r="V15" s="7" t="s">
        <v>107</v>
      </c>
      <c r="W15" s="7" t="s">
        <v>107</v>
      </c>
      <c r="X15" s="7" t="s">
        <v>107</v>
      </c>
      <c r="Y15" s="7" t="s">
        <v>107</v>
      </c>
      <c r="Z15" s="7" t="s">
        <v>107</v>
      </c>
      <c r="AA15" s="7" t="s">
        <v>107</v>
      </c>
      <c r="AB15" s="7" t="s">
        <v>107</v>
      </c>
      <c r="AC15" s="7" t="s">
        <v>107</v>
      </c>
      <c r="AD15" s="7" t="s">
        <v>107</v>
      </c>
      <c r="AE15" s="7" t="s">
        <v>107</v>
      </c>
      <c r="AF15" s="7" t="s">
        <v>107</v>
      </c>
      <c r="AG15" s="22" t="s">
        <v>107</v>
      </c>
    </row>
    <row r="16" spans="1:33" s="11" customFormat="1" hidden="1" outlineLevel="1" x14ac:dyDescent="0.3">
      <c r="A16" s="11" t="s">
        <v>22</v>
      </c>
      <c r="B16" s="12">
        <v>2.8994336000000001</v>
      </c>
      <c r="C16" s="12">
        <v>75.3</v>
      </c>
      <c r="D16" s="12">
        <v>2.2218200000000001</v>
      </c>
      <c r="E16" s="17">
        <v>4.75</v>
      </c>
      <c r="F16" s="13">
        <v>29.7233333</v>
      </c>
      <c r="G16" s="7" t="s">
        <v>107</v>
      </c>
      <c r="H16" s="7" t="s">
        <v>107</v>
      </c>
      <c r="I16" s="7" t="s">
        <v>107</v>
      </c>
      <c r="J16" s="7" t="s">
        <v>107</v>
      </c>
      <c r="K16" s="7" t="s">
        <v>107</v>
      </c>
      <c r="L16" s="7" t="s">
        <v>107</v>
      </c>
      <c r="M16" s="7" t="s">
        <v>107</v>
      </c>
      <c r="N16" s="7" t="s">
        <v>107</v>
      </c>
      <c r="O16" s="7" t="s">
        <v>107</v>
      </c>
      <c r="P16" s="7" t="s">
        <v>107</v>
      </c>
      <c r="Q16" s="7" t="s">
        <v>107</v>
      </c>
      <c r="R16" s="7" t="s">
        <v>107</v>
      </c>
      <c r="S16" s="7" t="s">
        <v>107</v>
      </c>
      <c r="T16" s="7" t="s">
        <v>107</v>
      </c>
      <c r="U16" s="7" t="s">
        <v>107</v>
      </c>
      <c r="V16" s="7" t="s">
        <v>107</v>
      </c>
      <c r="W16" s="7" t="s">
        <v>107</v>
      </c>
      <c r="X16" s="7" t="s">
        <v>107</v>
      </c>
      <c r="Y16" s="7" t="s">
        <v>107</v>
      </c>
      <c r="Z16" s="7" t="s">
        <v>107</v>
      </c>
      <c r="AA16" s="7" t="s">
        <v>107</v>
      </c>
      <c r="AB16" s="7" t="s">
        <v>107</v>
      </c>
      <c r="AC16" s="7" t="s">
        <v>107</v>
      </c>
      <c r="AD16" s="7" t="s">
        <v>107</v>
      </c>
      <c r="AE16" s="7" t="s">
        <v>107</v>
      </c>
      <c r="AF16" s="7" t="s">
        <v>107</v>
      </c>
      <c r="AG16" s="22" t="s">
        <v>107</v>
      </c>
    </row>
    <row r="17" spans="1:33" s="11" customFormat="1" hidden="1" outlineLevel="1" x14ac:dyDescent="0.3">
      <c r="A17" s="11" t="s">
        <v>23</v>
      </c>
      <c r="B17" s="12">
        <v>3.0047543999999999</v>
      </c>
      <c r="C17" s="12">
        <v>75.393333299999995</v>
      </c>
      <c r="D17" s="12">
        <v>1.8966527</v>
      </c>
      <c r="E17" s="17">
        <v>4.75</v>
      </c>
      <c r="F17" s="13">
        <v>25.873333299999999</v>
      </c>
      <c r="G17" s="7" t="s">
        <v>107</v>
      </c>
      <c r="H17" s="7" t="s">
        <v>107</v>
      </c>
      <c r="I17" s="7" t="s">
        <v>107</v>
      </c>
      <c r="J17" s="7" t="s">
        <v>107</v>
      </c>
      <c r="K17" s="7" t="s">
        <v>107</v>
      </c>
      <c r="L17" s="7" t="s">
        <v>107</v>
      </c>
      <c r="M17" s="7" t="s">
        <v>107</v>
      </c>
      <c r="N17" s="7" t="s">
        <v>107</v>
      </c>
      <c r="O17" s="7" t="s">
        <v>107</v>
      </c>
      <c r="P17" s="7" t="s">
        <v>107</v>
      </c>
      <c r="Q17" s="7" t="s">
        <v>107</v>
      </c>
      <c r="R17" s="7" t="s">
        <v>107</v>
      </c>
      <c r="S17" s="7" t="s">
        <v>107</v>
      </c>
      <c r="T17" s="7" t="s">
        <v>107</v>
      </c>
      <c r="U17" s="12">
        <v>52.097077499999997</v>
      </c>
      <c r="V17" s="12">
        <v>1</v>
      </c>
      <c r="W17" s="12">
        <v>3.3801351999999998</v>
      </c>
      <c r="X17" s="7" t="s">
        <v>107</v>
      </c>
      <c r="Y17" s="7" t="s">
        <v>107</v>
      </c>
      <c r="Z17" s="7" t="s">
        <v>107</v>
      </c>
      <c r="AA17" s="7" t="s">
        <v>107</v>
      </c>
      <c r="AB17" s="7" t="s">
        <v>107</v>
      </c>
      <c r="AC17" s="7" t="s">
        <v>107</v>
      </c>
      <c r="AD17" s="7" t="s">
        <v>107</v>
      </c>
      <c r="AE17" s="7" t="s">
        <v>107</v>
      </c>
      <c r="AF17" s="7" t="s">
        <v>107</v>
      </c>
      <c r="AG17" s="22" t="s">
        <v>107</v>
      </c>
    </row>
    <row r="18" spans="1:33" s="11" customFormat="1" hidden="1" outlineLevel="1" x14ac:dyDescent="0.3">
      <c r="A18" s="11" t="s">
        <v>24</v>
      </c>
      <c r="B18" s="12">
        <v>2.2522867999999998</v>
      </c>
      <c r="C18" s="12">
        <v>76.483333299999998</v>
      </c>
      <c r="D18" s="12">
        <v>2.6713800000000001</v>
      </c>
      <c r="E18" s="17">
        <v>4.5833332999999996</v>
      </c>
      <c r="F18" s="13">
        <v>27.273333300000001</v>
      </c>
      <c r="G18" s="7" t="s">
        <v>107</v>
      </c>
      <c r="H18" s="7" t="s">
        <v>107</v>
      </c>
      <c r="I18" s="7" t="s">
        <v>107</v>
      </c>
      <c r="J18" s="7" t="s">
        <v>107</v>
      </c>
      <c r="K18" s="7" t="s">
        <v>107</v>
      </c>
      <c r="L18" s="7" t="s">
        <v>107</v>
      </c>
      <c r="M18" s="7" t="s">
        <v>107</v>
      </c>
      <c r="N18" s="7" t="s">
        <v>107</v>
      </c>
      <c r="O18" s="7" t="s">
        <v>107</v>
      </c>
      <c r="P18" s="7" t="s">
        <v>107</v>
      </c>
      <c r="Q18" s="7" t="s">
        <v>107</v>
      </c>
      <c r="R18" s="7" t="s">
        <v>107</v>
      </c>
      <c r="S18" s="7" t="s">
        <v>107</v>
      </c>
      <c r="T18" s="7" t="s">
        <v>107</v>
      </c>
      <c r="U18" s="12">
        <v>54.229991499999997</v>
      </c>
      <c r="V18" s="12">
        <v>1</v>
      </c>
      <c r="W18" s="12">
        <v>1.9635343999999999</v>
      </c>
      <c r="X18" s="7" t="s">
        <v>107</v>
      </c>
      <c r="Y18" s="7" t="s">
        <v>107</v>
      </c>
      <c r="Z18" s="7" t="s">
        <v>107</v>
      </c>
      <c r="AA18" s="7" t="s">
        <v>107</v>
      </c>
      <c r="AB18" s="7" t="s">
        <v>107</v>
      </c>
      <c r="AC18" s="7" t="s">
        <v>107</v>
      </c>
      <c r="AD18" s="7" t="s">
        <v>107</v>
      </c>
      <c r="AE18" s="7" t="s">
        <v>107</v>
      </c>
      <c r="AF18" s="7" t="s">
        <v>107</v>
      </c>
      <c r="AG18" s="22" t="s">
        <v>107</v>
      </c>
    </row>
    <row r="19" spans="1:33" s="11" customFormat="1" hidden="1" outlineLevel="1" x14ac:dyDescent="0.3">
      <c r="A19" s="11" t="s">
        <v>25</v>
      </c>
      <c r="B19" s="12">
        <v>1.8991327</v>
      </c>
      <c r="C19" s="12">
        <v>76.516666700000002</v>
      </c>
      <c r="D19" s="12">
        <v>2.2676647000000001</v>
      </c>
      <c r="E19" s="17">
        <v>4.1666667000000004</v>
      </c>
      <c r="F19" s="13">
        <v>25.303333299999998</v>
      </c>
      <c r="G19" s="7" t="s">
        <v>107</v>
      </c>
      <c r="H19" s="7" t="s">
        <v>107</v>
      </c>
      <c r="I19" s="7" t="s">
        <v>107</v>
      </c>
      <c r="J19" s="7" t="s">
        <v>107</v>
      </c>
      <c r="K19" s="7" t="s">
        <v>107</v>
      </c>
      <c r="L19" s="7" t="s">
        <v>107</v>
      </c>
      <c r="M19" s="7" t="s">
        <v>107</v>
      </c>
      <c r="N19" s="7" t="s">
        <v>107</v>
      </c>
      <c r="O19" s="7" t="s">
        <v>107</v>
      </c>
      <c r="P19" s="7" t="s">
        <v>107</v>
      </c>
      <c r="Q19" s="7" t="s">
        <v>107</v>
      </c>
      <c r="R19" s="7" t="s">
        <v>107</v>
      </c>
      <c r="S19" s="7" t="s">
        <v>107</v>
      </c>
      <c r="T19" s="7" t="s">
        <v>107</v>
      </c>
      <c r="U19" s="12">
        <v>57.104862900000001</v>
      </c>
      <c r="V19" s="12">
        <v>1</v>
      </c>
      <c r="W19" s="12">
        <v>-5.3854875</v>
      </c>
      <c r="X19" s="7" t="s">
        <v>107</v>
      </c>
      <c r="Y19" s="7" t="s">
        <v>107</v>
      </c>
      <c r="Z19" s="7" t="s">
        <v>107</v>
      </c>
      <c r="AA19" s="7" t="s">
        <v>107</v>
      </c>
      <c r="AB19" s="7" t="s">
        <v>107</v>
      </c>
      <c r="AC19" s="7" t="s">
        <v>107</v>
      </c>
      <c r="AD19" s="7" t="s">
        <v>107</v>
      </c>
      <c r="AE19" s="7" t="s">
        <v>107</v>
      </c>
      <c r="AF19" s="7" t="s">
        <v>107</v>
      </c>
      <c r="AG19" s="22" t="s">
        <v>107</v>
      </c>
    </row>
    <row r="20" spans="1:33" s="11" customFormat="1" hidden="1" outlineLevel="1" x14ac:dyDescent="0.3">
      <c r="A20" s="11" t="s">
        <v>26</v>
      </c>
      <c r="B20" s="12">
        <v>1.4300580000000001</v>
      </c>
      <c r="C20" s="12">
        <v>76.746666700000006</v>
      </c>
      <c r="D20" s="12">
        <v>1.9212041</v>
      </c>
      <c r="E20" s="17">
        <v>3.4166666999999999</v>
      </c>
      <c r="F20" s="13">
        <v>19.350000000000001</v>
      </c>
      <c r="G20" s="7" t="s">
        <v>107</v>
      </c>
      <c r="H20" s="7" t="s">
        <v>107</v>
      </c>
      <c r="I20" s="7" t="s">
        <v>107</v>
      </c>
      <c r="J20" s="7" t="s">
        <v>107</v>
      </c>
      <c r="K20" s="7" t="s">
        <v>107</v>
      </c>
      <c r="L20" s="7" t="s">
        <v>107</v>
      </c>
      <c r="M20" s="7" t="s">
        <v>107</v>
      </c>
      <c r="N20" s="7" t="s">
        <v>107</v>
      </c>
      <c r="O20" s="7" t="s">
        <v>107</v>
      </c>
      <c r="P20" s="7" t="s">
        <v>107</v>
      </c>
      <c r="Q20" s="7" t="s">
        <v>107</v>
      </c>
      <c r="R20" s="7" t="s">
        <v>107</v>
      </c>
      <c r="S20" s="7" t="s">
        <v>107</v>
      </c>
      <c r="T20" s="7" t="s">
        <v>107</v>
      </c>
      <c r="U20" s="12">
        <v>60.340201299999997</v>
      </c>
      <c r="V20" s="12">
        <v>1</v>
      </c>
      <c r="W20" s="12">
        <v>-2.3727985</v>
      </c>
      <c r="X20" s="7" t="s">
        <v>107</v>
      </c>
      <c r="Y20" s="7" t="s">
        <v>107</v>
      </c>
      <c r="Z20" s="7" t="s">
        <v>107</v>
      </c>
      <c r="AA20" s="7" t="s">
        <v>107</v>
      </c>
      <c r="AB20" s="7" t="s">
        <v>107</v>
      </c>
      <c r="AC20" s="7" t="s">
        <v>107</v>
      </c>
      <c r="AD20" s="7" t="s">
        <v>107</v>
      </c>
      <c r="AE20" s="7" t="s">
        <v>107</v>
      </c>
      <c r="AF20" s="7" t="s">
        <v>107</v>
      </c>
      <c r="AG20" s="22" t="s">
        <v>107</v>
      </c>
    </row>
    <row r="21" spans="1:33" s="11" customFormat="1" hidden="1" outlineLevel="1" x14ac:dyDescent="0.3">
      <c r="A21" s="11" t="s">
        <v>27</v>
      </c>
      <c r="B21" s="12">
        <v>7.1740499999999999E-2</v>
      </c>
      <c r="C21" s="12">
        <v>77.180000000000007</v>
      </c>
      <c r="D21" s="12">
        <v>2.3697940000000002</v>
      </c>
      <c r="E21" s="17">
        <v>3.25</v>
      </c>
      <c r="F21" s="13">
        <v>21.1333333</v>
      </c>
      <c r="G21" s="7" t="s">
        <v>107</v>
      </c>
      <c r="H21" s="7" t="s">
        <v>107</v>
      </c>
      <c r="I21" s="7" t="s">
        <v>107</v>
      </c>
      <c r="J21" s="7" t="s">
        <v>107</v>
      </c>
      <c r="K21" s="7" t="s">
        <v>107</v>
      </c>
      <c r="L21" s="7" t="s">
        <v>107</v>
      </c>
      <c r="M21" s="7" t="s">
        <v>107</v>
      </c>
      <c r="N21" s="7" t="s">
        <v>107</v>
      </c>
      <c r="O21" s="7" t="s">
        <v>107</v>
      </c>
      <c r="P21" s="7" t="s">
        <v>107</v>
      </c>
      <c r="Q21" s="7" t="s">
        <v>107</v>
      </c>
      <c r="R21" s="7" t="s">
        <v>107</v>
      </c>
      <c r="S21" s="7" t="s">
        <v>107</v>
      </c>
      <c r="T21" s="7" t="s">
        <v>107</v>
      </c>
      <c r="U21" s="12">
        <v>63.612589200000002</v>
      </c>
      <c r="V21" s="12">
        <v>1</v>
      </c>
      <c r="W21" s="12">
        <v>-15.543259600000001</v>
      </c>
      <c r="X21" s="7" t="s">
        <v>107</v>
      </c>
      <c r="Y21" s="7" t="s">
        <v>107</v>
      </c>
      <c r="Z21" s="7" t="s">
        <v>107</v>
      </c>
      <c r="AA21" s="7" t="s">
        <v>107</v>
      </c>
      <c r="AB21" s="7" t="s">
        <v>107</v>
      </c>
      <c r="AC21" s="7" t="s">
        <v>107</v>
      </c>
      <c r="AD21" s="7" t="s">
        <v>107</v>
      </c>
      <c r="AE21" s="7" t="s">
        <v>107</v>
      </c>
      <c r="AF21" s="7" t="s">
        <v>107</v>
      </c>
      <c r="AG21" s="22" t="s">
        <v>107</v>
      </c>
    </row>
    <row r="22" spans="1:33" s="11" customFormat="1" hidden="1" outlineLevel="1" x14ac:dyDescent="0.3">
      <c r="A22" s="11" t="s">
        <v>28</v>
      </c>
      <c r="B22" s="12">
        <v>1.2490021</v>
      </c>
      <c r="C22" s="12">
        <v>77.933333300000001</v>
      </c>
      <c r="D22" s="12">
        <v>1.8958379000000001</v>
      </c>
      <c r="E22" s="17">
        <v>3.25</v>
      </c>
      <c r="F22" s="13">
        <v>25.053333299999998</v>
      </c>
      <c r="G22" s="7" t="s">
        <v>107</v>
      </c>
      <c r="H22" s="7" t="s">
        <v>107</v>
      </c>
      <c r="I22" s="7" t="s">
        <v>107</v>
      </c>
      <c r="J22" s="7" t="s">
        <v>107</v>
      </c>
      <c r="K22" s="7" t="s">
        <v>107</v>
      </c>
      <c r="L22" s="7" t="s">
        <v>107</v>
      </c>
      <c r="M22" s="7" t="s">
        <v>107</v>
      </c>
      <c r="N22" s="7" t="s">
        <v>107</v>
      </c>
      <c r="O22" s="7" t="s">
        <v>107</v>
      </c>
      <c r="P22" s="7" t="s">
        <v>107</v>
      </c>
      <c r="Q22" s="7" t="s">
        <v>107</v>
      </c>
      <c r="R22" s="7" t="s">
        <v>107</v>
      </c>
      <c r="S22" s="7" t="s">
        <v>107</v>
      </c>
      <c r="T22" s="7" t="s">
        <v>107</v>
      </c>
      <c r="U22" s="12">
        <v>66.473270200000002</v>
      </c>
      <c r="V22" s="12">
        <v>1</v>
      </c>
      <c r="W22" s="12">
        <v>-7.6478679999999999</v>
      </c>
      <c r="X22" s="7" t="s">
        <v>107</v>
      </c>
      <c r="Y22" s="7" t="s">
        <v>107</v>
      </c>
      <c r="Z22" s="7" t="s">
        <v>107</v>
      </c>
      <c r="AA22" s="7" t="s">
        <v>107</v>
      </c>
      <c r="AB22" s="7" t="s">
        <v>107</v>
      </c>
      <c r="AC22" s="7" t="s">
        <v>107</v>
      </c>
      <c r="AD22" s="7" t="s">
        <v>107</v>
      </c>
      <c r="AE22" s="7" t="s">
        <v>107</v>
      </c>
      <c r="AF22" s="7" t="s">
        <v>107</v>
      </c>
      <c r="AG22" s="22" t="s">
        <v>107</v>
      </c>
    </row>
    <row r="23" spans="1:33" s="11" customFormat="1" hidden="1" outlineLevel="1" x14ac:dyDescent="0.3">
      <c r="A23" s="11" t="s">
        <v>29</v>
      </c>
      <c r="B23" s="12">
        <v>1.6677649999999999</v>
      </c>
      <c r="C23" s="12">
        <v>77.973333299999993</v>
      </c>
      <c r="D23" s="12">
        <v>1.9037246000000001</v>
      </c>
      <c r="E23" s="17">
        <v>3.25</v>
      </c>
      <c r="F23" s="13">
        <v>26.93</v>
      </c>
      <c r="G23" s="7" t="s">
        <v>107</v>
      </c>
      <c r="H23" s="7" t="s">
        <v>107</v>
      </c>
      <c r="I23" s="7" t="s">
        <v>107</v>
      </c>
      <c r="J23" s="7" t="s">
        <v>107</v>
      </c>
      <c r="K23" s="7" t="s">
        <v>107</v>
      </c>
      <c r="L23" s="7" t="s">
        <v>107</v>
      </c>
      <c r="M23" s="7" t="s">
        <v>107</v>
      </c>
      <c r="N23" s="7" t="s">
        <v>107</v>
      </c>
      <c r="O23" s="7" t="s">
        <v>107</v>
      </c>
      <c r="P23" s="7" t="s">
        <v>107</v>
      </c>
      <c r="Q23" s="7" t="s">
        <v>107</v>
      </c>
      <c r="R23" s="7" t="s">
        <v>107</v>
      </c>
      <c r="S23" s="7" t="s">
        <v>107</v>
      </c>
      <c r="T23" s="7" t="s">
        <v>107</v>
      </c>
      <c r="U23" s="12">
        <v>66.906080799999998</v>
      </c>
      <c r="V23" s="12">
        <v>1</v>
      </c>
      <c r="W23" s="12">
        <v>14.829239100000001</v>
      </c>
      <c r="X23" s="7" t="s">
        <v>107</v>
      </c>
      <c r="Y23" s="7" t="s">
        <v>107</v>
      </c>
      <c r="Z23" s="7" t="s">
        <v>107</v>
      </c>
      <c r="AA23" s="7" t="s">
        <v>107</v>
      </c>
      <c r="AB23" s="7" t="s">
        <v>107</v>
      </c>
      <c r="AC23" s="7" t="s">
        <v>107</v>
      </c>
      <c r="AD23" s="7" t="s">
        <v>107</v>
      </c>
      <c r="AE23" s="7" t="s">
        <v>107</v>
      </c>
      <c r="AF23" s="7" t="s">
        <v>107</v>
      </c>
      <c r="AG23" s="22" t="s">
        <v>107</v>
      </c>
    </row>
    <row r="24" spans="1:33" s="11" customFormat="1" hidden="1" outlineLevel="1" x14ac:dyDescent="0.3">
      <c r="A24" s="11" t="s">
        <v>30</v>
      </c>
      <c r="B24" s="12">
        <v>1.208337</v>
      </c>
      <c r="C24" s="12">
        <v>78.4033333</v>
      </c>
      <c r="D24" s="12">
        <v>2.158617</v>
      </c>
      <c r="E24" s="17">
        <v>3.0833333000000001</v>
      </c>
      <c r="F24" s="13">
        <v>26.736666700000001</v>
      </c>
      <c r="G24" s="7" t="s">
        <v>107</v>
      </c>
      <c r="H24" s="7" t="s">
        <v>107</v>
      </c>
      <c r="I24" s="7" t="s">
        <v>107</v>
      </c>
      <c r="J24" s="7" t="s">
        <v>107</v>
      </c>
      <c r="K24" s="7" t="s">
        <v>107</v>
      </c>
      <c r="L24" s="7" t="s">
        <v>107</v>
      </c>
      <c r="M24" s="7" t="s">
        <v>107</v>
      </c>
      <c r="N24" s="7" t="s">
        <v>107</v>
      </c>
      <c r="O24" s="7" t="s">
        <v>107</v>
      </c>
      <c r="P24" s="7" t="s">
        <v>107</v>
      </c>
      <c r="Q24" s="7" t="s">
        <v>107</v>
      </c>
      <c r="R24" s="7" t="s">
        <v>107</v>
      </c>
      <c r="S24" s="7" t="s">
        <v>107</v>
      </c>
      <c r="T24" s="7" t="s">
        <v>107</v>
      </c>
      <c r="U24" s="12">
        <v>67.688026100000002</v>
      </c>
      <c r="V24" s="12">
        <v>1</v>
      </c>
      <c r="W24" s="12">
        <v>11.701328</v>
      </c>
      <c r="X24" s="7" t="s">
        <v>107</v>
      </c>
      <c r="Y24" s="7" t="s">
        <v>107</v>
      </c>
      <c r="Z24" s="7" t="s">
        <v>107</v>
      </c>
      <c r="AA24" s="7" t="s">
        <v>107</v>
      </c>
      <c r="AB24" s="7" t="s">
        <v>107</v>
      </c>
      <c r="AC24" s="7" t="s">
        <v>107</v>
      </c>
      <c r="AD24" s="7" t="s">
        <v>107</v>
      </c>
      <c r="AE24" s="7" t="s">
        <v>107</v>
      </c>
      <c r="AF24" s="12">
        <v>263.1470635</v>
      </c>
      <c r="AG24" s="22" t="s">
        <v>107</v>
      </c>
    </row>
    <row r="25" spans="1:33" s="11" customFormat="1" hidden="1" outlineLevel="1" x14ac:dyDescent="0.3">
      <c r="A25" s="11" t="s">
        <v>31</v>
      </c>
      <c r="B25" s="12">
        <v>1.0748135000000001</v>
      </c>
      <c r="C25" s="12">
        <v>78.856666700000005</v>
      </c>
      <c r="D25" s="12">
        <v>2.1724109</v>
      </c>
      <c r="E25" s="17">
        <v>2.6666666999999999</v>
      </c>
      <c r="F25" s="13">
        <v>31.52</v>
      </c>
      <c r="G25" s="7" t="s">
        <v>107</v>
      </c>
      <c r="H25" s="7" t="s">
        <v>107</v>
      </c>
      <c r="I25" s="7" t="s">
        <v>107</v>
      </c>
      <c r="J25" s="7" t="s">
        <v>107</v>
      </c>
      <c r="K25" s="7" t="s">
        <v>107</v>
      </c>
      <c r="L25" s="7" t="s">
        <v>107</v>
      </c>
      <c r="M25" s="7" t="s">
        <v>107</v>
      </c>
      <c r="N25" s="7" t="s">
        <v>107</v>
      </c>
      <c r="O25" s="7" t="s">
        <v>107</v>
      </c>
      <c r="P25" s="7" t="s">
        <v>107</v>
      </c>
      <c r="Q25" s="7" t="s">
        <v>107</v>
      </c>
      <c r="R25" s="7" t="s">
        <v>107</v>
      </c>
      <c r="S25" s="7" t="s">
        <v>107</v>
      </c>
      <c r="T25" s="7" t="s">
        <v>107</v>
      </c>
      <c r="U25" s="12">
        <v>68.366621300000006</v>
      </c>
      <c r="V25" s="12">
        <v>1</v>
      </c>
      <c r="W25" s="12">
        <v>23.0494342</v>
      </c>
      <c r="X25" s="7" t="s">
        <v>107</v>
      </c>
      <c r="Y25" s="7" t="s">
        <v>107</v>
      </c>
      <c r="Z25" s="7" t="s">
        <v>107</v>
      </c>
      <c r="AA25" s="7" t="s">
        <v>107</v>
      </c>
      <c r="AB25" s="7" t="s">
        <v>107</v>
      </c>
      <c r="AC25" s="7" t="s">
        <v>107</v>
      </c>
      <c r="AD25" s="7" t="s">
        <v>107</v>
      </c>
      <c r="AE25" s="7" t="s">
        <v>107</v>
      </c>
      <c r="AF25" s="7" t="s">
        <v>107</v>
      </c>
      <c r="AG25" s="22" t="s">
        <v>107</v>
      </c>
    </row>
    <row r="26" spans="1:33" s="11" customFormat="1" hidden="1" outlineLevel="1" x14ac:dyDescent="0.3">
      <c r="A26" s="11" t="s">
        <v>32</v>
      </c>
      <c r="B26" s="12">
        <v>0.33264589999999999</v>
      </c>
      <c r="C26" s="12">
        <v>79.37</v>
      </c>
      <c r="D26" s="12">
        <v>1.843456</v>
      </c>
      <c r="E26" s="17">
        <v>2.3333333000000001</v>
      </c>
      <c r="F26" s="13">
        <v>26.17</v>
      </c>
      <c r="G26" s="7" t="s">
        <v>107</v>
      </c>
      <c r="H26" s="7" t="s">
        <v>107</v>
      </c>
      <c r="I26" s="7" t="s">
        <v>107</v>
      </c>
      <c r="J26" s="7" t="s">
        <v>107</v>
      </c>
      <c r="K26" s="7" t="s">
        <v>107</v>
      </c>
      <c r="L26" s="7" t="s">
        <v>107</v>
      </c>
      <c r="M26" s="7" t="s">
        <v>107</v>
      </c>
      <c r="N26" s="7" t="s">
        <v>107</v>
      </c>
      <c r="O26" s="7" t="s">
        <v>107</v>
      </c>
      <c r="P26" s="7" t="s">
        <v>107</v>
      </c>
      <c r="Q26" s="7" t="s">
        <v>107</v>
      </c>
      <c r="R26" s="7" t="s">
        <v>107</v>
      </c>
      <c r="S26" s="7" t="s">
        <v>107</v>
      </c>
      <c r="T26" s="7" t="s">
        <v>107</v>
      </c>
      <c r="U26" s="12">
        <v>71.004098400000004</v>
      </c>
      <c r="V26" s="12">
        <v>1</v>
      </c>
      <c r="W26" s="12">
        <v>0</v>
      </c>
      <c r="X26" s="7" t="s">
        <v>107</v>
      </c>
      <c r="Y26" s="7" t="s">
        <v>107</v>
      </c>
      <c r="Z26" s="7" t="s">
        <v>107</v>
      </c>
      <c r="AA26" s="7" t="s">
        <v>107</v>
      </c>
      <c r="AB26" s="7" t="s">
        <v>107</v>
      </c>
      <c r="AC26" s="7" t="s">
        <v>107</v>
      </c>
      <c r="AD26" s="7" t="s">
        <v>107</v>
      </c>
      <c r="AE26" s="7" t="s">
        <v>107</v>
      </c>
      <c r="AF26" s="7" t="s">
        <v>107</v>
      </c>
      <c r="AG26" s="22" t="s">
        <v>107</v>
      </c>
    </row>
    <row r="27" spans="1:33" s="11" customFormat="1" hidden="1" outlineLevel="1" x14ac:dyDescent="0.3">
      <c r="A27" s="11" t="s">
        <v>33</v>
      </c>
      <c r="B27" s="12">
        <v>0.71308099999999996</v>
      </c>
      <c r="C27" s="12">
        <v>79.47</v>
      </c>
      <c r="D27" s="12">
        <v>1.9194597</v>
      </c>
      <c r="E27" s="17">
        <v>2</v>
      </c>
      <c r="F27" s="13">
        <v>28.45</v>
      </c>
      <c r="G27" s="7" t="s">
        <v>107</v>
      </c>
      <c r="H27" s="7" t="s">
        <v>107</v>
      </c>
      <c r="I27" s="7" t="s">
        <v>107</v>
      </c>
      <c r="J27" s="7" t="s">
        <v>107</v>
      </c>
      <c r="K27" s="7" t="s">
        <v>107</v>
      </c>
      <c r="L27" s="7" t="s">
        <v>107</v>
      </c>
      <c r="M27" s="7" t="s">
        <v>107</v>
      </c>
      <c r="N27" s="7" t="s">
        <v>107</v>
      </c>
      <c r="O27" s="7" t="s">
        <v>107</v>
      </c>
      <c r="P27" s="7" t="s">
        <v>107</v>
      </c>
      <c r="Q27" s="7" t="s">
        <v>107</v>
      </c>
      <c r="R27" s="7" t="s">
        <v>107</v>
      </c>
      <c r="S27" s="7" t="s">
        <v>107</v>
      </c>
      <c r="T27" s="7" t="s">
        <v>107</v>
      </c>
      <c r="U27" s="12">
        <v>71.304482899999996</v>
      </c>
      <c r="V27" s="12">
        <v>1</v>
      </c>
      <c r="W27" s="12">
        <v>-2.1393165000000001</v>
      </c>
      <c r="X27" s="7" t="s">
        <v>107</v>
      </c>
      <c r="Y27" s="7" t="s">
        <v>107</v>
      </c>
      <c r="Z27" s="7" t="s">
        <v>107</v>
      </c>
      <c r="AA27" s="7" t="s">
        <v>107</v>
      </c>
      <c r="AB27" s="7" t="s">
        <v>107</v>
      </c>
      <c r="AC27" s="7" t="s">
        <v>107</v>
      </c>
      <c r="AD27" s="7" t="s">
        <v>107</v>
      </c>
      <c r="AE27" s="7" t="s">
        <v>107</v>
      </c>
      <c r="AF27" s="7" t="s">
        <v>107</v>
      </c>
      <c r="AG27" s="22" t="s">
        <v>107</v>
      </c>
    </row>
    <row r="28" spans="1:33" s="11" customFormat="1" hidden="1" outlineLevel="1" x14ac:dyDescent="0.3">
      <c r="A28" s="11" t="s">
        <v>34</v>
      </c>
      <c r="B28" s="12">
        <v>1.3127310999999999</v>
      </c>
      <c r="C28" s="12">
        <v>79.913333300000005</v>
      </c>
      <c r="D28" s="12">
        <v>1.9259385</v>
      </c>
      <c r="E28" s="17">
        <v>2</v>
      </c>
      <c r="F28" s="13">
        <v>29.39</v>
      </c>
      <c r="G28" s="7" t="s">
        <v>107</v>
      </c>
      <c r="H28" s="7" t="s">
        <v>107</v>
      </c>
      <c r="I28" s="7" t="s">
        <v>107</v>
      </c>
      <c r="J28" s="7" t="s">
        <v>107</v>
      </c>
      <c r="K28" s="7" t="s">
        <v>107</v>
      </c>
      <c r="L28" s="7" t="s">
        <v>107</v>
      </c>
      <c r="M28" s="7" t="s">
        <v>107</v>
      </c>
      <c r="N28" s="7" t="s">
        <v>107</v>
      </c>
      <c r="O28" s="7" t="s">
        <v>107</v>
      </c>
      <c r="P28" s="7" t="s">
        <v>107</v>
      </c>
      <c r="Q28" s="7" t="s">
        <v>107</v>
      </c>
      <c r="R28" s="7" t="s">
        <v>107</v>
      </c>
      <c r="S28" s="7" t="s">
        <v>107</v>
      </c>
      <c r="T28" s="7" t="s">
        <v>107</v>
      </c>
      <c r="U28" s="12">
        <v>71.852125299999997</v>
      </c>
      <c r="V28" s="12">
        <v>1</v>
      </c>
      <c r="W28" s="12">
        <v>-6.1911170999999996</v>
      </c>
      <c r="X28" s="7" t="s">
        <v>107</v>
      </c>
      <c r="Y28" s="7" t="s">
        <v>107</v>
      </c>
      <c r="Z28" s="7" t="s">
        <v>107</v>
      </c>
      <c r="AA28" s="7" t="s">
        <v>107</v>
      </c>
      <c r="AB28" s="7" t="s">
        <v>107</v>
      </c>
      <c r="AC28" s="7" t="s">
        <v>107</v>
      </c>
      <c r="AD28" s="7" t="s">
        <v>107</v>
      </c>
      <c r="AE28" s="7" t="s">
        <v>107</v>
      </c>
      <c r="AF28" s="12">
        <v>117.7811683</v>
      </c>
      <c r="AG28" s="22" t="s">
        <v>107</v>
      </c>
    </row>
    <row r="29" spans="1:33" s="11" customFormat="1" hidden="1" outlineLevel="1" x14ac:dyDescent="0.3">
      <c r="A29" s="11" t="s">
        <v>35</v>
      </c>
      <c r="B29" s="12">
        <v>2.4350660999999998</v>
      </c>
      <c r="C29" s="12">
        <v>80.113333299999994</v>
      </c>
      <c r="D29" s="12">
        <v>1.5936086</v>
      </c>
      <c r="E29" s="17">
        <v>2</v>
      </c>
      <c r="F29" s="13">
        <v>31.923333299999999</v>
      </c>
      <c r="G29" s="7" t="s">
        <v>107</v>
      </c>
      <c r="H29" s="7" t="s">
        <v>107</v>
      </c>
      <c r="I29" s="7" t="s">
        <v>107</v>
      </c>
      <c r="J29" s="7" t="s">
        <v>107</v>
      </c>
      <c r="K29" s="7" t="s">
        <v>107</v>
      </c>
      <c r="L29" s="7" t="s">
        <v>107</v>
      </c>
      <c r="M29" s="7" t="s">
        <v>107</v>
      </c>
      <c r="N29" s="7" t="s">
        <v>107</v>
      </c>
      <c r="O29" s="7" t="s">
        <v>107</v>
      </c>
      <c r="P29" s="7" t="s">
        <v>107</v>
      </c>
      <c r="Q29" s="7" t="s">
        <v>107</v>
      </c>
      <c r="R29" s="7" t="s">
        <v>107</v>
      </c>
      <c r="S29" s="7" t="s">
        <v>107</v>
      </c>
      <c r="T29" s="7" t="s">
        <v>107</v>
      </c>
      <c r="U29" s="12">
        <v>72.211865000000003</v>
      </c>
      <c r="V29" s="12">
        <v>1</v>
      </c>
      <c r="W29" s="12">
        <v>-0.50822849999999997</v>
      </c>
      <c r="X29" s="7" t="s">
        <v>107</v>
      </c>
      <c r="Y29" s="7" t="s">
        <v>107</v>
      </c>
      <c r="Z29" s="7" t="s">
        <v>107</v>
      </c>
      <c r="AA29" s="7" t="s">
        <v>107</v>
      </c>
      <c r="AB29" s="7" t="s">
        <v>107</v>
      </c>
      <c r="AC29" s="7" t="s">
        <v>107</v>
      </c>
      <c r="AD29" s="7" t="s">
        <v>107</v>
      </c>
      <c r="AE29" s="7" t="s">
        <v>107</v>
      </c>
      <c r="AF29" s="7" t="s">
        <v>107</v>
      </c>
      <c r="AG29" s="22" t="s">
        <v>107</v>
      </c>
    </row>
    <row r="30" spans="1:33" s="11" customFormat="1" hidden="1" outlineLevel="1" x14ac:dyDescent="0.3">
      <c r="A30" s="11" t="s">
        <v>36</v>
      </c>
      <c r="B30" s="12">
        <v>2.9592486</v>
      </c>
      <c r="C30" s="12">
        <v>81.069999999999993</v>
      </c>
      <c r="D30" s="12">
        <v>2.1418672000000001</v>
      </c>
      <c r="E30" s="17">
        <v>2</v>
      </c>
      <c r="F30" s="13">
        <v>35.446666700000002</v>
      </c>
      <c r="G30" s="7" t="s">
        <v>107</v>
      </c>
      <c r="H30" s="7" t="s">
        <v>107</v>
      </c>
      <c r="I30" s="7" t="s">
        <v>107</v>
      </c>
      <c r="J30" s="7" t="s">
        <v>107</v>
      </c>
      <c r="K30" s="7" t="s">
        <v>107</v>
      </c>
      <c r="L30" s="7" t="s">
        <v>107</v>
      </c>
      <c r="M30" s="7" t="s">
        <v>107</v>
      </c>
      <c r="N30" s="7" t="s">
        <v>107</v>
      </c>
      <c r="O30" s="7" t="s">
        <v>107</v>
      </c>
      <c r="P30" s="7" t="s">
        <v>107</v>
      </c>
      <c r="Q30" s="7" t="s">
        <v>107</v>
      </c>
      <c r="R30" s="7" t="s">
        <v>107</v>
      </c>
      <c r="S30" s="7" t="s">
        <v>107</v>
      </c>
      <c r="T30" s="7" t="s">
        <v>107</v>
      </c>
      <c r="U30" s="12">
        <v>72.355710299999998</v>
      </c>
      <c r="V30" s="12">
        <v>1</v>
      </c>
      <c r="W30" s="12">
        <v>34.882335400000002</v>
      </c>
      <c r="X30" s="7" t="s">
        <v>107</v>
      </c>
      <c r="Y30" s="7" t="s">
        <v>107</v>
      </c>
      <c r="Z30" s="7" t="s">
        <v>107</v>
      </c>
      <c r="AA30" s="7" t="s">
        <v>107</v>
      </c>
      <c r="AB30" s="7" t="s">
        <v>107</v>
      </c>
      <c r="AC30" s="7" t="s">
        <v>107</v>
      </c>
      <c r="AD30" s="7" t="s">
        <v>107</v>
      </c>
      <c r="AE30" s="7" t="s">
        <v>107</v>
      </c>
      <c r="AF30" s="7" t="s">
        <v>107</v>
      </c>
      <c r="AG30" s="22" t="s">
        <v>107</v>
      </c>
    </row>
    <row r="31" spans="1:33" s="11" customFormat="1" hidden="1" outlineLevel="1" x14ac:dyDescent="0.3">
      <c r="A31" s="11" t="s">
        <v>37</v>
      </c>
      <c r="B31" s="12">
        <v>2.4141233999999998</v>
      </c>
      <c r="C31" s="12">
        <v>81.156666700000002</v>
      </c>
      <c r="D31" s="12">
        <v>2.1223942</v>
      </c>
      <c r="E31" s="17">
        <v>2</v>
      </c>
      <c r="F31" s="13">
        <v>41.386666699999999</v>
      </c>
      <c r="G31" s="7" t="s">
        <v>107</v>
      </c>
      <c r="H31" s="7" t="s">
        <v>107</v>
      </c>
      <c r="I31" s="7" t="s">
        <v>107</v>
      </c>
      <c r="J31" s="7" t="s">
        <v>107</v>
      </c>
      <c r="K31" s="7" t="s">
        <v>107</v>
      </c>
      <c r="L31" s="7" t="s">
        <v>107</v>
      </c>
      <c r="M31" s="7" t="s">
        <v>107</v>
      </c>
      <c r="N31" s="7" t="s">
        <v>107</v>
      </c>
      <c r="O31" s="7" t="s">
        <v>107</v>
      </c>
      <c r="P31" s="7" t="s">
        <v>107</v>
      </c>
      <c r="Q31" s="7" t="s">
        <v>107</v>
      </c>
      <c r="R31" s="7" t="s">
        <v>107</v>
      </c>
      <c r="S31" s="7" t="s">
        <v>107</v>
      </c>
      <c r="T31" s="7" t="s">
        <v>107</v>
      </c>
      <c r="U31" s="12">
        <v>71.704370800000007</v>
      </c>
      <c r="V31" s="12">
        <v>1</v>
      </c>
      <c r="W31" s="12">
        <v>7.1980804999999997</v>
      </c>
      <c r="X31" s="7" t="s">
        <v>107</v>
      </c>
      <c r="Y31" s="7" t="s">
        <v>107</v>
      </c>
      <c r="Z31" s="7" t="s">
        <v>107</v>
      </c>
      <c r="AA31" s="7" t="s">
        <v>107</v>
      </c>
      <c r="AB31" s="7" t="s">
        <v>107</v>
      </c>
      <c r="AC31" s="7" t="s">
        <v>107</v>
      </c>
      <c r="AD31" s="7" t="s">
        <v>107</v>
      </c>
      <c r="AE31" s="7" t="s">
        <v>107</v>
      </c>
      <c r="AF31" s="7" t="s">
        <v>107</v>
      </c>
      <c r="AG31" s="22" t="s">
        <v>107</v>
      </c>
    </row>
    <row r="32" spans="1:33" s="11" customFormat="1" hidden="1" outlineLevel="1" x14ac:dyDescent="0.3">
      <c r="A32" s="11" t="s">
        <v>38</v>
      </c>
      <c r="B32" s="12">
        <v>2.308249</v>
      </c>
      <c r="C32" s="12">
        <v>81.663333300000005</v>
      </c>
      <c r="D32" s="12">
        <v>2.1898724000000001</v>
      </c>
      <c r="E32" s="17">
        <v>2</v>
      </c>
      <c r="F32" s="13">
        <v>44.163333299999998</v>
      </c>
      <c r="G32" s="7" t="s">
        <v>107</v>
      </c>
      <c r="H32" s="7" t="s">
        <v>107</v>
      </c>
      <c r="I32" s="7" t="s">
        <v>107</v>
      </c>
      <c r="J32" s="7" t="s">
        <v>107</v>
      </c>
      <c r="K32" s="7" t="s">
        <v>107</v>
      </c>
      <c r="L32" s="7" t="s">
        <v>107</v>
      </c>
      <c r="M32" s="7" t="s">
        <v>107</v>
      </c>
      <c r="N32" s="7" t="s">
        <v>107</v>
      </c>
      <c r="O32" s="7" t="s">
        <v>107</v>
      </c>
      <c r="P32" s="7" t="s">
        <v>107</v>
      </c>
      <c r="Q32" s="7" t="s">
        <v>107</v>
      </c>
      <c r="R32" s="7" t="s">
        <v>107</v>
      </c>
      <c r="S32" s="7" t="s">
        <v>107</v>
      </c>
      <c r="T32" s="7" t="s">
        <v>107</v>
      </c>
      <c r="U32" s="12">
        <v>72.375485400000002</v>
      </c>
      <c r="V32" s="12">
        <v>1</v>
      </c>
      <c r="W32" s="12">
        <v>18.890483</v>
      </c>
      <c r="X32" s="7" t="s">
        <v>107</v>
      </c>
      <c r="Y32" s="7" t="s">
        <v>107</v>
      </c>
      <c r="Z32" s="7" t="s">
        <v>107</v>
      </c>
      <c r="AA32" s="7" t="s">
        <v>107</v>
      </c>
      <c r="AB32" s="7" t="s">
        <v>107</v>
      </c>
      <c r="AC32" s="7" t="s">
        <v>107</v>
      </c>
      <c r="AD32" s="7" t="s">
        <v>107</v>
      </c>
      <c r="AE32" s="7" t="s">
        <v>107</v>
      </c>
      <c r="AF32" s="12">
        <v>48.908104600000001</v>
      </c>
      <c r="AG32" s="22" t="s">
        <v>107</v>
      </c>
    </row>
    <row r="33" spans="1:33" s="11" customFormat="1" hidden="1" outlineLevel="1" x14ac:dyDescent="0.3">
      <c r="A33" s="11" t="s">
        <v>39</v>
      </c>
      <c r="B33" s="12">
        <v>1.1277817999999999</v>
      </c>
      <c r="C33" s="12">
        <v>81.773333300000004</v>
      </c>
      <c r="D33" s="12">
        <v>2.0720646</v>
      </c>
      <c r="E33" s="17">
        <v>2</v>
      </c>
      <c r="F33" s="13">
        <v>47.696666700000002</v>
      </c>
      <c r="G33" s="7" t="s">
        <v>107</v>
      </c>
      <c r="H33" s="7" t="s">
        <v>107</v>
      </c>
      <c r="I33" s="7" t="s">
        <v>107</v>
      </c>
      <c r="J33" s="7" t="s">
        <v>107</v>
      </c>
      <c r="K33" s="7" t="s">
        <v>107</v>
      </c>
      <c r="L33" s="7" t="s">
        <v>107</v>
      </c>
      <c r="M33" s="7" t="s">
        <v>107</v>
      </c>
      <c r="N33" s="7" t="s">
        <v>107</v>
      </c>
      <c r="O33" s="7" t="s">
        <v>107</v>
      </c>
      <c r="P33" s="7" t="s">
        <v>107</v>
      </c>
      <c r="Q33" s="7" t="s">
        <v>107</v>
      </c>
      <c r="R33" s="7" t="s">
        <v>107</v>
      </c>
      <c r="S33" s="12">
        <v>4.7003525000000002</v>
      </c>
      <c r="T33" s="7" t="s">
        <v>107</v>
      </c>
      <c r="U33" s="12">
        <v>73.338501500000007</v>
      </c>
      <c r="V33" s="12">
        <v>1</v>
      </c>
      <c r="W33" s="12">
        <v>3.2352226000000002</v>
      </c>
      <c r="X33" s="7" t="s">
        <v>107</v>
      </c>
      <c r="Y33" s="7" t="s">
        <v>107</v>
      </c>
      <c r="Z33" s="7" t="s">
        <v>107</v>
      </c>
      <c r="AA33" s="7" t="s">
        <v>107</v>
      </c>
      <c r="AB33" s="7" t="s">
        <v>107</v>
      </c>
      <c r="AC33" s="7" t="s">
        <v>107</v>
      </c>
      <c r="AD33" s="7" t="s">
        <v>107</v>
      </c>
      <c r="AE33" s="7" t="s">
        <v>107</v>
      </c>
      <c r="AF33" s="7" t="s">
        <v>107</v>
      </c>
      <c r="AG33" s="22" t="s">
        <v>107</v>
      </c>
    </row>
    <row r="34" spans="1:33" s="11" customFormat="1" hidden="1" outlineLevel="1" x14ac:dyDescent="0.3">
      <c r="A34" s="11" t="s">
        <v>40</v>
      </c>
      <c r="B34" s="12">
        <v>2.2042253999999999</v>
      </c>
      <c r="C34" s="12">
        <v>82.71</v>
      </c>
      <c r="D34" s="12">
        <v>2.0229431</v>
      </c>
      <c r="E34" s="17">
        <v>2</v>
      </c>
      <c r="F34" s="13">
        <v>51.626666700000001</v>
      </c>
      <c r="G34" s="7" t="s">
        <v>107</v>
      </c>
      <c r="H34" s="7" t="s">
        <v>107</v>
      </c>
      <c r="I34" s="7" t="s">
        <v>107</v>
      </c>
      <c r="J34" s="7" t="s">
        <v>107</v>
      </c>
      <c r="K34" s="7" t="s">
        <v>107</v>
      </c>
      <c r="L34" s="7" t="s">
        <v>107</v>
      </c>
      <c r="M34" s="7" t="s">
        <v>107</v>
      </c>
      <c r="N34" s="7" t="s">
        <v>107</v>
      </c>
      <c r="O34" s="7" t="s">
        <v>107</v>
      </c>
      <c r="P34" s="7" t="s">
        <v>107</v>
      </c>
      <c r="Q34" s="7" t="s">
        <v>107</v>
      </c>
      <c r="R34" s="7" t="s">
        <v>107</v>
      </c>
      <c r="S34" s="12">
        <v>5.6478405</v>
      </c>
      <c r="T34" s="7" t="s">
        <v>107</v>
      </c>
      <c r="U34" s="12">
        <v>74.197553299999996</v>
      </c>
      <c r="V34" s="12">
        <v>1</v>
      </c>
      <c r="W34" s="12">
        <v>-7.7296819000000001</v>
      </c>
      <c r="X34" s="7" t="s">
        <v>107</v>
      </c>
      <c r="Y34" s="7" t="s">
        <v>107</v>
      </c>
      <c r="Z34" s="7" t="s">
        <v>107</v>
      </c>
      <c r="AA34" s="7" t="s">
        <v>107</v>
      </c>
      <c r="AB34" s="7" t="s">
        <v>107</v>
      </c>
      <c r="AC34" s="7" t="s">
        <v>107</v>
      </c>
      <c r="AD34" s="7" t="s">
        <v>107</v>
      </c>
      <c r="AE34" s="7" t="s">
        <v>107</v>
      </c>
      <c r="AF34" s="7" t="s">
        <v>107</v>
      </c>
      <c r="AG34" s="22" t="s">
        <v>107</v>
      </c>
    </row>
    <row r="35" spans="1:33" s="11" customFormat="1" hidden="1" outlineLevel="1" x14ac:dyDescent="0.3">
      <c r="A35" s="11" t="s">
        <v>41</v>
      </c>
      <c r="B35" s="12">
        <v>2.0830310000000001</v>
      </c>
      <c r="C35" s="12">
        <v>83.016666700000002</v>
      </c>
      <c r="D35" s="12">
        <v>2.2918634999999998</v>
      </c>
      <c r="E35" s="17">
        <v>2</v>
      </c>
      <c r="F35" s="13">
        <v>61.47</v>
      </c>
      <c r="G35" s="7" t="s">
        <v>107</v>
      </c>
      <c r="H35" s="7" t="s">
        <v>107</v>
      </c>
      <c r="I35" s="7" t="s">
        <v>107</v>
      </c>
      <c r="J35" s="7" t="s">
        <v>107</v>
      </c>
      <c r="K35" s="7" t="s">
        <v>107</v>
      </c>
      <c r="L35" s="7" t="s">
        <v>107</v>
      </c>
      <c r="M35" s="7" t="s">
        <v>107</v>
      </c>
      <c r="N35" s="7" t="s">
        <v>107</v>
      </c>
      <c r="O35" s="7" t="s">
        <v>107</v>
      </c>
      <c r="P35" s="7" t="s">
        <v>107</v>
      </c>
      <c r="Q35" s="7" t="s">
        <v>107</v>
      </c>
      <c r="R35" s="7" t="s">
        <v>107</v>
      </c>
      <c r="S35" s="12">
        <v>8.1720430000000004</v>
      </c>
      <c r="T35" s="12">
        <v>11.24</v>
      </c>
      <c r="U35" s="12">
        <v>73.945673799999994</v>
      </c>
      <c r="V35" s="12">
        <v>1</v>
      </c>
      <c r="W35" s="12">
        <v>7.6349166999999998</v>
      </c>
      <c r="X35" s="7" t="s">
        <v>107</v>
      </c>
      <c r="Y35" s="7" t="s">
        <v>107</v>
      </c>
      <c r="Z35" s="7" t="s">
        <v>107</v>
      </c>
      <c r="AA35" s="7" t="s">
        <v>107</v>
      </c>
      <c r="AB35" s="7" t="s">
        <v>107</v>
      </c>
      <c r="AC35" s="7" t="s">
        <v>107</v>
      </c>
      <c r="AD35" s="7" t="s">
        <v>107</v>
      </c>
      <c r="AE35" s="7" t="s">
        <v>107</v>
      </c>
      <c r="AF35" s="7" t="s">
        <v>107</v>
      </c>
      <c r="AG35" s="22" t="s">
        <v>107</v>
      </c>
    </row>
    <row r="36" spans="1:33" s="11" customFormat="1" hidden="1" outlineLevel="1" x14ac:dyDescent="0.3">
      <c r="A36" s="11" t="s">
        <v>42</v>
      </c>
      <c r="B36" s="12">
        <v>2.0666498999999998</v>
      </c>
      <c r="C36" s="12">
        <v>83.51</v>
      </c>
      <c r="D36" s="12">
        <v>2.2613167999999999</v>
      </c>
      <c r="E36" s="17">
        <v>2.0833333000000001</v>
      </c>
      <c r="F36" s="13">
        <v>56.88</v>
      </c>
      <c r="G36" s="7" t="s">
        <v>107</v>
      </c>
      <c r="H36" s="7" t="s">
        <v>107</v>
      </c>
      <c r="I36" s="7" t="s">
        <v>107</v>
      </c>
      <c r="J36" s="7" t="s">
        <v>107</v>
      </c>
      <c r="K36" s="7" t="s">
        <v>107</v>
      </c>
      <c r="L36" s="7" t="s">
        <v>107</v>
      </c>
      <c r="M36" s="7" t="s">
        <v>107</v>
      </c>
      <c r="N36" s="7" t="s">
        <v>107</v>
      </c>
      <c r="O36" s="7" t="s">
        <v>107</v>
      </c>
      <c r="P36" s="7" t="s">
        <v>107</v>
      </c>
      <c r="Q36" s="7" t="s">
        <v>107</v>
      </c>
      <c r="R36" s="7" t="s">
        <v>107</v>
      </c>
      <c r="S36" s="12">
        <v>12.421052599999999</v>
      </c>
      <c r="T36" s="12">
        <v>10.76</v>
      </c>
      <c r="U36" s="12">
        <v>74.762037399999997</v>
      </c>
      <c r="V36" s="12">
        <v>1</v>
      </c>
      <c r="W36" s="12">
        <v>-10.0362027</v>
      </c>
      <c r="X36" s="7" t="s">
        <v>107</v>
      </c>
      <c r="Y36" s="7" t="s">
        <v>107</v>
      </c>
      <c r="Z36" s="7" t="s">
        <v>107</v>
      </c>
      <c r="AA36" s="7" t="s">
        <v>107</v>
      </c>
      <c r="AB36" s="7" t="s">
        <v>107</v>
      </c>
      <c r="AC36" s="7" t="s">
        <v>107</v>
      </c>
      <c r="AD36" s="7" t="s">
        <v>107</v>
      </c>
      <c r="AE36" s="7" t="s">
        <v>107</v>
      </c>
      <c r="AF36" s="12">
        <v>40.222870399999998</v>
      </c>
      <c r="AG36" s="22" t="s">
        <v>107</v>
      </c>
    </row>
    <row r="37" spans="1:33" s="11" customFormat="1" hidden="1" outlineLevel="1" x14ac:dyDescent="0.3">
      <c r="A37" s="11" t="s">
        <v>43</v>
      </c>
      <c r="B37" s="12">
        <v>3.8191847000000001</v>
      </c>
      <c r="C37" s="12">
        <v>83.573333300000002</v>
      </c>
      <c r="D37" s="12">
        <v>2.2012065999999999</v>
      </c>
      <c r="E37" s="17">
        <v>2.3333333000000001</v>
      </c>
      <c r="F37" s="13">
        <v>61.753333300000001</v>
      </c>
      <c r="G37" s="7" t="s">
        <v>107</v>
      </c>
      <c r="H37" s="7" t="s">
        <v>107</v>
      </c>
      <c r="I37" s="7" t="s">
        <v>107</v>
      </c>
      <c r="J37" s="7" t="s">
        <v>107</v>
      </c>
      <c r="K37" s="7" t="s">
        <v>107</v>
      </c>
      <c r="L37" s="7" t="s">
        <v>107</v>
      </c>
      <c r="M37" s="7" t="s">
        <v>107</v>
      </c>
      <c r="N37" s="7" t="s">
        <v>107</v>
      </c>
      <c r="O37" s="7" t="s">
        <v>107</v>
      </c>
      <c r="P37" s="7" t="s">
        <v>107</v>
      </c>
      <c r="Q37" s="7" t="s">
        <v>107</v>
      </c>
      <c r="R37" s="7" t="s">
        <v>107</v>
      </c>
      <c r="S37" s="12">
        <v>15.6004489</v>
      </c>
      <c r="T37" s="12">
        <v>10.88</v>
      </c>
      <c r="U37" s="12">
        <v>75.436492000000001</v>
      </c>
      <c r="V37" s="12">
        <v>1</v>
      </c>
      <c r="W37" s="12">
        <v>4.2884070999999997</v>
      </c>
      <c r="X37" s="7" t="s">
        <v>107</v>
      </c>
      <c r="Y37" s="7" t="s">
        <v>107</v>
      </c>
      <c r="Z37" s="7" t="s">
        <v>107</v>
      </c>
      <c r="AA37" s="7" t="s">
        <v>107</v>
      </c>
      <c r="AB37" s="7" t="s">
        <v>107</v>
      </c>
      <c r="AC37" s="7" t="s">
        <v>107</v>
      </c>
      <c r="AD37" s="7" t="s">
        <v>107</v>
      </c>
      <c r="AE37" s="7" t="s">
        <v>107</v>
      </c>
      <c r="AF37" s="12">
        <v>68.821377499999997</v>
      </c>
      <c r="AG37" s="22" t="s">
        <v>107</v>
      </c>
    </row>
    <row r="38" spans="1:33" s="11" customFormat="1" hidden="1" outlineLevel="1" x14ac:dyDescent="0.3">
      <c r="A38" s="11" t="s">
        <v>44</v>
      </c>
      <c r="B38" s="12">
        <v>2.9723983</v>
      </c>
      <c r="C38" s="12">
        <v>84.693333300000006</v>
      </c>
      <c r="D38" s="12">
        <v>2.3979365000000001</v>
      </c>
      <c r="E38" s="17">
        <v>2.5833333000000001</v>
      </c>
      <c r="F38" s="13">
        <v>69.533333299999995</v>
      </c>
      <c r="G38" s="7" t="s">
        <v>107</v>
      </c>
      <c r="H38" s="7" t="s">
        <v>107</v>
      </c>
      <c r="I38" s="7" t="s">
        <v>107</v>
      </c>
      <c r="J38" s="7" t="s">
        <v>107</v>
      </c>
      <c r="K38" s="7" t="s">
        <v>107</v>
      </c>
      <c r="L38" s="7" t="s">
        <v>107</v>
      </c>
      <c r="M38" s="7" t="s">
        <v>107</v>
      </c>
      <c r="N38" s="7" t="s">
        <v>107</v>
      </c>
      <c r="O38" s="7" t="s">
        <v>107</v>
      </c>
      <c r="P38" s="7" t="s">
        <v>107</v>
      </c>
      <c r="Q38" s="7" t="s">
        <v>107</v>
      </c>
      <c r="R38" s="7" t="s">
        <v>107</v>
      </c>
      <c r="S38" s="12">
        <v>20.5450734</v>
      </c>
      <c r="T38" s="12">
        <v>10.33</v>
      </c>
      <c r="U38" s="12">
        <v>76.522515200000001</v>
      </c>
      <c r="V38" s="12">
        <v>1</v>
      </c>
      <c r="W38" s="12">
        <v>1.2685495</v>
      </c>
      <c r="X38" s="7" t="s">
        <v>107</v>
      </c>
      <c r="Y38" s="7" t="s">
        <v>107</v>
      </c>
      <c r="Z38" s="7" t="s">
        <v>107</v>
      </c>
      <c r="AA38" s="7" t="s">
        <v>107</v>
      </c>
      <c r="AB38" s="7" t="s">
        <v>107</v>
      </c>
      <c r="AC38" s="7" t="s">
        <v>107</v>
      </c>
      <c r="AD38" s="7" t="s">
        <v>107</v>
      </c>
      <c r="AE38" s="7" t="s">
        <v>107</v>
      </c>
      <c r="AF38" s="12">
        <v>99.212616299999993</v>
      </c>
      <c r="AG38" s="22" t="s">
        <v>107</v>
      </c>
    </row>
    <row r="39" spans="1:33" s="11" customFormat="1" hidden="1" outlineLevel="1" x14ac:dyDescent="0.3">
      <c r="A39" s="11" t="s">
        <v>45</v>
      </c>
      <c r="B39" s="12">
        <v>3.3099788999999999</v>
      </c>
      <c r="C39" s="12">
        <v>84.873333299999999</v>
      </c>
      <c r="D39" s="12">
        <v>2.2364986</v>
      </c>
      <c r="E39" s="17">
        <v>2.9166666999999999</v>
      </c>
      <c r="F39" s="13">
        <v>69.62</v>
      </c>
      <c r="G39" s="7" t="s">
        <v>107</v>
      </c>
      <c r="H39" s="7" t="s">
        <v>107</v>
      </c>
      <c r="I39" s="7" t="s">
        <v>107</v>
      </c>
      <c r="J39" s="7" t="s">
        <v>107</v>
      </c>
      <c r="K39" s="7" t="s">
        <v>107</v>
      </c>
      <c r="L39" s="7" t="s">
        <v>107</v>
      </c>
      <c r="M39" s="7" t="s">
        <v>107</v>
      </c>
      <c r="N39" s="7" t="s">
        <v>107</v>
      </c>
      <c r="O39" s="7" t="s">
        <v>107</v>
      </c>
      <c r="P39" s="7" t="s">
        <v>107</v>
      </c>
      <c r="Q39" s="7" t="s">
        <v>107</v>
      </c>
      <c r="R39" s="7" t="s">
        <v>107</v>
      </c>
      <c r="S39" s="12">
        <v>13.419483100000001</v>
      </c>
      <c r="T39" s="12">
        <v>9.6199999999999992</v>
      </c>
      <c r="U39" s="12">
        <v>76.134979900000005</v>
      </c>
      <c r="V39" s="12">
        <v>1</v>
      </c>
      <c r="W39" s="12">
        <v>-1.0628466000000001</v>
      </c>
      <c r="X39" s="7" t="s">
        <v>107</v>
      </c>
      <c r="Y39" s="7" t="s">
        <v>107</v>
      </c>
      <c r="Z39" s="7" t="s">
        <v>107</v>
      </c>
      <c r="AA39" s="7" t="s">
        <v>107</v>
      </c>
      <c r="AB39" s="7" t="s">
        <v>107</v>
      </c>
      <c r="AC39" s="7" t="s">
        <v>107</v>
      </c>
      <c r="AD39" s="7" t="s">
        <v>107</v>
      </c>
      <c r="AE39" s="7" t="s">
        <v>107</v>
      </c>
      <c r="AF39" s="12">
        <v>151.44701860000001</v>
      </c>
      <c r="AG39" s="22" t="s">
        <v>107</v>
      </c>
    </row>
    <row r="40" spans="1:33" s="11" customFormat="1" hidden="1" outlineLevel="1" x14ac:dyDescent="0.3">
      <c r="A40" s="11" t="s">
        <v>46</v>
      </c>
      <c r="B40" s="12">
        <v>3.7478780999999999</v>
      </c>
      <c r="C40" s="12">
        <v>85.166666699999993</v>
      </c>
      <c r="D40" s="12">
        <v>1.9837944000000001</v>
      </c>
      <c r="E40" s="17">
        <v>3.3333333000000001</v>
      </c>
      <c r="F40" s="13">
        <v>59.68</v>
      </c>
      <c r="G40" s="7" t="s">
        <v>107</v>
      </c>
      <c r="H40" s="7" t="s">
        <v>107</v>
      </c>
      <c r="I40" s="7" t="s">
        <v>107</v>
      </c>
      <c r="J40" s="7" t="s">
        <v>107</v>
      </c>
      <c r="K40" s="7" t="s">
        <v>107</v>
      </c>
      <c r="L40" s="7" t="s">
        <v>107</v>
      </c>
      <c r="M40" s="7" t="s">
        <v>107</v>
      </c>
      <c r="N40" s="7" t="s">
        <v>107</v>
      </c>
      <c r="O40" s="7" t="s">
        <v>107</v>
      </c>
      <c r="P40" s="7" t="s">
        <v>107</v>
      </c>
      <c r="Q40" s="7" t="s">
        <v>107</v>
      </c>
      <c r="R40" s="7" t="s">
        <v>107</v>
      </c>
      <c r="S40" s="12">
        <v>12.5468165</v>
      </c>
      <c r="T40" s="12">
        <v>9.06</v>
      </c>
      <c r="U40" s="12">
        <v>76.8988449</v>
      </c>
      <c r="V40" s="12">
        <v>1</v>
      </c>
      <c r="W40" s="12">
        <v>-0.55890899999999999</v>
      </c>
      <c r="X40" s="7" t="s">
        <v>107</v>
      </c>
      <c r="Y40" s="7" t="s">
        <v>107</v>
      </c>
      <c r="Z40" s="7" t="s">
        <v>107</v>
      </c>
      <c r="AA40" s="7" t="s">
        <v>107</v>
      </c>
      <c r="AB40" s="7" t="s">
        <v>107</v>
      </c>
      <c r="AC40" s="7" t="s">
        <v>107</v>
      </c>
      <c r="AD40" s="7" t="s">
        <v>107</v>
      </c>
      <c r="AE40" s="7" t="s">
        <v>107</v>
      </c>
      <c r="AF40" s="12">
        <v>198.30035659999999</v>
      </c>
      <c r="AG40" s="22" t="s">
        <v>107</v>
      </c>
    </row>
    <row r="41" spans="1:33" s="11" customFormat="1" hidden="1" outlineLevel="1" x14ac:dyDescent="0.3">
      <c r="A41" s="11" t="s">
        <v>47</v>
      </c>
      <c r="B41" s="12">
        <v>3.5234725999999998</v>
      </c>
      <c r="C41" s="12">
        <v>85.39</v>
      </c>
      <c r="D41" s="12">
        <v>2.1737397000000001</v>
      </c>
      <c r="E41" s="17">
        <v>3.5833333000000001</v>
      </c>
      <c r="F41" s="13">
        <v>57.763333299999999</v>
      </c>
      <c r="G41" s="12">
        <v>1.502688</v>
      </c>
      <c r="H41" s="12">
        <v>38.147735099999998</v>
      </c>
      <c r="I41" s="7" t="s">
        <v>107</v>
      </c>
      <c r="J41" s="7" t="s">
        <v>107</v>
      </c>
      <c r="K41" s="7" t="s">
        <v>107</v>
      </c>
      <c r="L41" s="7" t="s">
        <v>107</v>
      </c>
      <c r="M41" s="7" t="s">
        <v>107</v>
      </c>
      <c r="N41" s="7" t="s">
        <v>107</v>
      </c>
      <c r="O41" s="7" t="s">
        <v>107</v>
      </c>
      <c r="P41" s="7" t="s">
        <v>107</v>
      </c>
      <c r="Q41" s="7" t="s">
        <v>107</v>
      </c>
      <c r="R41" s="7" t="s">
        <v>107</v>
      </c>
      <c r="S41" s="12">
        <v>10.606060599999999</v>
      </c>
      <c r="T41" s="12">
        <v>8.56</v>
      </c>
      <c r="U41" s="12">
        <v>77.463897900000006</v>
      </c>
      <c r="V41" s="12">
        <v>1</v>
      </c>
      <c r="W41" s="12">
        <v>-5.2869408</v>
      </c>
      <c r="X41" s="7" t="s">
        <v>107</v>
      </c>
      <c r="Y41" s="7" t="s">
        <v>107</v>
      </c>
      <c r="Z41" s="7" t="s">
        <v>107</v>
      </c>
      <c r="AA41" s="7" t="s">
        <v>107</v>
      </c>
      <c r="AB41" s="7" t="s">
        <v>107</v>
      </c>
      <c r="AC41" s="7" t="s">
        <v>107</v>
      </c>
      <c r="AD41" s="7" t="s">
        <v>107</v>
      </c>
      <c r="AE41" s="7" t="s">
        <v>107</v>
      </c>
      <c r="AF41" s="12">
        <v>219.05013400000001</v>
      </c>
      <c r="AG41" s="22" t="s">
        <v>107</v>
      </c>
    </row>
    <row r="42" spans="1:33" s="11" customFormat="1" hidden="1" outlineLevel="1" x14ac:dyDescent="0.3">
      <c r="A42" s="11" t="s">
        <v>48</v>
      </c>
      <c r="B42" s="12">
        <v>3.1678283999999999</v>
      </c>
      <c r="C42" s="12">
        <v>86.5</v>
      </c>
      <c r="D42" s="12">
        <v>2.1331864</v>
      </c>
      <c r="E42" s="17">
        <v>3.8333333000000001</v>
      </c>
      <c r="F42" s="13">
        <v>68.583333300000007</v>
      </c>
      <c r="G42" s="12">
        <v>91.440341799999999</v>
      </c>
      <c r="H42" s="12">
        <v>100.5349202</v>
      </c>
      <c r="I42" s="7" t="s">
        <v>107</v>
      </c>
      <c r="J42" s="7" t="s">
        <v>107</v>
      </c>
      <c r="K42" s="7" t="s">
        <v>107</v>
      </c>
      <c r="L42" s="7" t="s">
        <v>107</v>
      </c>
      <c r="M42" s="7" t="s">
        <v>107</v>
      </c>
      <c r="N42" s="7" t="s">
        <v>107</v>
      </c>
      <c r="O42" s="7" t="s">
        <v>107</v>
      </c>
      <c r="P42" s="7" t="s">
        <v>107</v>
      </c>
      <c r="Q42" s="7" t="s">
        <v>107</v>
      </c>
      <c r="R42" s="7" t="s">
        <v>107</v>
      </c>
      <c r="S42" s="12">
        <v>10.8910891</v>
      </c>
      <c r="T42" s="12">
        <v>8.33</v>
      </c>
      <c r="U42" s="12">
        <v>78.058179100000004</v>
      </c>
      <c r="V42" s="12">
        <v>1</v>
      </c>
      <c r="W42" s="12">
        <v>-4.6797446999999996</v>
      </c>
      <c r="X42" s="7" t="s">
        <v>107</v>
      </c>
      <c r="Y42" s="7" t="s">
        <v>107</v>
      </c>
      <c r="Z42" s="7" t="s">
        <v>107</v>
      </c>
      <c r="AA42" s="7" t="s">
        <v>107</v>
      </c>
      <c r="AB42" s="7" t="s">
        <v>107</v>
      </c>
      <c r="AC42" s="7" t="s">
        <v>107</v>
      </c>
      <c r="AD42" s="7" t="s">
        <v>107</v>
      </c>
      <c r="AE42" s="7" t="s">
        <v>107</v>
      </c>
      <c r="AF42" s="12">
        <v>208.77416120000001</v>
      </c>
      <c r="AG42" s="22" t="s">
        <v>107</v>
      </c>
    </row>
    <row r="43" spans="1:33" s="11" customFormat="1" hidden="1" outlineLevel="1" x14ac:dyDescent="0.3">
      <c r="A43" s="11" t="s">
        <v>49</v>
      </c>
      <c r="B43" s="12">
        <v>3.1476855000000001</v>
      </c>
      <c r="C43" s="12">
        <v>86.6</v>
      </c>
      <c r="D43" s="12">
        <v>2.0344042999999998</v>
      </c>
      <c r="E43" s="17">
        <v>4</v>
      </c>
      <c r="F43" s="13">
        <v>74.953333299999997</v>
      </c>
      <c r="G43" s="12">
        <v>-17.055785799999999</v>
      </c>
      <c r="H43" s="12">
        <v>6.9267016000000003</v>
      </c>
      <c r="I43" s="7" t="s">
        <v>107</v>
      </c>
      <c r="J43" s="7" t="s">
        <v>107</v>
      </c>
      <c r="K43" s="7" t="s">
        <v>107</v>
      </c>
      <c r="L43" s="7" t="s">
        <v>107</v>
      </c>
      <c r="M43" s="7" t="s">
        <v>107</v>
      </c>
      <c r="N43" s="7" t="s">
        <v>107</v>
      </c>
      <c r="O43" s="7" t="s">
        <v>107</v>
      </c>
      <c r="P43" s="7" t="s">
        <v>107</v>
      </c>
      <c r="Q43" s="7" t="s">
        <v>107</v>
      </c>
      <c r="R43" s="7" t="s">
        <v>107</v>
      </c>
      <c r="S43" s="12">
        <v>14.681014599999999</v>
      </c>
      <c r="T43" s="12">
        <v>8.43</v>
      </c>
      <c r="U43" s="12">
        <v>80.099611699999997</v>
      </c>
      <c r="V43" s="12">
        <v>1</v>
      </c>
      <c r="W43" s="12">
        <v>-3.2461465999999999</v>
      </c>
      <c r="X43" s="7" t="s">
        <v>107</v>
      </c>
      <c r="Y43" s="7" t="s">
        <v>107</v>
      </c>
      <c r="Z43" s="7" t="s">
        <v>107</v>
      </c>
      <c r="AA43" s="7" t="s">
        <v>107</v>
      </c>
      <c r="AB43" s="7" t="s">
        <v>107</v>
      </c>
      <c r="AC43" s="7" t="s">
        <v>107</v>
      </c>
      <c r="AD43" s="7" t="s">
        <v>107</v>
      </c>
      <c r="AE43" s="7" t="s">
        <v>107</v>
      </c>
      <c r="AF43" s="12">
        <v>180.9913646</v>
      </c>
      <c r="AG43" s="22" t="s">
        <v>107</v>
      </c>
    </row>
    <row r="44" spans="1:33" s="11" customFormat="1" hidden="1" outlineLevel="1" x14ac:dyDescent="0.3">
      <c r="A44" s="11" t="s">
        <v>50</v>
      </c>
      <c r="B44" s="12">
        <v>2.7223932</v>
      </c>
      <c r="C44" s="12">
        <v>87.72</v>
      </c>
      <c r="D44" s="12">
        <v>2.998043</v>
      </c>
      <c r="E44" s="17">
        <v>4</v>
      </c>
      <c r="F44" s="13">
        <v>88.56</v>
      </c>
      <c r="G44" s="12">
        <v>67.595382400000005</v>
      </c>
      <c r="H44" s="12">
        <v>34.928939800000002</v>
      </c>
      <c r="I44" s="7" t="s">
        <v>107</v>
      </c>
      <c r="J44" s="7" t="s">
        <v>107</v>
      </c>
      <c r="K44" s="7" t="s">
        <v>107</v>
      </c>
      <c r="L44" s="7" t="s">
        <v>107</v>
      </c>
      <c r="M44" s="7" t="s">
        <v>107</v>
      </c>
      <c r="N44" s="7" t="s">
        <v>107</v>
      </c>
      <c r="O44" s="7" t="s">
        <v>107</v>
      </c>
      <c r="P44" s="7" t="s">
        <v>107</v>
      </c>
      <c r="Q44" s="7" t="s">
        <v>107</v>
      </c>
      <c r="R44" s="7" t="s">
        <v>107</v>
      </c>
      <c r="S44" s="12">
        <v>21.7030897</v>
      </c>
      <c r="T44" s="12">
        <v>8.34</v>
      </c>
      <c r="U44" s="12">
        <v>82.572533399999998</v>
      </c>
      <c r="V44" s="12">
        <v>1</v>
      </c>
      <c r="W44" s="12">
        <v>13.039568299999999</v>
      </c>
      <c r="X44" s="7" t="s">
        <v>107</v>
      </c>
      <c r="Y44" s="7" t="s">
        <v>107</v>
      </c>
      <c r="Z44" s="7" t="s">
        <v>107</v>
      </c>
      <c r="AA44" s="7" t="s">
        <v>107</v>
      </c>
      <c r="AB44" s="7" t="s">
        <v>107</v>
      </c>
      <c r="AC44" s="7" t="s">
        <v>107</v>
      </c>
      <c r="AD44" s="7" t="s">
        <v>107</v>
      </c>
      <c r="AE44" s="7" t="s">
        <v>107</v>
      </c>
      <c r="AF44" s="12">
        <v>155.19530810000001</v>
      </c>
      <c r="AG44" s="22" t="s">
        <v>107</v>
      </c>
    </row>
    <row r="45" spans="1:33" s="11" customFormat="1" hidden="1" outlineLevel="1" x14ac:dyDescent="0.3">
      <c r="A45" s="11" t="s">
        <v>51</v>
      </c>
      <c r="B45" s="12">
        <v>1.9060995000000001</v>
      </c>
      <c r="C45" s="12">
        <v>88.42</v>
      </c>
      <c r="D45" s="12">
        <v>3.5484249000000001</v>
      </c>
      <c r="E45" s="17">
        <v>4</v>
      </c>
      <c r="F45" s="13">
        <v>96.936666700000004</v>
      </c>
      <c r="G45" s="12">
        <v>28.5350061</v>
      </c>
      <c r="H45" s="12">
        <v>37.678124199999999</v>
      </c>
      <c r="I45" s="7" t="s">
        <v>107</v>
      </c>
      <c r="J45" s="7" t="s">
        <v>107</v>
      </c>
      <c r="K45" s="7" t="s">
        <v>107</v>
      </c>
      <c r="L45" s="7" t="s">
        <v>107</v>
      </c>
      <c r="M45" s="7" t="s">
        <v>107</v>
      </c>
      <c r="N45" s="7" t="s">
        <v>107</v>
      </c>
      <c r="O45" s="7" t="s">
        <v>107</v>
      </c>
      <c r="P45" s="7">
        <v>213.1</v>
      </c>
      <c r="Q45" s="7">
        <v>46.7</v>
      </c>
      <c r="R45" s="7">
        <v>17.98</v>
      </c>
      <c r="S45" s="12">
        <v>24.441240100000002</v>
      </c>
      <c r="T45" s="12">
        <v>8.3800000000000008</v>
      </c>
      <c r="U45" s="12">
        <v>84.370987299999996</v>
      </c>
      <c r="V45" s="12">
        <v>1</v>
      </c>
      <c r="W45" s="12">
        <v>11.1164123</v>
      </c>
      <c r="X45" s="7" t="s">
        <v>107</v>
      </c>
      <c r="Y45" s="7" t="s">
        <v>107</v>
      </c>
      <c r="Z45" s="7" t="s">
        <v>107</v>
      </c>
      <c r="AA45" s="7" t="s">
        <v>107</v>
      </c>
      <c r="AB45" s="7" t="s">
        <v>107</v>
      </c>
      <c r="AC45" s="7" t="s">
        <v>107</v>
      </c>
      <c r="AD45" s="7" t="s">
        <v>107</v>
      </c>
      <c r="AE45" s="7" t="s">
        <v>107</v>
      </c>
      <c r="AF45" s="12">
        <v>117.7432429</v>
      </c>
      <c r="AG45" s="22" t="s">
        <v>107</v>
      </c>
    </row>
    <row r="46" spans="1:33" s="11" customFormat="1" hidden="1" outlineLevel="1" x14ac:dyDescent="0.3">
      <c r="A46" s="11" t="s">
        <v>52</v>
      </c>
      <c r="B46" s="12">
        <v>1.9101475000000001</v>
      </c>
      <c r="C46" s="12">
        <v>89.906666700000002</v>
      </c>
      <c r="D46" s="12">
        <v>3.9383430000000001</v>
      </c>
      <c r="E46" s="17">
        <v>4</v>
      </c>
      <c r="F46" s="13">
        <v>121.3966667</v>
      </c>
      <c r="G46" s="12">
        <v>41.459690500000001</v>
      </c>
      <c r="H46" s="12">
        <v>20.233818100000001</v>
      </c>
      <c r="I46" s="7" t="s">
        <v>107</v>
      </c>
      <c r="J46" s="7" t="s">
        <v>107</v>
      </c>
      <c r="K46" s="7" t="s">
        <v>107</v>
      </c>
      <c r="L46" s="7" t="s">
        <v>107</v>
      </c>
      <c r="M46" s="7" t="s">
        <v>107</v>
      </c>
      <c r="N46" s="7" t="s">
        <v>107</v>
      </c>
      <c r="O46" s="7" t="s">
        <v>107</v>
      </c>
      <c r="P46" s="7">
        <v>219.7</v>
      </c>
      <c r="Q46" s="7">
        <v>49.1</v>
      </c>
      <c r="R46" s="7">
        <v>18.27</v>
      </c>
      <c r="S46" s="12">
        <v>24.519230799999999</v>
      </c>
      <c r="T46" s="12">
        <v>8.4700000000000006</v>
      </c>
      <c r="U46" s="12">
        <v>86.242843899999997</v>
      </c>
      <c r="V46" s="12">
        <v>1</v>
      </c>
      <c r="W46" s="12">
        <v>-3.3721795000000001</v>
      </c>
      <c r="X46" s="7" t="s">
        <v>107</v>
      </c>
      <c r="Y46" s="7" t="s">
        <v>107</v>
      </c>
      <c r="Z46" s="7" t="s">
        <v>107</v>
      </c>
      <c r="AA46" s="7" t="s">
        <v>107</v>
      </c>
      <c r="AB46" s="7" t="s">
        <v>107</v>
      </c>
      <c r="AC46" s="7" t="s">
        <v>107</v>
      </c>
      <c r="AD46" s="7" t="s">
        <v>107</v>
      </c>
      <c r="AE46" s="7" t="s">
        <v>107</v>
      </c>
      <c r="AF46" s="12">
        <v>84.091484199999996</v>
      </c>
      <c r="AG46" s="22" t="s">
        <v>107</v>
      </c>
    </row>
    <row r="47" spans="1:33" s="11" customFormat="1" hidden="1" outlineLevel="1" x14ac:dyDescent="0.3">
      <c r="A47" s="11" t="s">
        <v>53</v>
      </c>
      <c r="B47" s="12">
        <v>0.87131639999999999</v>
      </c>
      <c r="C47" s="12">
        <v>90.323333300000002</v>
      </c>
      <c r="D47" s="12">
        <v>4.2994611000000003</v>
      </c>
      <c r="E47" s="17">
        <v>4.25</v>
      </c>
      <c r="F47" s="13">
        <v>114.3966667</v>
      </c>
      <c r="G47" s="12">
        <v>32.986591199999999</v>
      </c>
      <c r="H47" s="12">
        <v>17.676164100000001</v>
      </c>
      <c r="I47" s="7" t="s">
        <v>107</v>
      </c>
      <c r="J47" s="7" t="s">
        <v>107</v>
      </c>
      <c r="K47" s="7" t="s">
        <v>107</v>
      </c>
      <c r="L47" s="7" t="s">
        <v>107</v>
      </c>
      <c r="M47" s="7" t="s">
        <v>107</v>
      </c>
      <c r="N47" s="7" t="s">
        <v>107</v>
      </c>
      <c r="O47" s="7" t="s">
        <v>107</v>
      </c>
      <c r="P47" s="7">
        <v>221.3</v>
      </c>
      <c r="Q47" s="7">
        <v>42.2</v>
      </c>
      <c r="R47" s="7">
        <v>16.02</v>
      </c>
      <c r="S47" s="12">
        <v>25</v>
      </c>
      <c r="T47" s="12">
        <v>8.58</v>
      </c>
      <c r="U47" s="12">
        <v>87.766123199999996</v>
      </c>
      <c r="V47" s="12">
        <v>1</v>
      </c>
      <c r="W47" s="12">
        <v>3.5240163999999998</v>
      </c>
      <c r="X47" s="7" t="s">
        <v>107</v>
      </c>
      <c r="Y47" s="7" t="s">
        <v>107</v>
      </c>
      <c r="Z47" s="7" t="s">
        <v>107</v>
      </c>
      <c r="AA47" s="7" t="s">
        <v>107</v>
      </c>
      <c r="AB47" s="7" t="s">
        <v>107</v>
      </c>
      <c r="AC47" s="7" t="s">
        <v>107</v>
      </c>
      <c r="AD47" s="7" t="s">
        <v>107</v>
      </c>
      <c r="AE47" s="7" t="s">
        <v>107</v>
      </c>
      <c r="AF47" s="12">
        <v>61.167288200000002</v>
      </c>
      <c r="AG47" s="22" t="s">
        <v>107</v>
      </c>
    </row>
    <row r="48" spans="1:33" s="11" customFormat="1" hidden="1" outlineLevel="1" x14ac:dyDescent="0.3">
      <c r="A48" s="11" t="s">
        <v>54</v>
      </c>
      <c r="B48" s="12">
        <v>-1.9881508000000001</v>
      </c>
      <c r="C48" s="12">
        <v>90.23</v>
      </c>
      <c r="D48" s="12">
        <v>2.8613770999999999</v>
      </c>
      <c r="E48" s="17">
        <v>3.1666666999999999</v>
      </c>
      <c r="F48" s="13">
        <v>54.66</v>
      </c>
      <c r="G48" s="12">
        <v>34.438710999999998</v>
      </c>
      <c r="H48" s="12">
        <v>-1.4251282000000001</v>
      </c>
      <c r="I48" s="7" t="s">
        <v>107</v>
      </c>
      <c r="J48" s="7" t="s">
        <v>107</v>
      </c>
      <c r="K48" s="7" t="s">
        <v>107</v>
      </c>
      <c r="L48" s="7" t="s">
        <v>107</v>
      </c>
      <c r="M48" s="7" t="s">
        <v>107</v>
      </c>
      <c r="N48" s="7" t="s">
        <v>107</v>
      </c>
      <c r="O48" s="7" t="s">
        <v>107</v>
      </c>
      <c r="P48" s="7">
        <v>221.2</v>
      </c>
      <c r="Q48" s="7">
        <v>43.2</v>
      </c>
      <c r="R48" s="7">
        <v>16.3</v>
      </c>
      <c r="S48" s="12">
        <v>17.708978299999998</v>
      </c>
      <c r="T48" s="12">
        <v>8.81</v>
      </c>
      <c r="U48" s="12">
        <v>88.317932499999998</v>
      </c>
      <c r="V48" s="12">
        <v>1</v>
      </c>
      <c r="W48" s="12">
        <v>-16.348448699999999</v>
      </c>
      <c r="X48" s="7" t="s">
        <v>107</v>
      </c>
      <c r="Y48" s="7" t="s">
        <v>107</v>
      </c>
      <c r="Z48" s="7" t="s">
        <v>107</v>
      </c>
      <c r="AA48" s="7" t="s">
        <v>107</v>
      </c>
      <c r="AB48" s="7" t="s">
        <v>107</v>
      </c>
      <c r="AC48" s="7" t="s">
        <v>107</v>
      </c>
      <c r="AD48" s="7" t="s">
        <v>107</v>
      </c>
      <c r="AE48" s="7" t="s">
        <v>107</v>
      </c>
      <c r="AF48" s="12">
        <v>30.658326899999999</v>
      </c>
      <c r="AG48" s="22" t="s">
        <v>107</v>
      </c>
    </row>
    <row r="49" spans="1:33" s="11" customFormat="1" hidden="1" outlineLevel="1" x14ac:dyDescent="0.3">
      <c r="A49" s="11" t="s">
        <v>55</v>
      </c>
      <c r="B49" s="12">
        <v>-5.4359460999999998</v>
      </c>
      <c r="C49" s="12">
        <v>89.88</v>
      </c>
      <c r="D49" s="12">
        <v>1.6512100999999999</v>
      </c>
      <c r="E49" s="17">
        <v>1.8333333000000001</v>
      </c>
      <c r="F49" s="13">
        <v>44.433333300000001</v>
      </c>
      <c r="G49" s="12">
        <v>-15.9269406</v>
      </c>
      <c r="H49" s="12">
        <v>-15.034067500000001</v>
      </c>
      <c r="I49" s="7" t="s">
        <v>107</v>
      </c>
      <c r="J49" s="7" t="s">
        <v>107</v>
      </c>
      <c r="K49" s="7" t="s">
        <v>107</v>
      </c>
      <c r="L49" s="7" t="s">
        <v>107</v>
      </c>
      <c r="M49" s="7" t="s">
        <v>107</v>
      </c>
      <c r="N49" s="7" t="s">
        <v>107</v>
      </c>
      <c r="O49" s="7" t="s">
        <v>107</v>
      </c>
      <c r="P49" s="7">
        <v>212.5</v>
      </c>
      <c r="Q49" s="7">
        <v>51.6</v>
      </c>
      <c r="R49" s="7">
        <v>19.54</v>
      </c>
      <c r="S49" s="12">
        <v>12.804171500000001</v>
      </c>
      <c r="T49" s="12">
        <v>8.76</v>
      </c>
      <c r="U49" s="12">
        <v>89.037340599999993</v>
      </c>
      <c r="V49" s="12">
        <v>1</v>
      </c>
      <c r="W49" s="12">
        <v>-13.6539287</v>
      </c>
      <c r="X49" s="7" t="s">
        <v>107</v>
      </c>
      <c r="Y49" s="7" t="s">
        <v>107</v>
      </c>
      <c r="Z49" s="7" t="s">
        <v>107</v>
      </c>
      <c r="AA49" s="7" t="s">
        <v>107</v>
      </c>
      <c r="AB49" s="7" t="s">
        <v>107</v>
      </c>
      <c r="AC49" s="7" t="s">
        <v>107</v>
      </c>
      <c r="AD49" s="7" t="s">
        <v>107</v>
      </c>
      <c r="AE49" s="7" t="s">
        <v>107</v>
      </c>
      <c r="AF49" s="12">
        <v>12.8599602</v>
      </c>
      <c r="AG49" s="22" t="s">
        <v>107</v>
      </c>
    </row>
    <row r="50" spans="1:33" s="11" customFormat="1" hidden="1" outlineLevel="1" x14ac:dyDescent="0.3">
      <c r="A50" s="11" t="s">
        <v>56</v>
      </c>
      <c r="B50" s="12">
        <v>-5.8020649999999998</v>
      </c>
      <c r="C50" s="12">
        <v>90.723333299999993</v>
      </c>
      <c r="D50" s="12">
        <v>0.90834930000000003</v>
      </c>
      <c r="E50" s="17">
        <v>1.0833333000000001</v>
      </c>
      <c r="F50" s="13">
        <v>58.696666700000002</v>
      </c>
      <c r="G50" s="12">
        <v>-25.092666699999999</v>
      </c>
      <c r="H50" s="12">
        <v>-20.264317200000001</v>
      </c>
      <c r="I50" s="7" t="s">
        <v>107</v>
      </c>
      <c r="J50" s="7" t="s">
        <v>107</v>
      </c>
      <c r="K50" s="7" t="s">
        <v>107</v>
      </c>
      <c r="L50" s="7" t="s">
        <v>107</v>
      </c>
      <c r="M50" s="7" t="s">
        <v>107</v>
      </c>
      <c r="N50" s="7" t="s">
        <v>107</v>
      </c>
      <c r="O50" s="7" t="s">
        <v>107</v>
      </c>
      <c r="P50" s="7">
        <v>212</v>
      </c>
      <c r="Q50" s="7">
        <v>49.8</v>
      </c>
      <c r="R50" s="7">
        <v>19.02</v>
      </c>
      <c r="S50" s="12">
        <v>7.3359072999999997</v>
      </c>
      <c r="T50" s="12">
        <v>8.69</v>
      </c>
      <c r="U50" s="12">
        <v>89.989957500000003</v>
      </c>
      <c r="V50" s="12">
        <v>1</v>
      </c>
      <c r="W50" s="12">
        <v>-28.124198100000001</v>
      </c>
      <c r="X50" s="7" t="s">
        <v>107</v>
      </c>
      <c r="Y50" s="7" t="s">
        <v>107</v>
      </c>
      <c r="Z50" s="7" t="s">
        <v>107</v>
      </c>
      <c r="AA50" s="7" t="s">
        <v>107</v>
      </c>
      <c r="AB50" s="7" t="s">
        <v>107</v>
      </c>
      <c r="AC50" s="7" t="s">
        <v>107</v>
      </c>
      <c r="AD50" s="7" t="s">
        <v>107</v>
      </c>
      <c r="AE50" s="7" t="s">
        <v>107</v>
      </c>
      <c r="AF50" s="12">
        <v>-2.1132004000000002</v>
      </c>
      <c r="AG50" s="22" t="s">
        <v>107</v>
      </c>
    </row>
    <row r="51" spans="1:33" s="11" customFormat="1" hidden="1" outlineLevel="1" x14ac:dyDescent="0.3">
      <c r="A51" s="11" t="s">
        <v>57</v>
      </c>
      <c r="B51" s="12">
        <v>-4.1677857999999999</v>
      </c>
      <c r="C51" s="12">
        <v>90.663333300000005</v>
      </c>
      <c r="D51" s="12">
        <v>0.37642540000000002</v>
      </c>
      <c r="E51" s="17">
        <v>1</v>
      </c>
      <c r="F51" s="13">
        <v>68.2</v>
      </c>
      <c r="G51" s="12">
        <v>8.2874932000000001</v>
      </c>
      <c r="H51" s="12">
        <v>-34.822592100000001</v>
      </c>
      <c r="I51" s="7" t="s">
        <v>107</v>
      </c>
      <c r="J51" s="7" t="s">
        <v>107</v>
      </c>
      <c r="K51" s="7" t="s">
        <v>107</v>
      </c>
      <c r="L51" s="7" t="s">
        <v>107</v>
      </c>
      <c r="M51" s="7" t="s">
        <v>107</v>
      </c>
      <c r="N51" s="7" t="s">
        <v>107</v>
      </c>
      <c r="O51" s="7" t="s">
        <v>107</v>
      </c>
      <c r="P51" s="7">
        <v>217.8</v>
      </c>
      <c r="Q51" s="7">
        <v>48.6</v>
      </c>
      <c r="R51" s="7">
        <v>18.239999999999998</v>
      </c>
      <c r="S51" s="12">
        <v>2.3056299999999998</v>
      </c>
      <c r="T51" s="12">
        <v>8.73</v>
      </c>
      <c r="U51" s="12">
        <v>89.803541999999993</v>
      </c>
      <c r="V51" s="12">
        <v>1</v>
      </c>
      <c r="W51" s="12">
        <v>-52.2266263</v>
      </c>
      <c r="X51" s="7" t="s">
        <v>107</v>
      </c>
      <c r="Y51" s="7" t="s">
        <v>107</v>
      </c>
      <c r="Z51" s="7" t="s">
        <v>107</v>
      </c>
      <c r="AA51" s="7" t="s">
        <v>107</v>
      </c>
      <c r="AB51" s="7" t="s">
        <v>107</v>
      </c>
      <c r="AC51" s="7" t="s">
        <v>107</v>
      </c>
      <c r="AD51" s="7" t="s">
        <v>107</v>
      </c>
      <c r="AE51" s="7" t="s">
        <v>107</v>
      </c>
      <c r="AF51" s="12">
        <v>-9.4424740000000007</v>
      </c>
      <c r="AG51" s="22" t="s">
        <v>107</v>
      </c>
    </row>
    <row r="52" spans="1:33" s="11" customFormat="1" hidden="1" outlineLevel="1" x14ac:dyDescent="0.3">
      <c r="A52" s="11" t="s">
        <v>58</v>
      </c>
      <c r="B52" s="12">
        <v>-1.8288317999999999</v>
      </c>
      <c r="C52" s="12">
        <v>91.146666699999997</v>
      </c>
      <c r="D52" s="12">
        <v>1.0159222999999999</v>
      </c>
      <c r="E52" s="17">
        <v>1</v>
      </c>
      <c r="F52" s="13">
        <v>74.63</v>
      </c>
      <c r="G52" s="12">
        <v>10.560013</v>
      </c>
      <c r="H52" s="12">
        <v>16.145763200000001</v>
      </c>
      <c r="I52" s="7" t="s">
        <v>107</v>
      </c>
      <c r="J52" s="7" t="s">
        <v>107</v>
      </c>
      <c r="K52" s="7" t="s">
        <v>107</v>
      </c>
      <c r="L52" s="7" t="s">
        <v>107</v>
      </c>
      <c r="M52" s="7" t="s">
        <v>107</v>
      </c>
      <c r="N52" s="7" t="s">
        <v>107</v>
      </c>
      <c r="O52" s="7" t="s">
        <v>107</v>
      </c>
      <c r="P52" s="7">
        <v>209.1</v>
      </c>
      <c r="Q52" s="7">
        <v>53.4</v>
      </c>
      <c r="R52" s="7">
        <v>20.34</v>
      </c>
      <c r="S52" s="12">
        <v>0.94687010000000005</v>
      </c>
      <c r="T52" s="12">
        <v>8.85</v>
      </c>
      <c r="U52" s="12">
        <v>89.956665599999994</v>
      </c>
      <c r="V52" s="12">
        <v>1</v>
      </c>
      <c r="W52" s="12">
        <v>-36.281502600000003</v>
      </c>
      <c r="X52" s="7" t="s">
        <v>107</v>
      </c>
      <c r="Y52" s="7" t="s">
        <v>107</v>
      </c>
      <c r="Z52" s="7" t="s">
        <v>107</v>
      </c>
      <c r="AA52" s="7" t="s">
        <v>107</v>
      </c>
      <c r="AB52" s="7" t="s">
        <v>107</v>
      </c>
      <c r="AC52" s="7" t="s">
        <v>107</v>
      </c>
      <c r="AD52" s="7" t="s">
        <v>107</v>
      </c>
      <c r="AE52" s="7" t="s">
        <v>107</v>
      </c>
      <c r="AF52" s="12">
        <v>-11.3968983</v>
      </c>
      <c r="AG52" s="22" t="s">
        <v>107</v>
      </c>
    </row>
    <row r="53" spans="1:33" s="11" customFormat="1" hidden="1" outlineLevel="1" x14ac:dyDescent="0.3">
      <c r="A53" s="11" t="s">
        <v>59</v>
      </c>
      <c r="B53" s="12">
        <v>1.1991562</v>
      </c>
      <c r="C53" s="12">
        <v>91.416666699999993</v>
      </c>
      <c r="D53" s="12">
        <v>1.709687</v>
      </c>
      <c r="E53" s="17">
        <v>1</v>
      </c>
      <c r="F53" s="13">
        <v>76.25</v>
      </c>
      <c r="G53" s="12">
        <v>26.6174234</v>
      </c>
      <c r="H53" s="12">
        <v>-5.1546006999999996</v>
      </c>
      <c r="I53" s="12">
        <v>-5.9280268999999999</v>
      </c>
      <c r="J53" s="7" t="s">
        <v>107</v>
      </c>
      <c r="K53" s="7" t="s">
        <v>107</v>
      </c>
      <c r="L53" s="7" t="s">
        <v>107</v>
      </c>
      <c r="M53" s="7" t="s">
        <v>107</v>
      </c>
      <c r="N53" s="7" t="s">
        <v>107</v>
      </c>
      <c r="O53" s="7" t="s">
        <v>107</v>
      </c>
      <c r="P53" s="7">
        <v>207.8</v>
      </c>
      <c r="Q53" s="7">
        <v>51.5</v>
      </c>
      <c r="R53" s="7">
        <v>19.86</v>
      </c>
      <c r="S53" s="12">
        <v>7.1391885000000004</v>
      </c>
      <c r="T53" s="12">
        <v>8.8699999999999992</v>
      </c>
      <c r="U53" s="12">
        <v>89.895435000000006</v>
      </c>
      <c r="V53" s="12">
        <v>1</v>
      </c>
      <c r="W53" s="12">
        <v>-14.3460965</v>
      </c>
      <c r="X53" s="7" t="s">
        <v>107</v>
      </c>
      <c r="Y53" s="7" t="s">
        <v>107</v>
      </c>
      <c r="Z53" s="12">
        <v>-35.662702899999999</v>
      </c>
      <c r="AA53" s="12">
        <v>87.139279900000005</v>
      </c>
      <c r="AB53" s="12">
        <v>19.847072199999999</v>
      </c>
      <c r="AC53" s="12">
        <v>35.807549899999998</v>
      </c>
      <c r="AD53" s="12">
        <v>17.817457699999999</v>
      </c>
      <c r="AE53" s="12">
        <v>60.606888099999999</v>
      </c>
      <c r="AF53" s="12">
        <v>-10.6</v>
      </c>
      <c r="AG53" s="22" t="s">
        <v>107</v>
      </c>
    </row>
    <row r="54" spans="1:33" s="11" customFormat="1" hidden="1" outlineLevel="1" x14ac:dyDescent="0.3">
      <c r="A54" s="11" t="s">
        <v>60</v>
      </c>
      <c r="B54" s="12">
        <v>2.6157658000000001</v>
      </c>
      <c r="C54" s="12">
        <v>92.57</v>
      </c>
      <c r="D54" s="12">
        <v>2.0354926</v>
      </c>
      <c r="E54" s="17">
        <v>1</v>
      </c>
      <c r="F54" s="13">
        <v>78.510000000000005</v>
      </c>
      <c r="G54" s="12">
        <v>-8.2775820000000007</v>
      </c>
      <c r="H54" s="12">
        <v>-14.347999700000001</v>
      </c>
      <c r="I54" s="12">
        <v>3.5351224000000001</v>
      </c>
      <c r="J54" s="7" t="s">
        <v>107</v>
      </c>
      <c r="K54" s="7" t="s">
        <v>107</v>
      </c>
      <c r="L54" s="7" t="s">
        <v>107</v>
      </c>
      <c r="M54" s="7" t="s">
        <v>107</v>
      </c>
      <c r="N54" s="7" t="s">
        <v>107</v>
      </c>
      <c r="O54" s="7" t="s">
        <v>107</v>
      </c>
      <c r="P54" s="7">
        <v>202.3</v>
      </c>
      <c r="Q54" s="7">
        <v>50</v>
      </c>
      <c r="R54" s="7">
        <v>19.82</v>
      </c>
      <c r="S54" s="12">
        <v>9.2497430999999999</v>
      </c>
      <c r="T54" s="12">
        <v>8.91</v>
      </c>
      <c r="U54" s="12">
        <v>89.994338900000002</v>
      </c>
      <c r="V54" s="12">
        <v>1</v>
      </c>
      <c r="W54" s="12">
        <v>20.671188900000001</v>
      </c>
      <c r="X54" s="7" t="s">
        <v>107</v>
      </c>
      <c r="Y54" s="7" t="s">
        <v>107</v>
      </c>
      <c r="Z54" s="12">
        <v>-32.799458600000001</v>
      </c>
      <c r="AA54" s="12">
        <v>89.287958799999998</v>
      </c>
      <c r="AB54" s="12">
        <v>20.1205663</v>
      </c>
      <c r="AC54" s="12">
        <v>29.6218453</v>
      </c>
      <c r="AD54" s="12">
        <v>33.029207100000001</v>
      </c>
      <c r="AE54" s="12">
        <v>72.059026200000005</v>
      </c>
      <c r="AF54" s="12">
        <v>-9.1</v>
      </c>
      <c r="AG54" s="22" t="s">
        <v>107</v>
      </c>
    </row>
    <row r="55" spans="1:33" s="11" customFormat="1" hidden="1" outlineLevel="1" x14ac:dyDescent="0.3">
      <c r="A55" s="11" t="s">
        <v>61</v>
      </c>
      <c r="B55" s="12">
        <v>2.4618717000000001</v>
      </c>
      <c r="C55" s="12">
        <v>92.583333300000007</v>
      </c>
      <c r="D55" s="12">
        <v>2.1177248999999998</v>
      </c>
      <c r="E55" s="17">
        <v>1</v>
      </c>
      <c r="F55" s="13">
        <v>76.819999999999993</v>
      </c>
      <c r="G55" s="12">
        <v>-15.4627666</v>
      </c>
      <c r="H55" s="12">
        <v>18.119741999999999</v>
      </c>
      <c r="I55" s="12">
        <v>1.0610101999999999</v>
      </c>
      <c r="J55" s="7" t="s">
        <v>107</v>
      </c>
      <c r="K55" s="7" t="s">
        <v>107</v>
      </c>
      <c r="L55" s="7" t="s">
        <v>107</v>
      </c>
      <c r="M55" s="7" t="s">
        <v>107</v>
      </c>
      <c r="N55" s="7" t="s">
        <v>107</v>
      </c>
      <c r="O55" s="7" t="s">
        <v>107</v>
      </c>
      <c r="P55" s="7">
        <v>211.9</v>
      </c>
      <c r="Q55" s="7">
        <v>50.5</v>
      </c>
      <c r="R55" s="7">
        <v>19.25</v>
      </c>
      <c r="S55" s="12">
        <v>13.4696017</v>
      </c>
      <c r="T55" s="12">
        <v>8.9700000000000006</v>
      </c>
      <c r="U55" s="12">
        <v>89.982423299999994</v>
      </c>
      <c r="V55" s="12">
        <v>1</v>
      </c>
      <c r="W55" s="12">
        <v>42.069302</v>
      </c>
      <c r="X55" s="7" t="s">
        <v>107</v>
      </c>
      <c r="Y55" s="7" t="s">
        <v>107</v>
      </c>
      <c r="Z55" s="12">
        <v>8.1381139999999998</v>
      </c>
      <c r="AA55" s="12">
        <v>68.915828300000001</v>
      </c>
      <c r="AB55" s="12">
        <v>17.912696100000002</v>
      </c>
      <c r="AC55" s="12">
        <v>7.0576901000000003</v>
      </c>
      <c r="AD55" s="12">
        <v>63.5365483</v>
      </c>
      <c r="AE55" s="12">
        <v>57.410719899999997</v>
      </c>
      <c r="AF55" s="12">
        <v>-8.9</v>
      </c>
      <c r="AG55" s="22" t="s">
        <v>107</v>
      </c>
    </row>
    <row r="56" spans="1:33" s="11" customFormat="1" hidden="1" outlineLevel="1" x14ac:dyDescent="0.3">
      <c r="A56" s="11" t="s">
        <v>62</v>
      </c>
      <c r="B56" s="12">
        <v>2.3931737000000002</v>
      </c>
      <c r="C56" s="12">
        <v>93.383333300000004</v>
      </c>
      <c r="D56" s="12">
        <v>2.4539203000000001</v>
      </c>
      <c r="E56" s="17">
        <v>1</v>
      </c>
      <c r="F56" s="13">
        <v>86.466666700000005</v>
      </c>
      <c r="G56" s="12">
        <v>-6.2806040000000003</v>
      </c>
      <c r="H56" s="12">
        <v>-5.3548299999999998</v>
      </c>
      <c r="I56" s="12">
        <v>-18.475428399999998</v>
      </c>
      <c r="J56" s="7" t="s">
        <v>107</v>
      </c>
      <c r="K56" s="7" t="s">
        <v>107</v>
      </c>
      <c r="L56" s="7" t="s">
        <v>107</v>
      </c>
      <c r="M56" s="7" t="s">
        <v>107</v>
      </c>
      <c r="N56" s="7" t="s">
        <v>107</v>
      </c>
      <c r="O56" s="7" t="s">
        <v>107</v>
      </c>
      <c r="P56" s="7">
        <v>210.6</v>
      </c>
      <c r="Q56" s="7">
        <v>51.6</v>
      </c>
      <c r="R56" s="7">
        <v>19.68</v>
      </c>
      <c r="S56" s="12">
        <v>14.382490900000001</v>
      </c>
      <c r="T56" s="12">
        <v>8.98</v>
      </c>
      <c r="U56" s="12">
        <v>90.404282300000006</v>
      </c>
      <c r="V56" s="12">
        <v>1</v>
      </c>
      <c r="W56" s="12">
        <v>44.067164200000001</v>
      </c>
      <c r="X56" s="7" t="s">
        <v>107</v>
      </c>
      <c r="Y56" s="7" t="s">
        <v>107</v>
      </c>
      <c r="Z56" s="12">
        <v>-31.083331399999999</v>
      </c>
      <c r="AA56" s="12">
        <v>86.394693000000004</v>
      </c>
      <c r="AB56" s="12">
        <v>30.567717900000002</v>
      </c>
      <c r="AC56" s="12">
        <v>21.3798739</v>
      </c>
      <c r="AD56" s="12">
        <v>24.002379900000001</v>
      </c>
      <c r="AE56" s="12">
        <v>62.363180999999997</v>
      </c>
      <c r="AF56" s="12">
        <v>-6.1</v>
      </c>
      <c r="AG56" s="22" t="s">
        <v>107</v>
      </c>
    </row>
    <row r="57" spans="1:33" s="11" customFormat="1" hidden="1" outlineLevel="1" x14ac:dyDescent="0.3">
      <c r="A57" s="11" t="s">
        <v>63</v>
      </c>
      <c r="B57" s="12">
        <v>3.2110127999999998</v>
      </c>
      <c r="C57" s="12">
        <v>94.073333300000002</v>
      </c>
      <c r="D57" s="12">
        <v>2.9061075000000001</v>
      </c>
      <c r="E57" s="17">
        <v>1</v>
      </c>
      <c r="F57" s="13">
        <v>104.96</v>
      </c>
      <c r="G57" s="12">
        <v>-2.9683264</v>
      </c>
      <c r="H57" s="12">
        <v>-10.4408353</v>
      </c>
      <c r="I57" s="12">
        <v>-8.8119697000000006</v>
      </c>
      <c r="J57" s="12">
        <v>-0.49434679999999998</v>
      </c>
      <c r="K57" s="12">
        <v>-0.23996719999999999</v>
      </c>
      <c r="L57" s="12">
        <v>6.3088040999999997</v>
      </c>
      <c r="M57" s="12">
        <v>-26.5721381</v>
      </c>
      <c r="N57" s="12">
        <v>53.7547359</v>
      </c>
      <c r="O57" s="12">
        <v>2.6399191000000002</v>
      </c>
      <c r="P57" s="7">
        <v>186</v>
      </c>
      <c r="Q57" s="7">
        <v>50</v>
      </c>
      <c r="R57" s="7">
        <v>21.2</v>
      </c>
      <c r="S57" s="12">
        <v>7.7660593999999996</v>
      </c>
      <c r="T57" s="12">
        <v>9.02</v>
      </c>
      <c r="U57" s="12">
        <v>91.922047199999994</v>
      </c>
      <c r="V57" s="12">
        <v>1</v>
      </c>
      <c r="W57" s="12">
        <v>-0.4644412</v>
      </c>
      <c r="X57" s="12">
        <v>59.673099200000003</v>
      </c>
      <c r="Y57" s="12">
        <v>8.1144120999999991</v>
      </c>
      <c r="Z57" s="12">
        <v>-26.7749664</v>
      </c>
      <c r="AA57" s="12">
        <v>88.880613999999994</v>
      </c>
      <c r="AB57" s="12">
        <v>22.601533</v>
      </c>
      <c r="AC57" s="12">
        <v>25.906582199999999</v>
      </c>
      <c r="AD57" s="12">
        <v>28.444628099999999</v>
      </c>
      <c r="AE57" s="12">
        <v>65.833357399999997</v>
      </c>
      <c r="AF57" s="12">
        <v>-6.8265905</v>
      </c>
      <c r="AG57" s="22" t="s">
        <v>107</v>
      </c>
    </row>
    <row r="58" spans="1:33" s="11" customFormat="1" hidden="1" outlineLevel="1" x14ac:dyDescent="0.3">
      <c r="A58" s="11" t="s">
        <v>64</v>
      </c>
      <c r="B58" s="12">
        <v>2.1036085</v>
      </c>
      <c r="C58" s="12">
        <v>95.516666700000002</v>
      </c>
      <c r="D58" s="12">
        <v>3.1831767000000002</v>
      </c>
      <c r="E58" s="17">
        <v>1.25</v>
      </c>
      <c r="F58" s="13">
        <v>117.36</v>
      </c>
      <c r="G58" s="12">
        <v>15.558912400000001</v>
      </c>
      <c r="H58" s="12">
        <v>5.0514862999999997</v>
      </c>
      <c r="I58" s="12">
        <v>0.33611360000000001</v>
      </c>
      <c r="J58" s="12">
        <v>3.6307463000000002</v>
      </c>
      <c r="K58" s="12">
        <v>2.6906069000000001</v>
      </c>
      <c r="L58" s="12">
        <v>15.510821</v>
      </c>
      <c r="M58" s="12">
        <v>-19.273248200000001</v>
      </c>
      <c r="N58" s="12">
        <v>9.0566846999999999</v>
      </c>
      <c r="O58" s="12">
        <v>-1.1452175</v>
      </c>
      <c r="P58" s="7">
        <v>198.6</v>
      </c>
      <c r="Q58" s="7">
        <v>49.4</v>
      </c>
      <c r="R58" s="7">
        <v>19.899999999999999</v>
      </c>
      <c r="S58" s="12">
        <v>4.7036700000000001E-2</v>
      </c>
      <c r="T58" s="12">
        <v>9.06</v>
      </c>
      <c r="U58" s="12">
        <v>93.360450599999993</v>
      </c>
      <c r="V58" s="12">
        <v>1</v>
      </c>
      <c r="W58" s="12">
        <v>-20.887574000000001</v>
      </c>
      <c r="X58" s="12">
        <v>14.334857100000001</v>
      </c>
      <c r="Y58" s="12">
        <v>5.7908809000000003</v>
      </c>
      <c r="Z58" s="12">
        <v>-28.755940200000001</v>
      </c>
      <c r="AA58" s="12">
        <v>89.460123999999993</v>
      </c>
      <c r="AB58" s="12">
        <v>21.5326004</v>
      </c>
      <c r="AC58" s="12">
        <v>25.179950000000002</v>
      </c>
      <c r="AD58" s="12">
        <v>35.258962599999997</v>
      </c>
      <c r="AE58" s="12">
        <v>71.431637100000003</v>
      </c>
      <c r="AF58" s="12">
        <v>-3.3299230999999998</v>
      </c>
      <c r="AG58" s="22" t="s">
        <v>107</v>
      </c>
    </row>
    <row r="59" spans="1:33" s="11" customFormat="1" hidden="1" outlineLevel="1" x14ac:dyDescent="0.3">
      <c r="A59" s="11" t="s">
        <v>65</v>
      </c>
      <c r="B59" s="12">
        <v>1.8176159000000001</v>
      </c>
      <c r="C59" s="12">
        <v>95.433333300000001</v>
      </c>
      <c r="D59" s="12">
        <v>3.0783078000000001</v>
      </c>
      <c r="E59" s="17">
        <v>1.5</v>
      </c>
      <c r="F59" s="13">
        <v>113.34</v>
      </c>
      <c r="G59" s="12">
        <v>20.948890599999999</v>
      </c>
      <c r="H59" s="12">
        <v>3.5547748000000001</v>
      </c>
      <c r="I59" s="12">
        <v>-3.9839015999999998</v>
      </c>
      <c r="J59" s="12">
        <v>5.9468566999999997</v>
      </c>
      <c r="K59" s="12">
        <v>1.3795398000000001</v>
      </c>
      <c r="L59" s="12">
        <v>10.0007839</v>
      </c>
      <c r="M59" s="12">
        <v>-45.166475300000002</v>
      </c>
      <c r="N59" s="12">
        <v>11.475561799999999</v>
      </c>
      <c r="O59" s="12">
        <v>1.5642516</v>
      </c>
      <c r="P59" s="7">
        <v>202.2</v>
      </c>
      <c r="Q59" s="7">
        <v>49.1</v>
      </c>
      <c r="R59" s="7">
        <v>19.5</v>
      </c>
      <c r="S59" s="12">
        <v>-1.5704388</v>
      </c>
      <c r="T59" s="12">
        <v>9.06</v>
      </c>
      <c r="U59" s="12">
        <v>93.474718899999999</v>
      </c>
      <c r="V59" s="12">
        <v>1</v>
      </c>
      <c r="W59" s="12">
        <v>4.7062865</v>
      </c>
      <c r="X59" s="12">
        <v>16.193690100000001</v>
      </c>
      <c r="Y59" s="12">
        <v>9.1899529999999992</v>
      </c>
      <c r="Z59" s="12">
        <v>13.4801605</v>
      </c>
      <c r="AA59" s="12">
        <v>66.037002000000001</v>
      </c>
      <c r="AB59" s="12">
        <v>16.601892800000002</v>
      </c>
      <c r="AC59" s="12">
        <v>7.1523808999999998</v>
      </c>
      <c r="AD59" s="12">
        <v>67.045373900000001</v>
      </c>
      <c r="AE59" s="12">
        <v>56.836649600000001</v>
      </c>
      <c r="AF59" s="12">
        <v>-2.4136475000000002</v>
      </c>
      <c r="AG59" s="22" t="s">
        <v>107</v>
      </c>
    </row>
    <row r="60" spans="1:33" s="11" customFormat="1" hidden="1" outlineLevel="1" x14ac:dyDescent="0.3">
      <c r="A60" s="11" t="s">
        <v>66</v>
      </c>
      <c r="B60" s="12">
        <v>0.47384009999999999</v>
      </c>
      <c r="C60" s="12">
        <v>96.41</v>
      </c>
      <c r="D60" s="12">
        <v>3.2411208999999999</v>
      </c>
      <c r="E60" s="17">
        <v>1.25</v>
      </c>
      <c r="F60" s="13">
        <v>109.3966667</v>
      </c>
      <c r="G60" s="12">
        <v>-14.803053500000001</v>
      </c>
      <c r="H60" s="12">
        <v>-5.4821381000000002</v>
      </c>
      <c r="I60" s="12">
        <v>-10.1073567</v>
      </c>
      <c r="J60" s="12">
        <v>2.5130987999999999</v>
      </c>
      <c r="K60" s="12">
        <v>-1.9201897999999999</v>
      </c>
      <c r="L60" s="12">
        <v>-20.142259299999999</v>
      </c>
      <c r="M60" s="12">
        <v>34.8443793</v>
      </c>
      <c r="N60" s="12">
        <v>8.9679582</v>
      </c>
      <c r="O60" s="12">
        <v>-1.1643147</v>
      </c>
      <c r="P60" s="7">
        <v>194.7</v>
      </c>
      <c r="Q60" s="7">
        <v>42.9</v>
      </c>
      <c r="R60" s="7">
        <v>18.100000000000001</v>
      </c>
      <c r="S60" s="12">
        <v>-1.8678816</v>
      </c>
      <c r="T60" s="12">
        <v>9.02</v>
      </c>
      <c r="U60" s="12">
        <v>93.949316600000003</v>
      </c>
      <c r="V60" s="12">
        <v>1</v>
      </c>
      <c r="W60" s="12">
        <v>-20.694120699999999</v>
      </c>
      <c r="X60" s="12">
        <v>16.1251712</v>
      </c>
      <c r="Y60" s="12">
        <v>6.4423684999999997</v>
      </c>
      <c r="Z60" s="12">
        <v>-29.041245400000001</v>
      </c>
      <c r="AA60" s="12">
        <v>88.661441800000006</v>
      </c>
      <c r="AB60" s="12">
        <v>25.247283400000001</v>
      </c>
      <c r="AC60" s="12">
        <v>24.556013199999999</v>
      </c>
      <c r="AD60" s="12">
        <v>27.6194509</v>
      </c>
      <c r="AE60" s="12">
        <v>66.084189300000006</v>
      </c>
      <c r="AF60" s="12">
        <v>-3.5389845000000002</v>
      </c>
      <c r="AG60" s="22" t="s">
        <v>107</v>
      </c>
    </row>
    <row r="61" spans="1:33" s="11" customFormat="1" hidden="1" outlineLevel="1" x14ac:dyDescent="0.3">
      <c r="A61" s="11" t="s">
        <v>67</v>
      </c>
      <c r="B61" s="12">
        <v>3.7986600000000002E-2</v>
      </c>
      <c r="C61" s="12">
        <v>96.803333300000006</v>
      </c>
      <c r="D61" s="12">
        <v>2.9019914</v>
      </c>
      <c r="E61" s="17">
        <v>1</v>
      </c>
      <c r="F61" s="13">
        <v>118.49</v>
      </c>
      <c r="G61" s="12">
        <v>-15.6033385</v>
      </c>
      <c r="H61" s="12">
        <v>-14.928866299999999</v>
      </c>
      <c r="I61" s="12">
        <v>-7.4663053000000001</v>
      </c>
      <c r="J61" s="12">
        <v>-3.5523353000000002</v>
      </c>
      <c r="K61" s="12">
        <v>0.17635219999999999</v>
      </c>
      <c r="L61" s="12">
        <v>3.1851851999999998</v>
      </c>
      <c r="M61" s="12">
        <v>10.031399499999999</v>
      </c>
      <c r="N61" s="12">
        <v>-0.41727199999999998</v>
      </c>
      <c r="O61" s="12">
        <v>10.494804500000001</v>
      </c>
      <c r="P61" s="7">
        <v>193</v>
      </c>
      <c r="Q61" s="7">
        <v>50.3</v>
      </c>
      <c r="R61" s="7">
        <v>20.7</v>
      </c>
      <c r="S61" s="12">
        <v>-1.1120996000000001</v>
      </c>
      <c r="T61" s="12">
        <v>8.99</v>
      </c>
      <c r="U61" s="12">
        <v>95.289539500000004</v>
      </c>
      <c r="V61" s="12">
        <v>1</v>
      </c>
      <c r="W61" s="12">
        <v>-14.668999700000001</v>
      </c>
      <c r="X61" s="12">
        <v>-7.8337187999999998</v>
      </c>
      <c r="Y61" s="12">
        <v>11.4533687</v>
      </c>
      <c r="Z61" s="12">
        <v>-35.344513599999999</v>
      </c>
      <c r="AA61" s="12">
        <v>93.940517700000001</v>
      </c>
      <c r="AB61" s="12">
        <v>22.073317800000002</v>
      </c>
      <c r="AC61" s="12">
        <v>32.195791200000002</v>
      </c>
      <c r="AD61" s="12">
        <v>28.680895599999999</v>
      </c>
      <c r="AE61" s="12">
        <v>76.890522200000007</v>
      </c>
      <c r="AF61" s="12">
        <v>-1.2861104999999999</v>
      </c>
      <c r="AG61" s="22" t="s">
        <v>107</v>
      </c>
    </row>
    <row r="62" spans="1:33" s="11" customFormat="1" hidden="1" outlineLevel="1" x14ac:dyDescent="0.3">
      <c r="A62" s="11" t="s">
        <v>68</v>
      </c>
      <c r="B62" s="12">
        <v>-0.91019320000000004</v>
      </c>
      <c r="C62" s="12">
        <v>97.993333300000003</v>
      </c>
      <c r="D62" s="12">
        <v>2.5929156999999998</v>
      </c>
      <c r="E62" s="17">
        <v>1</v>
      </c>
      <c r="F62" s="13">
        <v>108.41666669999999</v>
      </c>
      <c r="G62" s="12">
        <v>37.9869281</v>
      </c>
      <c r="H62" s="12">
        <v>4.5470686000000002</v>
      </c>
      <c r="I62" s="12">
        <v>-11.4899767</v>
      </c>
      <c r="J62" s="12">
        <v>-2.1074587</v>
      </c>
      <c r="K62" s="12">
        <v>-4.8639248000000004</v>
      </c>
      <c r="L62" s="12">
        <v>2.7526974000000002</v>
      </c>
      <c r="M62" s="12">
        <v>-0.56431710000000002</v>
      </c>
      <c r="N62" s="12">
        <v>7.1549778000000002</v>
      </c>
      <c r="O62" s="12">
        <v>1.0212843</v>
      </c>
      <c r="P62" s="7">
        <v>196.7</v>
      </c>
      <c r="Q62" s="7">
        <v>49.1</v>
      </c>
      <c r="R62" s="7">
        <v>20</v>
      </c>
      <c r="S62" s="12">
        <v>2.5858015999999999</v>
      </c>
      <c r="T62" s="12">
        <v>8.89</v>
      </c>
      <c r="U62" s="12">
        <v>96.602859699999996</v>
      </c>
      <c r="V62" s="12">
        <v>1</v>
      </c>
      <c r="W62" s="12">
        <v>1.6828721</v>
      </c>
      <c r="X62" s="12">
        <v>3.4295502</v>
      </c>
      <c r="Y62" s="12">
        <v>1.7941186</v>
      </c>
      <c r="Z62" s="12">
        <v>-30.153032899999999</v>
      </c>
      <c r="AA62" s="12">
        <v>88.947298099999998</v>
      </c>
      <c r="AB62" s="12">
        <v>22.7363024</v>
      </c>
      <c r="AC62" s="12">
        <v>25.4185807</v>
      </c>
      <c r="AD62" s="12">
        <v>38.6935225</v>
      </c>
      <c r="AE62" s="12">
        <v>75.795968400000007</v>
      </c>
      <c r="AF62" s="12">
        <v>-3.0856034999999999</v>
      </c>
      <c r="AG62" s="22" t="s">
        <v>107</v>
      </c>
    </row>
    <row r="63" spans="1:33" s="11" customFormat="1" hidden="1" outlineLevel="1" x14ac:dyDescent="0.3">
      <c r="A63" s="11" t="s">
        <v>69</v>
      </c>
      <c r="B63" s="12">
        <v>-1.0352741000000001</v>
      </c>
      <c r="C63" s="12">
        <v>97.9566667</v>
      </c>
      <c r="D63" s="12">
        <v>2.6440796999999998</v>
      </c>
      <c r="E63" s="17">
        <v>0.75</v>
      </c>
      <c r="F63" s="13">
        <v>109.61333329999999</v>
      </c>
      <c r="G63" s="12">
        <v>-12.0983812</v>
      </c>
      <c r="H63" s="12">
        <v>3.8435678000000002</v>
      </c>
      <c r="I63" s="12">
        <v>1.4174442</v>
      </c>
      <c r="J63" s="12">
        <v>-2.5001247000000002</v>
      </c>
      <c r="K63" s="12">
        <v>-5.1409133999999996</v>
      </c>
      <c r="L63" s="12">
        <v>9.0995741999999993</v>
      </c>
      <c r="M63" s="12">
        <v>-29.4726839</v>
      </c>
      <c r="N63" s="12">
        <v>-1.1528414</v>
      </c>
      <c r="O63" s="12">
        <v>-3.9849098000000001</v>
      </c>
      <c r="P63" s="7">
        <v>211.6</v>
      </c>
      <c r="Q63" s="7">
        <v>48.9</v>
      </c>
      <c r="R63" s="7">
        <v>18.8</v>
      </c>
      <c r="S63" s="12">
        <v>1.0323792000000001</v>
      </c>
      <c r="T63" s="12">
        <v>8.86</v>
      </c>
      <c r="U63" s="12">
        <v>97.448216099999996</v>
      </c>
      <c r="V63" s="12">
        <v>1</v>
      </c>
      <c r="W63" s="12">
        <v>-7.8412074</v>
      </c>
      <c r="X63" s="12">
        <v>-1.0506247</v>
      </c>
      <c r="Y63" s="12">
        <v>-3.2481727</v>
      </c>
      <c r="Z63" s="12">
        <v>18.215731099999999</v>
      </c>
      <c r="AA63" s="12">
        <v>66.309972500000001</v>
      </c>
      <c r="AB63" s="12">
        <v>15.5461244</v>
      </c>
      <c r="AC63" s="12">
        <v>6.5661782999999998</v>
      </c>
      <c r="AD63" s="12">
        <v>68.670158900000004</v>
      </c>
      <c r="AE63" s="12">
        <v>57.092434099999998</v>
      </c>
      <c r="AF63" s="12">
        <v>-2.7691385999999998</v>
      </c>
      <c r="AG63" s="22" t="s">
        <v>107</v>
      </c>
    </row>
    <row r="64" spans="1:33" s="11" customFormat="1" hidden="1" outlineLevel="1" x14ac:dyDescent="0.3">
      <c r="A64" s="11" t="s">
        <v>70</v>
      </c>
      <c r="B64" s="12">
        <v>-0.98067590000000004</v>
      </c>
      <c r="C64" s="12">
        <v>98.773333300000004</v>
      </c>
      <c r="D64" s="12">
        <v>2.4513362999999999</v>
      </c>
      <c r="E64" s="17">
        <v>0.75</v>
      </c>
      <c r="F64" s="13">
        <v>110.08666669999999</v>
      </c>
      <c r="G64" s="12">
        <v>-29.040816700000001</v>
      </c>
      <c r="H64" s="12">
        <v>-33.453484600000003</v>
      </c>
      <c r="I64" s="12">
        <v>-9.9554217999999999</v>
      </c>
      <c r="J64" s="12">
        <v>-2.9658351999999999</v>
      </c>
      <c r="K64" s="12">
        <v>-4.9337638999999998</v>
      </c>
      <c r="L64" s="12">
        <v>-2.2663137</v>
      </c>
      <c r="M64" s="12">
        <v>10.0285426</v>
      </c>
      <c r="N64" s="12">
        <v>-6.8430688999999996</v>
      </c>
      <c r="O64" s="12">
        <v>-2.1307813000000002</v>
      </c>
      <c r="P64" s="7">
        <v>197.4</v>
      </c>
      <c r="Q64" s="7">
        <v>51.3</v>
      </c>
      <c r="R64" s="7">
        <v>20.6</v>
      </c>
      <c r="S64" s="12">
        <v>0.78922930000000002</v>
      </c>
      <c r="T64" s="12">
        <v>8.83</v>
      </c>
      <c r="U64" s="12">
        <v>98.815525800000003</v>
      </c>
      <c r="V64" s="12">
        <v>1</v>
      </c>
      <c r="W64" s="12">
        <v>-5.4539517000000002</v>
      </c>
      <c r="X64" s="12">
        <v>-10.9644286</v>
      </c>
      <c r="Y64" s="12">
        <v>-1.8526596</v>
      </c>
      <c r="Z64" s="12">
        <v>-29.7240106</v>
      </c>
      <c r="AA64" s="12">
        <v>89.832590800000006</v>
      </c>
      <c r="AB64" s="12">
        <v>26.063550599999999</v>
      </c>
      <c r="AC64" s="12">
        <v>25.5150711</v>
      </c>
      <c r="AD64" s="12">
        <v>27.043738900000001</v>
      </c>
      <c r="AE64" s="12">
        <v>68.454951399999999</v>
      </c>
      <c r="AF64" s="12">
        <v>-3.3849933000000001</v>
      </c>
      <c r="AG64" s="22" t="s">
        <v>107</v>
      </c>
    </row>
    <row r="65" spans="1:33" s="11" customFormat="1" hidden="1" outlineLevel="1" x14ac:dyDescent="0.3">
      <c r="A65" s="11" t="s">
        <v>71</v>
      </c>
      <c r="B65" s="12">
        <v>-1.6415721999999999</v>
      </c>
      <c r="C65" s="12">
        <v>98.726666699999996</v>
      </c>
      <c r="D65" s="12">
        <v>1.9868463000000001</v>
      </c>
      <c r="E65" s="17">
        <v>0.75</v>
      </c>
      <c r="F65" s="13">
        <v>112.4933333</v>
      </c>
      <c r="G65" s="12">
        <v>15.8301207</v>
      </c>
      <c r="H65" s="12">
        <v>13.4287528</v>
      </c>
      <c r="I65" s="12">
        <v>-8.8838679999999997</v>
      </c>
      <c r="J65" s="12">
        <v>0.73719710000000005</v>
      </c>
      <c r="K65" s="12">
        <v>1.5996916000000001</v>
      </c>
      <c r="L65" s="12">
        <v>6.1505444000000002</v>
      </c>
      <c r="M65" s="12">
        <v>-23.375744099999999</v>
      </c>
      <c r="N65" s="12">
        <v>-5.3795694999999997</v>
      </c>
      <c r="O65" s="12">
        <v>-9.0331949999999992</v>
      </c>
      <c r="P65" s="7">
        <v>195.2</v>
      </c>
      <c r="Q65" s="7">
        <v>53.6</v>
      </c>
      <c r="R65" s="7">
        <v>21.5</v>
      </c>
      <c r="S65" s="12">
        <v>-1.4394962</v>
      </c>
      <c r="T65" s="12">
        <v>8.81</v>
      </c>
      <c r="U65" s="12">
        <v>98.709901400000007</v>
      </c>
      <c r="V65" s="12">
        <v>1</v>
      </c>
      <c r="W65" s="12">
        <v>3.2809295999999999</v>
      </c>
      <c r="X65" s="12">
        <v>1.7740783</v>
      </c>
      <c r="Y65" s="12">
        <v>-8.1488495000000007</v>
      </c>
      <c r="Z65" s="12">
        <v>-27.007529300000002</v>
      </c>
      <c r="AA65" s="12">
        <v>91.4322315</v>
      </c>
      <c r="AB65" s="12">
        <v>21.662532500000001</v>
      </c>
      <c r="AC65" s="12">
        <v>26.315905000000001</v>
      </c>
      <c r="AD65" s="12">
        <v>25.689507599999999</v>
      </c>
      <c r="AE65" s="12">
        <v>65.100176599999998</v>
      </c>
      <c r="AF65" s="12">
        <v>3.9633110999999999</v>
      </c>
      <c r="AG65" s="22" t="s">
        <v>107</v>
      </c>
    </row>
    <row r="66" spans="1:33" s="11" customFormat="1" hidden="1" outlineLevel="1" x14ac:dyDescent="0.3">
      <c r="A66" s="11" t="s">
        <v>72</v>
      </c>
      <c r="B66" s="12">
        <v>-0.1331087</v>
      </c>
      <c r="C66" s="12">
        <v>99.533333299999995</v>
      </c>
      <c r="D66" s="12">
        <v>1.5715355</v>
      </c>
      <c r="E66" s="17">
        <v>0.58333330000000005</v>
      </c>
      <c r="F66" s="13">
        <v>102.5766667</v>
      </c>
      <c r="G66" s="12">
        <v>-15.0465544</v>
      </c>
      <c r="H66" s="12">
        <v>5.5692162999999999</v>
      </c>
      <c r="I66" s="12">
        <v>-1.9647524999999999</v>
      </c>
      <c r="J66" s="12">
        <v>3.11321</v>
      </c>
      <c r="K66" s="12">
        <v>2.5035131000000002</v>
      </c>
      <c r="L66" s="12">
        <v>-2.8775021000000001</v>
      </c>
      <c r="M66" s="12">
        <v>1.1469678999999999</v>
      </c>
      <c r="N66" s="12">
        <v>1.0014646</v>
      </c>
      <c r="O66" s="12">
        <v>-1.1369860000000001</v>
      </c>
      <c r="P66" s="7">
        <v>204.8</v>
      </c>
      <c r="Q66" s="7">
        <v>48.7</v>
      </c>
      <c r="R66" s="7">
        <v>19.2</v>
      </c>
      <c r="S66" s="12">
        <v>0</v>
      </c>
      <c r="T66" s="12">
        <v>8.8000000000000007</v>
      </c>
      <c r="U66" s="12">
        <v>99.289997499999998</v>
      </c>
      <c r="V66" s="12">
        <v>1</v>
      </c>
      <c r="W66" s="12">
        <v>18.094887799999999</v>
      </c>
      <c r="X66" s="12">
        <v>6.3896692000000002</v>
      </c>
      <c r="Y66" s="12">
        <v>0.33480100000000002</v>
      </c>
      <c r="Z66" s="12">
        <v>-25.105438100000001</v>
      </c>
      <c r="AA66" s="12">
        <v>88.850458000000003</v>
      </c>
      <c r="AB66" s="12">
        <v>20.1324638</v>
      </c>
      <c r="AC66" s="12">
        <v>24.264851400000001</v>
      </c>
      <c r="AD66" s="12">
        <v>37.819930499999998</v>
      </c>
      <c r="AE66" s="12">
        <v>71.067576799999998</v>
      </c>
      <c r="AF66" s="12">
        <v>5.5620123000000001</v>
      </c>
      <c r="AG66" s="22" t="s">
        <v>107</v>
      </c>
    </row>
    <row r="67" spans="1:33" s="11" customFormat="1" hidden="1" outlineLevel="1" x14ac:dyDescent="0.3">
      <c r="A67" s="11" t="s">
        <v>73</v>
      </c>
      <c r="B67" s="12">
        <v>0.53477319999999995</v>
      </c>
      <c r="C67" s="12">
        <v>99.423333299999996</v>
      </c>
      <c r="D67" s="12">
        <v>1.4972605999999999</v>
      </c>
      <c r="E67" s="17">
        <v>0.5</v>
      </c>
      <c r="F67" s="13">
        <v>110.27</v>
      </c>
      <c r="G67" s="12">
        <v>32.517002599999998</v>
      </c>
      <c r="H67" s="12">
        <v>8.3764983999999991</v>
      </c>
      <c r="I67" s="12">
        <v>-5.6105919000000002</v>
      </c>
      <c r="J67" s="12">
        <v>4.2225790999999999</v>
      </c>
      <c r="K67" s="12">
        <v>1.2615212</v>
      </c>
      <c r="L67" s="12">
        <v>13.5842186</v>
      </c>
      <c r="M67" s="12">
        <v>13.8664962</v>
      </c>
      <c r="N67" s="12">
        <v>-0.6281814</v>
      </c>
      <c r="O67" s="12">
        <v>-1.3925254</v>
      </c>
      <c r="P67" s="7">
        <v>210.5</v>
      </c>
      <c r="Q67" s="7">
        <v>45.7</v>
      </c>
      <c r="R67" s="7">
        <v>17.8</v>
      </c>
      <c r="S67" s="12">
        <v>4.6446800000000003E-2</v>
      </c>
      <c r="T67" s="12">
        <v>8.69</v>
      </c>
      <c r="U67" s="12">
        <v>99.613755600000005</v>
      </c>
      <c r="V67" s="12">
        <v>1</v>
      </c>
      <c r="W67" s="12">
        <v>5.8383767000000004</v>
      </c>
      <c r="X67" s="12">
        <v>3.5811297</v>
      </c>
      <c r="Y67" s="12">
        <v>-0.47579110000000002</v>
      </c>
      <c r="Z67" s="12">
        <v>19.585025099999999</v>
      </c>
      <c r="AA67" s="12">
        <v>64.841845599999999</v>
      </c>
      <c r="AB67" s="12">
        <v>14.519220499999999</v>
      </c>
      <c r="AC67" s="12">
        <v>7.0492005999999998</v>
      </c>
      <c r="AD67" s="12">
        <v>65.717970300000005</v>
      </c>
      <c r="AE67" s="12">
        <v>52.128055400000001</v>
      </c>
      <c r="AF67" s="12">
        <v>7.0465228</v>
      </c>
      <c r="AG67" s="22" t="s">
        <v>107</v>
      </c>
    </row>
    <row r="68" spans="1:33" s="11" customFormat="1" hidden="1" outlineLevel="1" x14ac:dyDescent="0.3">
      <c r="A68" s="11" t="s">
        <v>74</v>
      </c>
      <c r="B68" s="12">
        <v>0.83200640000000003</v>
      </c>
      <c r="C68" s="12">
        <v>99.72</v>
      </c>
      <c r="D68" s="12">
        <v>0.95842340000000004</v>
      </c>
      <c r="E68" s="17">
        <v>0.3333333</v>
      </c>
      <c r="F68" s="13">
        <v>109.21</v>
      </c>
      <c r="G68" s="12">
        <v>10.692042000000001</v>
      </c>
      <c r="H68" s="12">
        <v>17.034265999999999</v>
      </c>
      <c r="I68" s="12">
        <v>-8.0733896999999999</v>
      </c>
      <c r="J68" s="12">
        <v>5.2253582999999999</v>
      </c>
      <c r="K68" s="12">
        <v>1.0288056999999999</v>
      </c>
      <c r="L68" s="12">
        <v>-7.9134871000000002</v>
      </c>
      <c r="M68" s="12">
        <v>23.336587399999999</v>
      </c>
      <c r="N68" s="12">
        <v>-3.6525560000000001</v>
      </c>
      <c r="O68" s="12">
        <v>-2.0411106999999999</v>
      </c>
      <c r="P68" s="7">
        <v>197.3</v>
      </c>
      <c r="Q68" s="7">
        <v>47.7</v>
      </c>
      <c r="R68" s="7">
        <v>19.5</v>
      </c>
      <c r="S68" s="12">
        <v>0.69092580000000003</v>
      </c>
      <c r="T68" s="12">
        <v>8.68</v>
      </c>
      <c r="U68" s="12">
        <v>99.104794299999995</v>
      </c>
      <c r="V68" s="12">
        <v>1</v>
      </c>
      <c r="W68" s="12">
        <v>15.647668400000001</v>
      </c>
      <c r="X68" s="12">
        <v>3.1630883999999999</v>
      </c>
      <c r="Y68" s="12">
        <v>-1.1892037</v>
      </c>
      <c r="Z68" s="12">
        <v>-27.400954599999999</v>
      </c>
      <c r="AA68" s="12">
        <v>86.959126299999994</v>
      </c>
      <c r="AB68" s="12">
        <v>23.7327896</v>
      </c>
      <c r="AC68" s="12">
        <v>26.658503700000001</v>
      </c>
      <c r="AD68" s="12">
        <v>24.449242099999999</v>
      </c>
      <c r="AE68" s="12">
        <v>61.799661700000001</v>
      </c>
      <c r="AF68" s="12">
        <v>8.7924054999999992</v>
      </c>
      <c r="AG68" s="22" t="s">
        <v>107</v>
      </c>
    </row>
    <row r="69" spans="1:33" s="11" customFormat="1" hidden="1" outlineLevel="1" x14ac:dyDescent="0.3">
      <c r="A69" s="11" t="s">
        <v>75</v>
      </c>
      <c r="B69" s="12">
        <v>1.8456245</v>
      </c>
      <c r="C69" s="12">
        <v>99.49</v>
      </c>
      <c r="D69" s="12">
        <v>0.77317840000000004</v>
      </c>
      <c r="E69" s="17">
        <v>0.25</v>
      </c>
      <c r="F69" s="13">
        <v>108.16666669999999</v>
      </c>
      <c r="G69" s="12">
        <v>4.8090384999999998</v>
      </c>
      <c r="H69" s="12">
        <v>15.407857699999999</v>
      </c>
      <c r="I69" s="12">
        <v>-5.4385152999999997</v>
      </c>
      <c r="J69" s="12">
        <v>2.0819152999999999</v>
      </c>
      <c r="K69" s="12">
        <v>3.3460166999999998</v>
      </c>
      <c r="L69" s="12">
        <v>-0.90029800000000004</v>
      </c>
      <c r="M69" s="12">
        <v>-4.5254951999999999</v>
      </c>
      <c r="N69" s="12">
        <v>-5.9999753</v>
      </c>
      <c r="O69" s="12">
        <v>-2.9946483000000002</v>
      </c>
      <c r="P69" s="7">
        <v>207.6</v>
      </c>
      <c r="Q69" s="7">
        <v>49.1</v>
      </c>
      <c r="R69" s="7">
        <v>19.100000000000001</v>
      </c>
      <c r="S69" s="12">
        <v>-0.73026020000000003</v>
      </c>
      <c r="T69" s="12">
        <v>8.65</v>
      </c>
      <c r="U69" s="12">
        <v>98.101972700000005</v>
      </c>
      <c r="V69" s="12">
        <v>1</v>
      </c>
      <c r="W69" s="12">
        <v>-3.9708801999999999</v>
      </c>
      <c r="X69" s="12">
        <v>-8.3349101000000001</v>
      </c>
      <c r="Y69" s="12">
        <v>-4.6072660000000001</v>
      </c>
      <c r="Z69" s="12">
        <v>-24.428565599999999</v>
      </c>
      <c r="AA69" s="12">
        <v>89.146626800000007</v>
      </c>
      <c r="AB69" s="12">
        <v>20.062323200000002</v>
      </c>
      <c r="AC69" s="12">
        <v>27.841124000000001</v>
      </c>
      <c r="AD69" s="12">
        <v>22.6305947</v>
      </c>
      <c r="AE69" s="12">
        <v>59.680668799999999</v>
      </c>
      <c r="AF69" s="12">
        <v>2.4227340000000002</v>
      </c>
      <c r="AG69" s="22" t="s">
        <v>107</v>
      </c>
    </row>
    <row r="70" spans="1:33" s="11" customFormat="1" hidden="1" outlineLevel="1" x14ac:dyDescent="0.3">
      <c r="A70" s="11" t="s">
        <v>76</v>
      </c>
      <c r="B70" s="12">
        <v>1.1953549000000001</v>
      </c>
      <c r="C70" s="12">
        <v>100.22333329999999</v>
      </c>
      <c r="D70" s="12">
        <v>0.69323509999999999</v>
      </c>
      <c r="E70" s="17">
        <v>0.21666669999999999</v>
      </c>
      <c r="F70" s="13">
        <v>109.7</v>
      </c>
      <c r="G70" s="12">
        <v>12.0324084</v>
      </c>
      <c r="H70" s="12">
        <v>7.6099924999999997</v>
      </c>
      <c r="I70" s="12">
        <v>-3.8159871000000001</v>
      </c>
      <c r="J70" s="12">
        <v>0.29741309999999999</v>
      </c>
      <c r="K70" s="12">
        <v>2.4469984999999999</v>
      </c>
      <c r="L70" s="12">
        <v>2.1801970000000002</v>
      </c>
      <c r="M70" s="12">
        <v>0.51436499999999996</v>
      </c>
      <c r="N70" s="12">
        <v>-5.4499085000000003</v>
      </c>
      <c r="O70" s="12">
        <v>0.53387059999999997</v>
      </c>
      <c r="P70" s="7">
        <v>218.6</v>
      </c>
      <c r="Q70" s="7">
        <v>49.5</v>
      </c>
      <c r="R70" s="7">
        <v>18.5</v>
      </c>
      <c r="S70" s="12">
        <v>-0.50412460000000003</v>
      </c>
      <c r="T70" s="12">
        <v>8.64</v>
      </c>
      <c r="U70" s="12">
        <v>98.376057099999997</v>
      </c>
      <c r="V70" s="12">
        <v>1</v>
      </c>
      <c r="W70" s="12">
        <v>-26.035502900000001</v>
      </c>
      <c r="X70" s="12">
        <v>-6.7201658999999996</v>
      </c>
      <c r="Y70" s="12">
        <v>0.3102956</v>
      </c>
      <c r="Z70" s="12">
        <v>-29.733065799999999</v>
      </c>
      <c r="AA70" s="12">
        <v>89.233429400000006</v>
      </c>
      <c r="AB70" s="12">
        <v>20.988303699999999</v>
      </c>
      <c r="AC70" s="12">
        <v>25.235563200000001</v>
      </c>
      <c r="AD70" s="12">
        <v>34.7369263</v>
      </c>
      <c r="AE70" s="12">
        <v>70.194222499999995</v>
      </c>
      <c r="AF70" s="12">
        <v>1.2160002999999999</v>
      </c>
      <c r="AG70" s="22" t="s">
        <v>107</v>
      </c>
    </row>
    <row r="71" spans="1:33" s="11" customFormat="1" hidden="1" outlineLevel="1" x14ac:dyDescent="0.3">
      <c r="A71" s="11" t="s">
        <v>77</v>
      </c>
      <c r="B71" s="12">
        <v>1.5779679</v>
      </c>
      <c r="C71" s="12">
        <v>99.91</v>
      </c>
      <c r="D71" s="12">
        <v>0.48948940000000002</v>
      </c>
      <c r="E71" s="17">
        <v>0.1166667</v>
      </c>
      <c r="F71" s="13">
        <v>101.8233333</v>
      </c>
      <c r="G71" s="12">
        <v>-16.4195089</v>
      </c>
      <c r="H71" s="12">
        <v>7.7556600000000003E-2</v>
      </c>
      <c r="I71" s="12">
        <v>0.75776699999999997</v>
      </c>
      <c r="J71" s="12">
        <v>1.5643748</v>
      </c>
      <c r="K71" s="12">
        <v>1.5559422999999999</v>
      </c>
      <c r="L71" s="12">
        <v>10.836747900000001</v>
      </c>
      <c r="M71" s="12">
        <v>1.5703655999999999</v>
      </c>
      <c r="N71" s="12">
        <v>-0.2059445</v>
      </c>
      <c r="O71" s="12">
        <v>1.9060048000000001</v>
      </c>
      <c r="P71" s="7">
        <v>223.2</v>
      </c>
      <c r="Q71" s="7">
        <v>43.7</v>
      </c>
      <c r="R71" s="7">
        <v>16.399999999999999</v>
      </c>
      <c r="S71" s="12">
        <v>-4.6425300000000003E-2</v>
      </c>
      <c r="T71" s="12">
        <v>8.51</v>
      </c>
      <c r="U71" s="12">
        <v>98.593232700000002</v>
      </c>
      <c r="V71" s="12">
        <v>1</v>
      </c>
      <c r="W71" s="12">
        <v>-7.7699293999999997</v>
      </c>
      <c r="X71" s="12">
        <v>1.7078070999999999</v>
      </c>
      <c r="Y71" s="12">
        <v>1.6427634</v>
      </c>
      <c r="Z71" s="12">
        <v>16.633718999999999</v>
      </c>
      <c r="AA71" s="12">
        <v>63.616339699999997</v>
      </c>
      <c r="AB71" s="12">
        <v>14.4885939</v>
      </c>
      <c r="AC71" s="12">
        <v>8.3237927000000003</v>
      </c>
      <c r="AD71" s="12">
        <v>65.466802200000004</v>
      </c>
      <c r="AE71" s="12">
        <v>51.8956175</v>
      </c>
      <c r="AF71" s="12">
        <v>1.0534973000000001</v>
      </c>
      <c r="AG71" s="22" t="s">
        <v>107</v>
      </c>
    </row>
    <row r="72" spans="1:33" s="11" customFormat="1" hidden="1" outlineLevel="1" x14ac:dyDescent="0.3">
      <c r="A72" s="11" t="s">
        <v>78</v>
      </c>
      <c r="B72" s="12">
        <v>1.7505474000000001</v>
      </c>
      <c r="C72" s="12">
        <v>99.97</v>
      </c>
      <c r="D72" s="12">
        <v>0.25070199999999998</v>
      </c>
      <c r="E72" s="17">
        <v>0.05</v>
      </c>
      <c r="F72" s="13">
        <v>76.4033333</v>
      </c>
      <c r="G72" s="12">
        <v>7.2246404000000002</v>
      </c>
      <c r="H72" s="12">
        <v>14.799944500000001</v>
      </c>
      <c r="I72" s="12">
        <v>-5.1738683999999999</v>
      </c>
      <c r="J72" s="12">
        <v>3.2487987</v>
      </c>
      <c r="K72" s="12">
        <v>4.1475907999999997</v>
      </c>
      <c r="L72" s="12">
        <v>-5.3194052000000003</v>
      </c>
      <c r="M72" s="12">
        <v>9.3398018</v>
      </c>
      <c r="N72" s="12">
        <v>8.6348680000000009</v>
      </c>
      <c r="O72" s="12">
        <v>5.9812634999999998</v>
      </c>
      <c r="P72" s="7">
        <v>215.6</v>
      </c>
      <c r="Q72" s="7">
        <v>47.6</v>
      </c>
      <c r="R72" s="7">
        <v>18.100000000000001</v>
      </c>
      <c r="S72" s="12">
        <v>-0.2287283</v>
      </c>
      <c r="T72" s="12">
        <v>8.41</v>
      </c>
      <c r="U72" s="12">
        <v>98.828446200000002</v>
      </c>
      <c r="V72" s="12">
        <v>1</v>
      </c>
      <c r="W72" s="12">
        <v>-7.3178017000000004</v>
      </c>
      <c r="X72" s="12">
        <v>9.4717499000000007</v>
      </c>
      <c r="Y72" s="12">
        <v>3.2235925999999999</v>
      </c>
      <c r="Z72" s="12">
        <v>-24.878258200000001</v>
      </c>
      <c r="AA72" s="12">
        <v>86.700995699999993</v>
      </c>
      <c r="AB72" s="12">
        <v>23.681960100000001</v>
      </c>
      <c r="AC72" s="12">
        <v>25.187403499999999</v>
      </c>
      <c r="AD72" s="12">
        <v>25.7121219</v>
      </c>
      <c r="AE72" s="12">
        <v>61.282366199999998</v>
      </c>
      <c r="AF72" s="12">
        <v>1.5354574000000001</v>
      </c>
      <c r="AG72" s="22" t="s">
        <v>107</v>
      </c>
    </row>
    <row r="73" spans="1:33" s="11" customFormat="1" hidden="1" outlineLevel="1" x14ac:dyDescent="0.3">
      <c r="A73" s="11" t="s">
        <v>79</v>
      </c>
      <c r="B73" s="12">
        <v>2.0633189000000001</v>
      </c>
      <c r="C73" s="12">
        <v>99.203333299999997</v>
      </c>
      <c r="D73" s="12">
        <v>-0.28813620000000001</v>
      </c>
      <c r="E73" s="17">
        <v>0.05</v>
      </c>
      <c r="F73" s="13">
        <v>53.9166667</v>
      </c>
      <c r="G73" s="12">
        <v>9.3883539000000003</v>
      </c>
      <c r="H73" s="12">
        <v>1.8937930000000001</v>
      </c>
      <c r="I73" s="12">
        <v>-8.5222703000000006</v>
      </c>
      <c r="J73" s="12">
        <v>4.2351966000000001</v>
      </c>
      <c r="K73" s="12">
        <v>7.2199448000000004</v>
      </c>
      <c r="L73" s="12">
        <v>5.0805046999999997</v>
      </c>
      <c r="M73" s="12">
        <v>-10.9574263</v>
      </c>
      <c r="N73" s="12">
        <v>6.3731087000000004</v>
      </c>
      <c r="O73" s="12">
        <v>2.701209</v>
      </c>
      <c r="P73" s="7">
        <v>210.9</v>
      </c>
      <c r="Q73" s="7">
        <v>46.8</v>
      </c>
      <c r="R73" s="7">
        <v>18.2</v>
      </c>
      <c r="S73" s="12">
        <v>0.41379310000000002</v>
      </c>
      <c r="T73" s="12">
        <v>8.3000000000000007</v>
      </c>
      <c r="U73" s="12">
        <v>98.899180700000002</v>
      </c>
      <c r="V73" s="12">
        <v>1</v>
      </c>
      <c r="W73" s="12">
        <v>7.0985528000000002</v>
      </c>
      <c r="X73" s="12">
        <v>8.7884942000000006</v>
      </c>
      <c r="Y73" s="12">
        <v>6.3699462000000002</v>
      </c>
      <c r="Z73" s="12">
        <v>-25.074603400000001</v>
      </c>
      <c r="AA73" s="12">
        <v>93.182533500000005</v>
      </c>
      <c r="AB73" s="12">
        <v>21.539102700000001</v>
      </c>
      <c r="AC73" s="12">
        <v>22.8501987</v>
      </c>
      <c r="AD73" s="12">
        <v>23.622314599999999</v>
      </c>
      <c r="AE73" s="12">
        <v>61.194295199999999</v>
      </c>
      <c r="AF73" s="12">
        <v>2.1556899999999999</v>
      </c>
      <c r="AG73" s="22" t="s">
        <v>107</v>
      </c>
    </row>
    <row r="74" spans="1:33" s="11" customFormat="1" hidden="1" outlineLevel="1" x14ac:dyDescent="0.3">
      <c r="A74" s="11" t="s">
        <v>80</v>
      </c>
      <c r="B74" s="12">
        <v>2.2703967</v>
      </c>
      <c r="C74" s="12">
        <v>100.5233333</v>
      </c>
      <c r="D74" s="12">
        <v>0.29933149999999997</v>
      </c>
      <c r="E74" s="17">
        <v>0.05</v>
      </c>
      <c r="F74" s="13">
        <v>61.693333299999999</v>
      </c>
      <c r="G74" s="12">
        <v>51.204231700000001</v>
      </c>
      <c r="H74" s="12">
        <v>2.6531419000000001</v>
      </c>
      <c r="I74" s="12">
        <v>-23.515426999999999</v>
      </c>
      <c r="J74" s="12">
        <v>3.8388339999999999</v>
      </c>
      <c r="K74" s="12">
        <v>0.87206280000000003</v>
      </c>
      <c r="L74" s="12">
        <v>-1.4348959999999999</v>
      </c>
      <c r="M74" s="12">
        <v>18.141696799999998</v>
      </c>
      <c r="N74" s="12">
        <v>0.66508199999999995</v>
      </c>
      <c r="O74" s="12">
        <v>2.0621246000000002</v>
      </c>
      <c r="P74" s="7">
        <v>226.1</v>
      </c>
      <c r="Q74" s="7">
        <v>48.6</v>
      </c>
      <c r="R74" s="7">
        <v>17.7</v>
      </c>
      <c r="S74" s="12">
        <v>0.2303086</v>
      </c>
      <c r="T74" s="12">
        <v>8.14</v>
      </c>
      <c r="U74" s="12">
        <v>100.4451553</v>
      </c>
      <c r="V74" s="12">
        <v>1</v>
      </c>
      <c r="W74" s="12">
        <v>12.7578947</v>
      </c>
      <c r="X74" s="12">
        <v>2.1971501</v>
      </c>
      <c r="Y74" s="12">
        <v>5.3884584999999996</v>
      </c>
      <c r="Z74" s="12">
        <v>-31.024812099999998</v>
      </c>
      <c r="AA74" s="12">
        <v>85.702599000000006</v>
      </c>
      <c r="AB74" s="12">
        <v>19.664090300000002</v>
      </c>
      <c r="AC74" s="12">
        <v>30.465544399999999</v>
      </c>
      <c r="AD74" s="12">
        <v>32.919177300000001</v>
      </c>
      <c r="AE74" s="12">
        <v>68.751294599999994</v>
      </c>
      <c r="AF74" s="12">
        <v>3.0816034999999999</v>
      </c>
      <c r="AG74" s="22" t="s">
        <v>107</v>
      </c>
    </row>
    <row r="75" spans="1:33" s="11" customFormat="1" hidden="1" outlineLevel="1" x14ac:dyDescent="0.3">
      <c r="A75" s="11" t="s">
        <v>81</v>
      </c>
      <c r="B75" s="12">
        <v>2.2457793000000001</v>
      </c>
      <c r="C75" s="12">
        <v>100.1533333</v>
      </c>
      <c r="D75" s="12">
        <v>0.24355250000000001</v>
      </c>
      <c r="E75" s="17">
        <v>0.05</v>
      </c>
      <c r="F75" s="13">
        <v>50.233333299999998</v>
      </c>
      <c r="G75" s="12">
        <v>3.3390998999999999</v>
      </c>
      <c r="H75" s="12">
        <v>2.8577843999999999</v>
      </c>
      <c r="I75" s="12">
        <v>0.59299219999999997</v>
      </c>
      <c r="J75" s="12">
        <v>4.5332004000000001</v>
      </c>
      <c r="K75" s="12">
        <v>-2.0234174</v>
      </c>
      <c r="L75" s="12">
        <v>11.6697474</v>
      </c>
      <c r="M75" s="12">
        <v>42.4077877</v>
      </c>
      <c r="N75" s="12">
        <v>4.8655292000000001</v>
      </c>
      <c r="O75" s="12">
        <v>4.9823789999999999</v>
      </c>
      <c r="P75" s="7">
        <v>229.9</v>
      </c>
      <c r="Q75" s="7">
        <v>45.5</v>
      </c>
      <c r="R75" s="7">
        <v>16.5</v>
      </c>
      <c r="S75" s="12">
        <v>0.27868090000000001</v>
      </c>
      <c r="T75" s="12">
        <v>8.0399999999999991</v>
      </c>
      <c r="U75" s="12">
        <v>100.4008671</v>
      </c>
      <c r="V75" s="12">
        <v>1</v>
      </c>
      <c r="W75" s="12">
        <v>8.5339168000000001</v>
      </c>
      <c r="X75" s="12">
        <v>14.3355438</v>
      </c>
      <c r="Y75" s="12">
        <v>5.6478383000000001</v>
      </c>
      <c r="Z75" s="12">
        <v>24.5553609</v>
      </c>
      <c r="AA75" s="12">
        <v>60.484787099999998</v>
      </c>
      <c r="AB75" s="12">
        <v>14.4781929</v>
      </c>
      <c r="AC75" s="12">
        <v>6.0645480000000003</v>
      </c>
      <c r="AD75" s="12">
        <v>70.6739611</v>
      </c>
      <c r="AE75" s="12">
        <v>51.701320899999999</v>
      </c>
      <c r="AF75" s="12">
        <v>2.3585715999999999</v>
      </c>
      <c r="AG75" s="22" t="s">
        <v>107</v>
      </c>
    </row>
    <row r="76" spans="1:33" s="11" customFormat="1" hidden="1" outlineLevel="1" x14ac:dyDescent="0.3">
      <c r="A76" s="11" t="s">
        <v>82</v>
      </c>
      <c r="B76" s="12">
        <v>2.5478125</v>
      </c>
      <c r="C76" s="12">
        <v>100.1233333</v>
      </c>
      <c r="D76" s="12">
        <v>0.1533793</v>
      </c>
      <c r="E76" s="17">
        <v>0.05</v>
      </c>
      <c r="F76" s="13">
        <v>43.57</v>
      </c>
      <c r="G76" s="12">
        <v>-12.6206692</v>
      </c>
      <c r="H76" s="12">
        <v>-12.2483015</v>
      </c>
      <c r="I76" s="12">
        <v>-4.1036085</v>
      </c>
      <c r="J76" s="12">
        <v>0.85241389999999995</v>
      </c>
      <c r="K76" s="12">
        <v>3.6224569999999998</v>
      </c>
      <c r="L76" s="12">
        <v>-5.1415946999999997</v>
      </c>
      <c r="M76" s="12">
        <v>-0.91666630000000004</v>
      </c>
      <c r="N76" s="12">
        <v>14.532946900000001</v>
      </c>
      <c r="O76" s="12">
        <v>7.4682684000000004</v>
      </c>
      <c r="P76" s="7">
        <v>219.8</v>
      </c>
      <c r="Q76" s="7">
        <v>47.8</v>
      </c>
      <c r="R76" s="7">
        <v>17.899999999999999</v>
      </c>
      <c r="S76" s="12">
        <v>0.18340210000000001</v>
      </c>
      <c r="T76" s="12">
        <v>7.7</v>
      </c>
      <c r="U76" s="12">
        <v>100.254797</v>
      </c>
      <c r="V76" s="12">
        <v>1</v>
      </c>
      <c r="W76" s="12">
        <v>4.3506283999999997</v>
      </c>
      <c r="X76" s="12">
        <v>14.1450947</v>
      </c>
      <c r="Y76" s="12">
        <v>10.6704855</v>
      </c>
      <c r="Z76" s="12">
        <v>-27.727710600000002</v>
      </c>
      <c r="AA76" s="12">
        <v>86.738599500000007</v>
      </c>
      <c r="AB76" s="12">
        <v>23.110321899999999</v>
      </c>
      <c r="AC76" s="12">
        <v>26.492246000000002</v>
      </c>
      <c r="AD76" s="12">
        <v>27.590158899999999</v>
      </c>
      <c r="AE76" s="12">
        <v>63.931217599999997</v>
      </c>
      <c r="AF76" s="12">
        <v>2.9645096999999998</v>
      </c>
      <c r="AG76" s="22" t="s">
        <v>107</v>
      </c>
    </row>
    <row r="77" spans="1:33" s="11" customFormat="1" hidden="1" outlineLevel="1" x14ac:dyDescent="0.3">
      <c r="A77" s="11" t="s">
        <v>83</v>
      </c>
      <c r="B77" s="12">
        <v>1.9366078</v>
      </c>
      <c r="C77" s="12">
        <v>99.246666700000006</v>
      </c>
      <c r="D77" s="12">
        <v>4.3681400000000002E-2</v>
      </c>
      <c r="E77" s="17">
        <v>3.3333300000000003E-2</v>
      </c>
      <c r="F77" s="13">
        <v>33.696666700000002</v>
      </c>
      <c r="G77" s="12">
        <v>12.831443699999999</v>
      </c>
      <c r="H77" s="12">
        <v>10.188026499999999</v>
      </c>
      <c r="I77" s="12">
        <v>-9.9827963000000004</v>
      </c>
      <c r="J77" s="12">
        <v>1.5822619</v>
      </c>
      <c r="K77" s="12">
        <v>5.5975843999999997</v>
      </c>
      <c r="L77" s="12">
        <v>-8.6590600000000004E-2</v>
      </c>
      <c r="M77" s="12">
        <v>28.9574034</v>
      </c>
      <c r="N77" s="12">
        <v>-3.4758418</v>
      </c>
      <c r="O77" s="12">
        <v>15.3783329</v>
      </c>
      <c r="P77" s="7">
        <v>217</v>
      </c>
      <c r="Q77" s="7">
        <v>51.2</v>
      </c>
      <c r="R77" s="7">
        <v>19.100000000000001</v>
      </c>
      <c r="S77" s="12">
        <v>1.2820513</v>
      </c>
      <c r="T77" s="12">
        <v>7.51</v>
      </c>
      <c r="U77" s="12">
        <v>99.004953499999999</v>
      </c>
      <c r="V77" s="12">
        <v>1</v>
      </c>
      <c r="W77" s="12">
        <v>-8.0759331000000003</v>
      </c>
      <c r="X77" s="12">
        <v>-7.1745090999999999</v>
      </c>
      <c r="Y77" s="12">
        <v>11.800366500000001</v>
      </c>
      <c r="Z77" s="12">
        <v>-37.018211200000003</v>
      </c>
      <c r="AA77" s="12">
        <v>91.381435100000004</v>
      </c>
      <c r="AB77" s="12">
        <v>21.067724900000002</v>
      </c>
      <c r="AC77" s="12">
        <v>31.326876800000001</v>
      </c>
      <c r="AD77" s="12">
        <v>20.789998600000001</v>
      </c>
      <c r="AE77" s="12">
        <v>64.566035400000004</v>
      </c>
      <c r="AF77" s="12">
        <v>3.2949997999999998</v>
      </c>
      <c r="AG77" s="22" t="s">
        <v>107</v>
      </c>
    </row>
    <row r="78" spans="1:33" s="11" customFormat="1" hidden="1" outlineLevel="1" x14ac:dyDescent="0.3">
      <c r="A78" s="11" t="s">
        <v>84</v>
      </c>
      <c r="B78" s="12">
        <v>2.4666936000000002</v>
      </c>
      <c r="C78" s="12">
        <v>100.42</v>
      </c>
      <c r="D78" s="12">
        <v>-0.10279530000000001</v>
      </c>
      <c r="E78" s="17">
        <v>0</v>
      </c>
      <c r="F78" s="13">
        <v>45.523333299999997</v>
      </c>
      <c r="G78" s="12">
        <v>-27.259270999999998</v>
      </c>
      <c r="H78" s="12">
        <v>5.7112952000000003</v>
      </c>
      <c r="I78" s="12">
        <v>-4.1628733000000002</v>
      </c>
      <c r="J78" s="12">
        <v>3.4201909000000001</v>
      </c>
      <c r="K78" s="12">
        <v>6.7593604999999997</v>
      </c>
      <c r="L78" s="12">
        <v>0.89832579999999995</v>
      </c>
      <c r="M78" s="12">
        <v>22.641920200000001</v>
      </c>
      <c r="N78" s="12">
        <v>16.584007</v>
      </c>
      <c r="O78" s="12">
        <v>21.682244300000001</v>
      </c>
      <c r="P78" s="7">
        <v>224.7</v>
      </c>
      <c r="Q78" s="7">
        <v>47.6</v>
      </c>
      <c r="R78" s="7">
        <v>17.5</v>
      </c>
      <c r="S78" s="12">
        <v>3.7683824000000001</v>
      </c>
      <c r="T78" s="12">
        <v>7.23</v>
      </c>
      <c r="U78" s="12">
        <v>99.354055200000005</v>
      </c>
      <c r="V78" s="12">
        <v>1</v>
      </c>
      <c r="W78" s="12">
        <v>1.0082150999999999</v>
      </c>
      <c r="X78" s="12">
        <v>10.917434699999999</v>
      </c>
      <c r="Y78" s="12">
        <v>19.283460900000001</v>
      </c>
      <c r="Z78" s="12">
        <v>-39.991417400000003</v>
      </c>
      <c r="AA78" s="12">
        <v>85.384314500000002</v>
      </c>
      <c r="AB78" s="12">
        <v>20.2302085</v>
      </c>
      <c r="AC78" s="12">
        <v>36.878116599999998</v>
      </c>
      <c r="AD78" s="12">
        <v>34.240551000000004</v>
      </c>
      <c r="AE78" s="12">
        <v>76.733190699999994</v>
      </c>
      <c r="AF78" s="12">
        <v>5.1612682999999997</v>
      </c>
      <c r="AG78" s="22" t="s">
        <v>107</v>
      </c>
    </row>
    <row r="79" spans="1:33" s="11" customFormat="1" hidden="1" outlineLevel="1" x14ac:dyDescent="0.3">
      <c r="A79" s="11" t="s">
        <v>85</v>
      </c>
      <c r="B79" s="12">
        <v>1.6225508</v>
      </c>
      <c r="C79" s="12">
        <v>100.42</v>
      </c>
      <c r="D79" s="12">
        <v>0.26625840000000001</v>
      </c>
      <c r="E79" s="17">
        <v>0</v>
      </c>
      <c r="F79" s="13">
        <v>45.786666699999998</v>
      </c>
      <c r="G79" s="12">
        <v>0.1047314</v>
      </c>
      <c r="H79" s="12">
        <v>19.819282600000001</v>
      </c>
      <c r="I79" s="12">
        <v>6.2811209999999997</v>
      </c>
      <c r="J79" s="12">
        <v>2.9631953000000002</v>
      </c>
      <c r="K79" s="12">
        <v>5.6885940000000002</v>
      </c>
      <c r="L79" s="12">
        <v>0.84099009999999996</v>
      </c>
      <c r="M79" s="12">
        <v>64.021574900000005</v>
      </c>
      <c r="N79" s="12">
        <v>4.3017545999999998</v>
      </c>
      <c r="O79" s="12">
        <v>14.549544300000001</v>
      </c>
      <c r="P79" s="7">
        <v>232.4</v>
      </c>
      <c r="Q79" s="7">
        <v>47.1</v>
      </c>
      <c r="R79" s="7">
        <v>16.899999999999999</v>
      </c>
      <c r="S79" s="12">
        <v>4.7707271999999996</v>
      </c>
      <c r="T79" s="12">
        <v>7.01</v>
      </c>
      <c r="U79" s="12">
        <v>99.721890999999999</v>
      </c>
      <c r="V79" s="12">
        <v>1</v>
      </c>
      <c r="W79" s="12">
        <v>-0.3696237</v>
      </c>
      <c r="X79" s="12">
        <v>3.3213591999999998</v>
      </c>
      <c r="Y79" s="12">
        <v>11.346318500000001</v>
      </c>
      <c r="Z79" s="12">
        <v>20.355370000000001</v>
      </c>
      <c r="AA79" s="12">
        <v>58.366025700000002</v>
      </c>
      <c r="AB79" s="12">
        <v>14.085167999999999</v>
      </c>
      <c r="AC79" s="12">
        <v>13.356384500000001</v>
      </c>
      <c r="AD79" s="12">
        <v>67.377355100000003</v>
      </c>
      <c r="AE79" s="12">
        <v>53.184933399999998</v>
      </c>
      <c r="AF79" s="12">
        <v>9.3624454999999998</v>
      </c>
      <c r="AG79" s="22" t="s">
        <v>107</v>
      </c>
    </row>
    <row r="80" spans="1:33" s="11" customFormat="1" hidden="1" outlineLevel="1" x14ac:dyDescent="0.3">
      <c r="A80" s="11" t="s">
        <v>86</v>
      </c>
      <c r="B80" s="12">
        <v>1.866331</v>
      </c>
      <c r="C80" s="12">
        <v>100.89333329999999</v>
      </c>
      <c r="D80" s="12">
        <v>0.7690515</v>
      </c>
      <c r="E80" s="17">
        <v>0</v>
      </c>
      <c r="F80" s="13">
        <v>49.186666700000004</v>
      </c>
      <c r="G80" s="12">
        <v>26.9262628</v>
      </c>
      <c r="H80" s="12">
        <v>11.2214685</v>
      </c>
      <c r="I80" s="12">
        <v>-10.358094100000001</v>
      </c>
      <c r="J80" s="12">
        <v>3.5115379999999998</v>
      </c>
      <c r="K80" s="12">
        <v>3.5872107</v>
      </c>
      <c r="L80" s="12">
        <v>1.4628178999999999</v>
      </c>
      <c r="M80" s="12">
        <v>17.847453399999999</v>
      </c>
      <c r="N80" s="12">
        <v>5.5278362000000003</v>
      </c>
      <c r="O80" s="12">
        <v>9.6845628999999995</v>
      </c>
      <c r="P80" s="7">
        <v>222.4</v>
      </c>
      <c r="Q80" s="7">
        <v>47.3</v>
      </c>
      <c r="R80" s="7">
        <v>17.5</v>
      </c>
      <c r="S80" s="12">
        <v>4.0732264999999996</v>
      </c>
      <c r="T80" s="12">
        <v>6.74</v>
      </c>
      <c r="U80" s="12">
        <v>100.8335599</v>
      </c>
      <c r="V80" s="12">
        <v>1</v>
      </c>
      <c r="W80" s="12">
        <v>-3.6442247999999999</v>
      </c>
      <c r="X80" s="12">
        <v>5.3090403999999998</v>
      </c>
      <c r="Y80" s="12">
        <v>6.8970666999999999</v>
      </c>
      <c r="Z80" s="12">
        <v>-26.3273039</v>
      </c>
      <c r="AA80" s="12">
        <v>81.823898900000003</v>
      </c>
      <c r="AB80" s="12">
        <v>25.0467461</v>
      </c>
      <c r="AC80" s="12">
        <v>28.8054907</v>
      </c>
      <c r="AD80" s="12">
        <v>26.511227999999999</v>
      </c>
      <c r="AE80" s="12">
        <v>62.187363599999998</v>
      </c>
      <c r="AF80" s="12">
        <v>10.8568044</v>
      </c>
      <c r="AG80" s="22" t="s">
        <v>107</v>
      </c>
    </row>
    <row r="81" spans="1:33" s="11" customFormat="1" hidden="1" outlineLevel="1" x14ac:dyDescent="0.3">
      <c r="A81" s="11" t="s">
        <v>87</v>
      </c>
      <c r="B81" s="12">
        <v>3.0351661999999999</v>
      </c>
      <c r="C81" s="12">
        <v>101</v>
      </c>
      <c r="D81" s="12">
        <v>1.766642</v>
      </c>
      <c r="E81" s="17">
        <v>0</v>
      </c>
      <c r="F81" s="13">
        <v>53.68</v>
      </c>
      <c r="G81" s="12">
        <v>2.9593957</v>
      </c>
      <c r="H81" s="12">
        <v>4.5236330999999996</v>
      </c>
      <c r="I81" s="12">
        <v>-8.9977277999999998</v>
      </c>
      <c r="J81" s="12">
        <v>3.1822192</v>
      </c>
      <c r="K81" s="12">
        <v>4.9679773999999997</v>
      </c>
      <c r="L81" s="12">
        <v>0.80233460000000001</v>
      </c>
      <c r="M81" s="12">
        <v>5.8388673999999998</v>
      </c>
      <c r="N81" s="12">
        <v>28.510902099999999</v>
      </c>
      <c r="O81" s="12">
        <v>14.378022100000001</v>
      </c>
      <c r="P81" s="7">
        <v>222.7</v>
      </c>
      <c r="Q81" s="7">
        <v>46.9</v>
      </c>
      <c r="R81" s="7">
        <v>17.399999999999999</v>
      </c>
      <c r="S81" s="12">
        <v>3.7974684000000001</v>
      </c>
      <c r="T81" s="12">
        <v>6.52</v>
      </c>
      <c r="U81" s="12">
        <v>101.3979969</v>
      </c>
      <c r="V81" s="12">
        <v>1</v>
      </c>
      <c r="W81" s="12">
        <v>-10.5355267</v>
      </c>
      <c r="X81" s="12">
        <v>34.604581199999998</v>
      </c>
      <c r="Y81" s="12">
        <v>18.425242999999998</v>
      </c>
      <c r="Z81" s="12">
        <v>-37.038360099999998</v>
      </c>
      <c r="AA81" s="12">
        <v>90.163292299999995</v>
      </c>
      <c r="AB81" s="12">
        <v>20.782486500000001</v>
      </c>
      <c r="AC81" s="12">
        <v>34.173248800000003</v>
      </c>
      <c r="AD81" s="12">
        <v>26.045248300000001</v>
      </c>
      <c r="AE81" s="12">
        <v>71.164276000000001</v>
      </c>
      <c r="AF81" s="12">
        <v>12.2528983</v>
      </c>
      <c r="AG81" s="22" t="s">
        <v>107</v>
      </c>
    </row>
    <row r="82" spans="1:33" s="11" customFormat="1" hidden="1" outlineLevel="1" x14ac:dyDescent="0.3">
      <c r="A82" s="11" t="s">
        <v>88</v>
      </c>
      <c r="B82" s="12">
        <v>2.3084487</v>
      </c>
      <c r="C82" s="12">
        <v>102.11333329999999</v>
      </c>
      <c r="D82" s="12">
        <v>1.6862509999999999</v>
      </c>
      <c r="E82" s="17">
        <v>0</v>
      </c>
      <c r="F82" s="13">
        <v>49.67</v>
      </c>
      <c r="G82" s="12">
        <v>8.3094377999999995</v>
      </c>
      <c r="H82" s="12">
        <v>10.300343</v>
      </c>
      <c r="I82" s="12">
        <v>-3.4281457999999998</v>
      </c>
      <c r="J82" s="12">
        <v>5.4670208999999996</v>
      </c>
      <c r="K82" s="12">
        <v>1.6347092999999999</v>
      </c>
      <c r="L82" s="12">
        <v>-0.5912058</v>
      </c>
      <c r="M82" s="12">
        <v>0.7776902</v>
      </c>
      <c r="N82" s="12">
        <v>9.8386603000000008</v>
      </c>
      <c r="O82" s="12">
        <v>-0.69744859999999997</v>
      </c>
      <c r="P82" s="7">
        <v>232.5</v>
      </c>
      <c r="Q82" s="7">
        <v>41.3</v>
      </c>
      <c r="R82" s="7">
        <v>15.1</v>
      </c>
      <c r="S82" s="12">
        <v>1.8157662000000001</v>
      </c>
      <c r="T82" s="12">
        <v>6.38</v>
      </c>
      <c r="U82" s="12">
        <v>101.5661842</v>
      </c>
      <c r="V82" s="12">
        <v>1</v>
      </c>
      <c r="W82" s="12">
        <v>-8.5397411999999999</v>
      </c>
      <c r="X82" s="12">
        <v>14.094481399999999</v>
      </c>
      <c r="Y82" s="12">
        <v>1.536303</v>
      </c>
      <c r="Z82" s="12">
        <v>-27.360699700000001</v>
      </c>
      <c r="AA82" s="12">
        <v>80.413698299999993</v>
      </c>
      <c r="AB82" s="12">
        <v>18.964941</v>
      </c>
      <c r="AC82" s="12">
        <v>36.084842299999998</v>
      </c>
      <c r="AD82" s="12">
        <v>35.664518800000003</v>
      </c>
      <c r="AE82" s="12">
        <v>71.128099500000005</v>
      </c>
      <c r="AF82" s="12">
        <v>12.545677299999999</v>
      </c>
      <c r="AG82" s="22" t="s">
        <v>107</v>
      </c>
    </row>
    <row r="83" spans="1:33" s="11" customFormat="1" hidden="1" outlineLevel="1" x14ac:dyDescent="0.3">
      <c r="A83" s="11" t="s">
        <v>89</v>
      </c>
      <c r="B83" s="12">
        <v>3.0333996999999999</v>
      </c>
      <c r="C83" s="12">
        <v>102.1166667</v>
      </c>
      <c r="D83" s="12">
        <v>1.6895705000000001</v>
      </c>
      <c r="E83" s="17">
        <v>0</v>
      </c>
      <c r="F83" s="13">
        <v>52.11</v>
      </c>
      <c r="G83" s="12">
        <v>16.9942648</v>
      </c>
      <c r="H83" s="12">
        <v>-3.5506535000000001</v>
      </c>
      <c r="I83" s="12">
        <v>0.1715747</v>
      </c>
      <c r="J83" s="12">
        <v>5.2669661999999997</v>
      </c>
      <c r="K83" s="12">
        <v>5.7884788</v>
      </c>
      <c r="L83" s="12">
        <v>0.139956</v>
      </c>
      <c r="M83" s="12">
        <v>67.369435499999994</v>
      </c>
      <c r="N83" s="12">
        <v>-6.2207828999999997</v>
      </c>
      <c r="O83" s="12">
        <v>5.5242006000000003</v>
      </c>
      <c r="P83" s="7">
        <v>239.8</v>
      </c>
      <c r="Q83" s="7">
        <v>41.8</v>
      </c>
      <c r="R83" s="7">
        <v>14.8</v>
      </c>
      <c r="S83" s="12">
        <v>1.1052166000000001</v>
      </c>
      <c r="T83" s="12">
        <v>6.31</v>
      </c>
      <c r="U83" s="12">
        <v>102.40658259999999</v>
      </c>
      <c r="V83" s="12">
        <v>1</v>
      </c>
      <c r="W83" s="12">
        <v>-1.3490724999999999</v>
      </c>
      <c r="X83" s="12">
        <v>3.6252506000000002</v>
      </c>
      <c r="Y83" s="12">
        <v>7.6273346000000002</v>
      </c>
      <c r="Z83" s="12">
        <v>17.748869800000001</v>
      </c>
      <c r="AA83" s="12">
        <v>57.7386883</v>
      </c>
      <c r="AB83" s="12">
        <v>13.644069399999999</v>
      </c>
      <c r="AC83" s="12">
        <v>17.148570200000002</v>
      </c>
      <c r="AD83" s="12">
        <v>63.659567600000003</v>
      </c>
      <c r="AE83" s="12">
        <v>52.190966099999997</v>
      </c>
      <c r="AF83" s="12">
        <v>10.8628789</v>
      </c>
      <c r="AG83" s="22" t="s">
        <v>107</v>
      </c>
    </row>
    <row r="84" spans="1:33" s="11" customFormat="1" hidden="1" outlineLevel="1" x14ac:dyDescent="0.3">
      <c r="A84" s="11" t="s">
        <v>90</v>
      </c>
      <c r="B84" s="12">
        <v>2.9900169999999999</v>
      </c>
      <c r="C84" s="12">
        <v>102.6233333</v>
      </c>
      <c r="D84" s="12">
        <v>1.7146821999999999</v>
      </c>
      <c r="E84" s="17">
        <v>0</v>
      </c>
      <c r="F84" s="13">
        <v>61.53</v>
      </c>
      <c r="G84" s="12">
        <v>14.8847212</v>
      </c>
      <c r="H84" s="12">
        <v>11.500133699999999</v>
      </c>
      <c r="I84" s="12">
        <v>-12.304096899999999</v>
      </c>
      <c r="J84" s="12">
        <v>4.4374273000000004</v>
      </c>
      <c r="K84" s="12">
        <v>3.6004646999999999</v>
      </c>
      <c r="L84" s="12">
        <v>-4.3664557999999998</v>
      </c>
      <c r="M84" s="12">
        <v>43.512468699999999</v>
      </c>
      <c r="N84" s="12">
        <v>3.2286375999999999</v>
      </c>
      <c r="O84" s="12">
        <v>17.3745437</v>
      </c>
      <c r="P84" s="7">
        <v>222.1</v>
      </c>
      <c r="Q84" s="7">
        <v>45.6</v>
      </c>
      <c r="R84" s="7">
        <v>17</v>
      </c>
      <c r="S84" s="12">
        <v>1.2752858</v>
      </c>
      <c r="T84" s="12">
        <v>6.16</v>
      </c>
      <c r="U84" s="12">
        <v>103.0388014</v>
      </c>
      <c r="V84" s="12">
        <v>1</v>
      </c>
      <c r="W84" s="12">
        <v>2.5641026</v>
      </c>
      <c r="X84" s="12">
        <v>11.5254136</v>
      </c>
      <c r="Y84" s="12">
        <v>20.4844525</v>
      </c>
      <c r="Z84" s="12">
        <v>-34.536149600000002</v>
      </c>
      <c r="AA84" s="12">
        <v>80.706562099999999</v>
      </c>
      <c r="AB84" s="12">
        <v>22.444664899999999</v>
      </c>
      <c r="AC84" s="12">
        <v>38.941871300000003</v>
      </c>
      <c r="AD84" s="12">
        <v>27.4731874</v>
      </c>
      <c r="AE84" s="12">
        <v>69.566285699999995</v>
      </c>
      <c r="AF84" s="12">
        <v>10.499254000000001</v>
      </c>
      <c r="AG84" s="22" t="s">
        <v>107</v>
      </c>
    </row>
    <row r="85" spans="1:33" s="11" customFormat="1" hidden="1" outlineLevel="1" x14ac:dyDescent="0.3">
      <c r="A85" s="11" t="s">
        <v>91</v>
      </c>
      <c r="B85" s="12">
        <v>2.2828298</v>
      </c>
      <c r="C85" s="12">
        <v>102.5466667</v>
      </c>
      <c r="D85" s="12">
        <v>1.5313532000000001</v>
      </c>
      <c r="E85" s="17">
        <v>0</v>
      </c>
      <c r="F85" s="13">
        <v>66.806666699999994</v>
      </c>
      <c r="G85" s="12">
        <v>7.9781614000000003</v>
      </c>
      <c r="H85" s="12">
        <v>10.0285589</v>
      </c>
      <c r="I85" s="12">
        <v>-8.2536140000000007</v>
      </c>
      <c r="J85" s="12">
        <v>4.7825784999999996</v>
      </c>
      <c r="K85" s="12">
        <v>3.0234717</v>
      </c>
      <c r="L85" s="12">
        <v>4.4586543000000001</v>
      </c>
      <c r="M85" s="12">
        <v>11.2040329</v>
      </c>
      <c r="N85" s="12">
        <v>14.921009099999999</v>
      </c>
      <c r="O85" s="12">
        <v>9.2535757000000007</v>
      </c>
      <c r="P85" s="7">
        <v>225</v>
      </c>
      <c r="Q85" s="7">
        <v>43.3</v>
      </c>
      <c r="R85" s="7">
        <v>16.1386507640701</v>
      </c>
      <c r="S85" s="12">
        <v>-8.7108000000000005E-2</v>
      </c>
      <c r="T85" s="12">
        <v>6.06</v>
      </c>
      <c r="U85" s="12">
        <v>104.1824381</v>
      </c>
      <c r="V85" s="12">
        <v>1</v>
      </c>
      <c r="W85" s="12">
        <v>39.084507000000002</v>
      </c>
      <c r="X85" s="12">
        <v>20.0647582</v>
      </c>
      <c r="Y85" s="12">
        <v>10.511662100000001</v>
      </c>
      <c r="Z85" s="12">
        <v>-35.770766600000002</v>
      </c>
      <c r="AA85" s="12">
        <v>86.944964499999998</v>
      </c>
      <c r="AB85" s="12">
        <v>19.7089219</v>
      </c>
      <c r="AC85" s="12">
        <v>37.097137199999999</v>
      </c>
      <c r="AD85" s="12">
        <v>28.879813599999999</v>
      </c>
      <c r="AE85" s="12">
        <v>72.630719400000004</v>
      </c>
      <c r="AF85" s="12">
        <v>10.1092689</v>
      </c>
      <c r="AG85" s="22" t="s">
        <v>107</v>
      </c>
    </row>
    <row r="86" spans="1:33" s="11" customFormat="1" hidden="1" outlineLevel="1" x14ac:dyDescent="0.3">
      <c r="A86" s="11" t="s">
        <v>92</v>
      </c>
      <c r="B86" s="12">
        <v>2.5023559999999998</v>
      </c>
      <c r="C86" s="12">
        <v>104.0133333</v>
      </c>
      <c r="D86" s="12">
        <v>1.8606777000000001</v>
      </c>
      <c r="E86" s="17">
        <v>0</v>
      </c>
      <c r="F86" s="13">
        <v>74.5</v>
      </c>
      <c r="G86" s="12">
        <v>11.4695982</v>
      </c>
      <c r="H86" s="12">
        <v>13.5481689</v>
      </c>
      <c r="I86" s="12">
        <v>-2.7558457999999999</v>
      </c>
      <c r="J86" s="12">
        <v>5.1823505000000001</v>
      </c>
      <c r="K86" s="12">
        <v>5.4395582999999998</v>
      </c>
      <c r="L86" s="12">
        <v>5.9442684000000003</v>
      </c>
      <c r="M86" s="12">
        <v>7.5481493999999998</v>
      </c>
      <c r="N86" s="12">
        <v>17.195354600000002</v>
      </c>
      <c r="O86" s="12">
        <v>12.9204417</v>
      </c>
      <c r="P86" s="7">
        <v>240.2</v>
      </c>
      <c r="Q86" s="7">
        <v>40.5</v>
      </c>
      <c r="R86" s="7">
        <v>14.4</v>
      </c>
      <c r="S86" s="12">
        <v>4.34972E-2</v>
      </c>
      <c r="T86" s="12">
        <v>5.86</v>
      </c>
      <c r="U86" s="12">
        <v>104.7799989</v>
      </c>
      <c r="V86" s="12">
        <v>1</v>
      </c>
      <c r="W86" s="12">
        <v>23.969280399999999</v>
      </c>
      <c r="X86" s="12">
        <v>22.438854800000001</v>
      </c>
      <c r="Y86" s="12">
        <v>16.2983838</v>
      </c>
      <c r="Z86" s="12">
        <v>-28.425068499999998</v>
      </c>
      <c r="AA86" s="12">
        <v>78.594979699999996</v>
      </c>
      <c r="AB86" s="12">
        <v>19.941690600000001</v>
      </c>
      <c r="AC86" s="12">
        <v>36.993808100000003</v>
      </c>
      <c r="AD86" s="12">
        <v>39.728809800000001</v>
      </c>
      <c r="AE86" s="12">
        <v>75.259197999999998</v>
      </c>
      <c r="AF86" s="12">
        <v>10.4255631</v>
      </c>
      <c r="AG86" s="22" t="s">
        <v>107</v>
      </c>
    </row>
    <row r="87" spans="1:33" s="11" customFormat="1" hidden="1" outlineLevel="1" x14ac:dyDescent="0.3">
      <c r="A87" s="11" t="s">
        <v>93</v>
      </c>
      <c r="B87" s="12">
        <v>1.7229988000000001</v>
      </c>
      <c r="C87" s="12">
        <v>104.3666667</v>
      </c>
      <c r="D87" s="12">
        <v>2.2033621999999999</v>
      </c>
      <c r="E87" s="17">
        <v>0</v>
      </c>
      <c r="F87" s="13">
        <v>75.223333299999993</v>
      </c>
      <c r="G87" s="12">
        <v>4.0530710000000001</v>
      </c>
      <c r="H87" s="12">
        <v>17.290210500000001</v>
      </c>
      <c r="I87" s="12">
        <v>3.9180801000000001</v>
      </c>
      <c r="J87" s="12">
        <v>5.3181107000000001</v>
      </c>
      <c r="K87" s="12">
        <v>4.5257404000000001</v>
      </c>
      <c r="L87" s="12">
        <v>5.6019186999999997</v>
      </c>
      <c r="M87" s="12">
        <v>36.471402300000001</v>
      </c>
      <c r="N87" s="12">
        <v>-0.36151630000000001</v>
      </c>
      <c r="O87" s="12">
        <v>7.8237854999999996</v>
      </c>
      <c r="P87" s="7">
        <v>247.2</v>
      </c>
      <c r="Q87" s="7">
        <v>40.6</v>
      </c>
      <c r="R87" s="7">
        <v>14.1</v>
      </c>
      <c r="S87" s="12">
        <v>0.34980319999999998</v>
      </c>
      <c r="T87" s="12">
        <v>5.8</v>
      </c>
      <c r="U87" s="12">
        <v>105.17514300000001</v>
      </c>
      <c r="V87" s="12">
        <v>1</v>
      </c>
      <c r="W87" s="12">
        <v>11.965812</v>
      </c>
      <c r="X87" s="12">
        <v>6.6166374000000001</v>
      </c>
      <c r="Y87" s="12">
        <v>11.4210805</v>
      </c>
      <c r="Z87" s="12">
        <v>13.080579699999999</v>
      </c>
      <c r="AA87" s="12">
        <v>57.188959799999999</v>
      </c>
      <c r="AB87" s="12">
        <v>12.6904568</v>
      </c>
      <c r="AC87" s="12">
        <v>21.1291422</v>
      </c>
      <c r="AD87" s="12">
        <v>62.784248300000002</v>
      </c>
      <c r="AE87" s="12">
        <v>53.7928724</v>
      </c>
      <c r="AF87" s="12">
        <v>10.665670799999999</v>
      </c>
      <c r="AG87" s="22" t="s">
        <v>107</v>
      </c>
    </row>
    <row r="88" spans="1:33" s="11" customFormat="1" hidden="1" outlineLevel="1" x14ac:dyDescent="0.3">
      <c r="A88" s="11" t="s">
        <v>94</v>
      </c>
      <c r="B88" s="12">
        <v>1.7730376000000001</v>
      </c>
      <c r="C88" s="12">
        <v>104.64</v>
      </c>
      <c r="D88" s="12">
        <v>1.9651152000000001</v>
      </c>
      <c r="E88" s="17">
        <v>0</v>
      </c>
      <c r="F88" s="13">
        <v>67.713333300000002</v>
      </c>
      <c r="G88" s="12">
        <v>2.8861569999999999</v>
      </c>
      <c r="H88" s="12">
        <v>5.0581687000000004</v>
      </c>
      <c r="I88" s="12">
        <v>-10.917583499999999</v>
      </c>
      <c r="J88" s="12">
        <v>4.8816625</v>
      </c>
      <c r="K88" s="12">
        <v>5.1272047000000001</v>
      </c>
      <c r="L88" s="12">
        <v>8.3436778999999994</v>
      </c>
      <c r="M88" s="12">
        <v>2.1346767999999998</v>
      </c>
      <c r="N88" s="12">
        <v>10.898138599999999</v>
      </c>
      <c r="O88" s="12">
        <v>7.1219079000000001</v>
      </c>
      <c r="P88" s="7">
        <v>237.3</v>
      </c>
      <c r="Q88" s="7">
        <v>45.4</v>
      </c>
      <c r="R88" s="7">
        <v>16.100000000000001</v>
      </c>
      <c r="S88" s="12">
        <v>0.13026489999999999</v>
      </c>
      <c r="T88" s="12">
        <v>5.75</v>
      </c>
      <c r="U88" s="12">
        <v>104.936652</v>
      </c>
      <c r="V88" s="12">
        <v>1</v>
      </c>
      <c r="W88" s="12">
        <v>17.625</v>
      </c>
      <c r="X88" s="12">
        <v>17.814796600000001</v>
      </c>
      <c r="Y88" s="12">
        <v>10.418741900000001</v>
      </c>
      <c r="Z88" s="12">
        <v>-31.865282499999999</v>
      </c>
      <c r="AA88" s="12">
        <v>79.998059799999993</v>
      </c>
      <c r="AB88" s="12">
        <v>23.854073700000001</v>
      </c>
      <c r="AC88" s="12">
        <v>37.434741899999999</v>
      </c>
      <c r="AD88" s="12">
        <v>30.0105264</v>
      </c>
      <c r="AE88" s="12">
        <v>71.297316699999996</v>
      </c>
      <c r="AF88" s="12">
        <v>11.938015999999999</v>
      </c>
      <c r="AG88" s="22" t="s">
        <v>107</v>
      </c>
    </row>
    <row r="89" spans="1:33" s="11" customFormat="1" hidden="1" outlineLevel="1" x14ac:dyDescent="0.3">
      <c r="A89" s="11" t="s">
        <v>95</v>
      </c>
      <c r="B89" s="12">
        <v>1.9308453999999999</v>
      </c>
      <c r="C89" s="12">
        <v>104.17</v>
      </c>
      <c r="D89" s="12">
        <v>1.5830191</v>
      </c>
      <c r="E89" s="17">
        <v>0</v>
      </c>
      <c r="F89" s="13">
        <v>63.17</v>
      </c>
      <c r="G89" s="12">
        <v>1.5103377</v>
      </c>
      <c r="H89" s="12">
        <v>13.389296399999999</v>
      </c>
      <c r="I89" s="12">
        <v>-3.6158119000000002</v>
      </c>
      <c r="J89" s="12">
        <v>3.2300133999999998</v>
      </c>
      <c r="K89" s="12">
        <v>5.8835853</v>
      </c>
      <c r="L89" s="12">
        <v>1.2011548999999999</v>
      </c>
      <c r="M89" s="12">
        <v>-2.7157382000000001</v>
      </c>
      <c r="N89" s="12">
        <v>12.3108544</v>
      </c>
      <c r="O89" s="12">
        <v>6.4300636999999998</v>
      </c>
      <c r="P89" s="7">
        <v>235.1</v>
      </c>
      <c r="Q89" s="7">
        <v>41.5</v>
      </c>
      <c r="R89" s="7">
        <v>15</v>
      </c>
      <c r="S89" s="12">
        <v>0.61028769999999999</v>
      </c>
      <c r="T89" s="12">
        <v>5.69</v>
      </c>
      <c r="U89" s="12">
        <v>104.72167810000001</v>
      </c>
      <c r="V89" s="12">
        <v>1</v>
      </c>
      <c r="W89" s="12">
        <v>-14.374120899999999</v>
      </c>
      <c r="X89" s="12">
        <v>13.720242300000001</v>
      </c>
      <c r="Y89" s="12">
        <v>7.3626389999999997</v>
      </c>
      <c r="Z89" s="12">
        <v>-35.544443200000003</v>
      </c>
      <c r="AA89" s="12">
        <v>87.294473199999999</v>
      </c>
      <c r="AB89" s="12">
        <v>19.092981999999999</v>
      </c>
      <c r="AC89" s="12">
        <v>36.621799299999999</v>
      </c>
      <c r="AD89" s="12">
        <v>31.293063100000001</v>
      </c>
      <c r="AE89" s="12">
        <v>74.302205299999997</v>
      </c>
      <c r="AF89" s="12">
        <v>12.4365194</v>
      </c>
      <c r="AG89" s="22" t="s">
        <v>107</v>
      </c>
    </row>
    <row r="90" spans="1:33" s="11" customFormat="1" hidden="1" outlineLevel="1" x14ac:dyDescent="0.3">
      <c r="A90" s="11" t="s">
        <v>96</v>
      </c>
      <c r="B90" s="12">
        <v>1.5959346999999999</v>
      </c>
      <c r="C90" s="12">
        <v>105.7566667</v>
      </c>
      <c r="D90" s="12">
        <v>1.6760672000000001</v>
      </c>
      <c r="E90" s="17">
        <v>0</v>
      </c>
      <c r="F90" s="13">
        <v>68.923333299999996</v>
      </c>
      <c r="G90" s="12">
        <v>-5.1557497000000003</v>
      </c>
      <c r="H90" s="12">
        <v>3.7275947999999999</v>
      </c>
      <c r="I90" s="12">
        <v>0.84436029999999995</v>
      </c>
      <c r="J90" s="12">
        <v>3.5645927999999998</v>
      </c>
      <c r="K90" s="12">
        <v>3.6949738999999999</v>
      </c>
      <c r="L90" s="12">
        <v>0.99127900000000002</v>
      </c>
      <c r="M90" s="12">
        <v>2.6163793000000002</v>
      </c>
      <c r="N90" s="12">
        <v>6.7126931000000001</v>
      </c>
      <c r="O90" s="12">
        <v>4.2148288999999997</v>
      </c>
      <c r="P90" s="7">
        <v>248</v>
      </c>
      <c r="Q90" s="7">
        <v>41.5</v>
      </c>
      <c r="R90" s="7">
        <v>14.3</v>
      </c>
      <c r="S90" s="12">
        <v>0.52173910000000001</v>
      </c>
      <c r="T90" s="12">
        <v>5.61</v>
      </c>
      <c r="U90" s="12">
        <v>105.31127360000001</v>
      </c>
      <c r="V90" s="12">
        <v>1</v>
      </c>
      <c r="W90" s="12">
        <v>-9.5207042000000008</v>
      </c>
      <c r="X90" s="12">
        <v>7.8013282000000004</v>
      </c>
      <c r="Y90" s="12">
        <v>4.6633142999999997</v>
      </c>
      <c r="Z90" s="12">
        <v>-28.280382800000002</v>
      </c>
      <c r="AA90" s="12">
        <v>77.8799147</v>
      </c>
      <c r="AB90" s="12">
        <v>18.262651200000001</v>
      </c>
      <c r="AC90" s="12">
        <v>38.178008400000003</v>
      </c>
      <c r="AD90" s="12">
        <v>40.890817300000002</v>
      </c>
      <c r="AE90" s="12">
        <v>75.211391599999999</v>
      </c>
      <c r="AF90" s="12">
        <v>8.9426860000000001</v>
      </c>
      <c r="AG90" s="22" t="s">
        <v>107</v>
      </c>
    </row>
    <row r="91" spans="1:33" s="11" customFormat="1" hidden="1" outlineLevel="1" x14ac:dyDescent="0.3">
      <c r="A91" s="11" t="s">
        <v>97</v>
      </c>
      <c r="B91" s="12">
        <v>2.3612953000000001</v>
      </c>
      <c r="C91" s="12">
        <v>105.74</v>
      </c>
      <c r="D91" s="12">
        <v>1.3158734999999999</v>
      </c>
      <c r="E91" s="17">
        <v>0</v>
      </c>
      <c r="F91" s="13">
        <v>61.93</v>
      </c>
      <c r="G91" s="12">
        <v>11.0550537</v>
      </c>
      <c r="H91" s="12">
        <v>0.98854719999999996</v>
      </c>
      <c r="I91" s="12">
        <v>0.93336989999999997</v>
      </c>
      <c r="J91" s="12">
        <v>5.1946148000000001</v>
      </c>
      <c r="K91" s="12">
        <v>0.20223189999999999</v>
      </c>
      <c r="L91" s="12">
        <v>0.59310819999999997</v>
      </c>
      <c r="M91" s="12">
        <v>25.2774827</v>
      </c>
      <c r="N91" s="12">
        <v>4.0329816999999997</v>
      </c>
      <c r="O91" s="12">
        <v>5.3338407999999999</v>
      </c>
      <c r="P91" s="7">
        <v>254.2</v>
      </c>
      <c r="Q91" s="7">
        <v>45.7</v>
      </c>
      <c r="R91" s="7">
        <v>15.2</v>
      </c>
      <c r="S91" s="12">
        <v>1.0021787</v>
      </c>
      <c r="T91" s="12">
        <v>5.6</v>
      </c>
      <c r="U91" s="12">
        <v>104.90020269999999</v>
      </c>
      <c r="V91" s="12">
        <v>1</v>
      </c>
      <c r="W91" s="12">
        <v>6.1068600000000001E-2</v>
      </c>
      <c r="X91" s="12">
        <v>9.2502355999999999</v>
      </c>
      <c r="Y91" s="12">
        <v>5.8460489000000004</v>
      </c>
      <c r="Z91" s="12">
        <v>16.929597000000001</v>
      </c>
      <c r="AA91" s="12">
        <v>53.368312400000001</v>
      </c>
      <c r="AB91" s="12">
        <v>12.715706600000001</v>
      </c>
      <c r="AC91" s="12">
        <v>23.093008399999999</v>
      </c>
      <c r="AD91" s="12">
        <v>63.768207500000003</v>
      </c>
      <c r="AE91" s="12">
        <v>52.945234999999997</v>
      </c>
      <c r="AF91" s="12">
        <v>8.5559437999999997</v>
      </c>
      <c r="AG91" s="22" t="s">
        <v>107</v>
      </c>
    </row>
    <row r="92" spans="1:33" s="11" customFormat="1" hidden="1" outlineLevel="1" x14ac:dyDescent="0.3">
      <c r="A92" s="11" t="s">
        <v>98</v>
      </c>
      <c r="B92" s="12">
        <v>1.3592039</v>
      </c>
      <c r="C92" s="12">
        <v>106.0066667</v>
      </c>
      <c r="D92" s="12">
        <v>1.3060653</v>
      </c>
      <c r="E92" s="17">
        <v>0</v>
      </c>
      <c r="F92" s="13">
        <v>63.41</v>
      </c>
      <c r="G92" s="12">
        <v>13.6359932</v>
      </c>
      <c r="H92" s="12">
        <v>15.6538045</v>
      </c>
      <c r="I92" s="12">
        <v>-10.8748088</v>
      </c>
      <c r="J92" s="12">
        <v>3.6600324</v>
      </c>
      <c r="K92" s="12">
        <v>2.9260416999999999</v>
      </c>
      <c r="L92" s="12">
        <v>1.1430617000000001</v>
      </c>
      <c r="M92" s="12">
        <v>-8.9264796000000004</v>
      </c>
      <c r="N92" s="12">
        <v>4.9545228999999997</v>
      </c>
      <c r="O92" s="12">
        <v>-4.0691135000000003</v>
      </c>
      <c r="P92" s="7">
        <v>238.1</v>
      </c>
      <c r="Q92" s="7">
        <v>45</v>
      </c>
      <c r="R92" s="7">
        <v>15.9</v>
      </c>
      <c r="S92" s="12">
        <v>1.2575889</v>
      </c>
      <c r="T92" s="12">
        <v>5.46</v>
      </c>
      <c r="U92" s="12">
        <v>105.6564614</v>
      </c>
      <c r="V92" s="12">
        <v>1</v>
      </c>
      <c r="W92" s="12">
        <v>-1.5940489</v>
      </c>
      <c r="X92" s="12">
        <v>4.1854665000000004</v>
      </c>
      <c r="Y92" s="12">
        <v>-3.1787133999999999</v>
      </c>
      <c r="Z92" s="12">
        <v>-27.193527199999998</v>
      </c>
      <c r="AA92" s="12">
        <v>77.697969799999996</v>
      </c>
      <c r="AB92" s="12">
        <v>23.125660499999999</v>
      </c>
      <c r="AC92" s="12">
        <v>34.608833500000003</v>
      </c>
      <c r="AD92" s="12">
        <v>29.328867800000001</v>
      </c>
      <c r="AE92" s="12">
        <v>64.761251799999997</v>
      </c>
      <c r="AF92" s="12">
        <v>8.6015768999999995</v>
      </c>
      <c r="AG92" s="22" t="s">
        <v>107</v>
      </c>
    </row>
    <row r="93" spans="1:33" s="11" customFormat="1" hidden="1" outlineLevel="1" x14ac:dyDescent="0.3">
      <c r="A93" s="11" t="s">
        <v>99</v>
      </c>
      <c r="B93" s="12">
        <v>-2.2061226999999999</v>
      </c>
      <c r="C93" s="12">
        <v>105.74666670000001</v>
      </c>
      <c r="D93" s="12">
        <v>1.5135516</v>
      </c>
      <c r="E93" s="17">
        <v>0</v>
      </c>
      <c r="F93" s="13">
        <v>50.44</v>
      </c>
      <c r="G93" s="12">
        <v>12.2300393</v>
      </c>
      <c r="H93" s="12">
        <v>1.0885343000000001</v>
      </c>
      <c r="I93" s="12">
        <v>-8.4591209000000003</v>
      </c>
      <c r="J93" s="12">
        <v>2.5049834</v>
      </c>
      <c r="K93" s="12">
        <v>3.2981443000000001</v>
      </c>
      <c r="L93" s="12">
        <v>1.8235536999999999</v>
      </c>
      <c r="M93" s="12">
        <v>-6.6251791999999998</v>
      </c>
      <c r="N93" s="12">
        <v>1.2371125999999999</v>
      </c>
      <c r="O93" s="12">
        <v>-1.7720537000000001</v>
      </c>
      <c r="P93" s="7">
        <v>237</v>
      </c>
      <c r="Q93" s="7">
        <v>46.2</v>
      </c>
      <c r="R93" s="7">
        <v>16.3</v>
      </c>
      <c r="S93" s="12">
        <v>2.1663777999999998</v>
      </c>
      <c r="T93" s="12">
        <v>5.42</v>
      </c>
      <c r="U93" s="12">
        <v>105.5523182</v>
      </c>
      <c r="V93" s="12">
        <v>1</v>
      </c>
      <c r="W93" s="12">
        <v>12.9106439</v>
      </c>
      <c r="X93" s="12">
        <v>-1.2865312</v>
      </c>
      <c r="Y93" s="12">
        <v>0.1240541</v>
      </c>
      <c r="Z93" s="12">
        <v>-35.132480700000002</v>
      </c>
      <c r="AA93" s="12">
        <v>88.683268600000005</v>
      </c>
      <c r="AB93" s="12">
        <v>24.0060675</v>
      </c>
      <c r="AC93" s="12">
        <v>29.5956829</v>
      </c>
      <c r="AD93" s="12">
        <v>30.0261906</v>
      </c>
      <c r="AE93" s="12">
        <v>72.311100400000001</v>
      </c>
      <c r="AF93" s="12">
        <v>6.4552491999999999</v>
      </c>
      <c r="AG93" s="22" t="s">
        <v>107</v>
      </c>
    </row>
    <row r="94" spans="1:33" s="11" customFormat="1" hidden="1" outlineLevel="1" x14ac:dyDescent="0.3">
      <c r="A94" s="11" t="s">
        <v>100</v>
      </c>
      <c r="B94" s="12">
        <v>-13.380244299999999</v>
      </c>
      <c r="C94" s="12">
        <v>106.50333329999999</v>
      </c>
      <c r="D94" s="12">
        <v>0.70602319999999996</v>
      </c>
      <c r="E94" s="17">
        <v>0</v>
      </c>
      <c r="F94" s="13">
        <v>29.343333300000001</v>
      </c>
      <c r="G94" s="12">
        <v>15.0774171</v>
      </c>
      <c r="H94" s="12">
        <v>-17.718778499999999</v>
      </c>
      <c r="I94" s="12">
        <v>-15.2275676</v>
      </c>
      <c r="J94" s="12">
        <v>-20.4612187</v>
      </c>
      <c r="K94" s="12">
        <v>-15.208936599999999</v>
      </c>
      <c r="L94" s="12">
        <v>2.3397263000000001</v>
      </c>
      <c r="M94" s="12">
        <v>-25.715405799999999</v>
      </c>
      <c r="N94" s="12">
        <v>-54.806561100000003</v>
      </c>
      <c r="O94" s="12">
        <v>-30.825954299999999</v>
      </c>
      <c r="P94" s="7">
        <v>226.8</v>
      </c>
      <c r="Q94" s="7">
        <v>40.700000000000003</v>
      </c>
      <c r="R94" s="7">
        <v>15.2</v>
      </c>
      <c r="S94" s="12">
        <v>1.1678200999999999</v>
      </c>
      <c r="T94" s="12">
        <v>5.41</v>
      </c>
      <c r="U94" s="12">
        <v>104.5864066</v>
      </c>
      <c r="V94" s="12">
        <v>1</v>
      </c>
      <c r="W94" s="12">
        <v>-15.819819799999999</v>
      </c>
      <c r="X94" s="12">
        <v>-57.253198300000001</v>
      </c>
      <c r="Y94" s="12">
        <v>-31.284653200000001</v>
      </c>
      <c r="Z94" s="12">
        <v>-35.755667099999997</v>
      </c>
      <c r="AA94" s="12">
        <v>84.525111199999998</v>
      </c>
      <c r="AB94" s="12">
        <v>24.201728800000001</v>
      </c>
      <c r="AC94" s="12">
        <v>35.337174900000001</v>
      </c>
      <c r="AD94" s="12">
        <v>22.521987500000002</v>
      </c>
      <c r="AE94" s="12">
        <v>66.586002399999998</v>
      </c>
      <c r="AF94" s="12">
        <v>7.3875067000000003</v>
      </c>
      <c r="AG94" s="22" t="s">
        <v>107</v>
      </c>
    </row>
    <row r="95" spans="1:33" s="11" customFormat="1" hidden="1" outlineLevel="1" x14ac:dyDescent="0.3">
      <c r="A95" s="11" t="s">
        <v>101</v>
      </c>
      <c r="B95" s="12">
        <v>-3.6984297000000002</v>
      </c>
      <c r="C95" s="12">
        <v>106.27</v>
      </c>
      <c r="D95" s="12">
        <v>0.50122940000000005</v>
      </c>
      <c r="E95" s="17">
        <v>0</v>
      </c>
      <c r="F95" s="13">
        <v>42.963333300000002</v>
      </c>
      <c r="G95" s="12">
        <v>7.6143352999999996</v>
      </c>
      <c r="H95" s="12">
        <v>-18.679837599999999</v>
      </c>
      <c r="I95" s="12">
        <v>-9.7990265000000001</v>
      </c>
      <c r="J95" s="12">
        <v>-27.060424300000001</v>
      </c>
      <c r="K95" s="12">
        <v>0.34428760000000003</v>
      </c>
      <c r="L95" s="12">
        <v>2.3790187</v>
      </c>
      <c r="M95" s="12">
        <v>11.764393099999999</v>
      </c>
      <c r="N95" s="12">
        <v>-69.849417200000005</v>
      </c>
      <c r="O95" s="12">
        <v>-26.967958700000001</v>
      </c>
      <c r="P95" s="7">
        <v>215.5</v>
      </c>
      <c r="Q95" s="7">
        <v>50.6</v>
      </c>
      <c r="R95" s="7">
        <v>19</v>
      </c>
      <c r="S95" s="12">
        <v>1.078516</v>
      </c>
      <c r="T95" s="12">
        <v>5.34</v>
      </c>
      <c r="U95" s="12">
        <v>104.5924017</v>
      </c>
      <c r="V95" s="12">
        <v>1</v>
      </c>
      <c r="W95" s="12">
        <v>-2.8074458</v>
      </c>
      <c r="X95" s="12">
        <v>-71.450159499999998</v>
      </c>
      <c r="Y95" s="12">
        <v>-28.3289762</v>
      </c>
      <c r="Z95" s="12">
        <v>-17.988679600000001</v>
      </c>
      <c r="AA95" s="12">
        <v>74.069746100000003</v>
      </c>
      <c r="AB95" s="12">
        <v>19.645372999999999</v>
      </c>
      <c r="AC95" s="12">
        <v>33.121398399999997</v>
      </c>
      <c r="AD95" s="12">
        <v>24.760303400000002</v>
      </c>
      <c r="AE95" s="12">
        <v>51.596820899999997</v>
      </c>
      <c r="AF95" s="12">
        <v>5.8178685999999997</v>
      </c>
      <c r="AG95" s="22" t="s">
        <v>107</v>
      </c>
    </row>
    <row r="96" spans="1:33" s="11" customFormat="1" hidden="1" outlineLevel="1" x14ac:dyDescent="0.3">
      <c r="A96" s="11" t="s">
        <v>102</v>
      </c>
      <c r="B96" s="12">
        <v>-3.2236577</v>
      </c>
      <c r="C96" s="12">
        <v>106.2833333</v>
      </c>
      <c r="D96" s="12">
        <v>0.26098979999999999</v>
      </c>
      <c r="E96" s="17">
        <v>0</v>
      </c>
      <c r="F96" s="13">
        <v>44.29</v>
      </c>
      <c r="G96" s="12">
        <v>-17.257225099999999</v>
      </c>
      <c r="H96" s="12">
        <v>-13.613107100000001</v>
      </c>
      <c r="I96" s="12">
        <v>-8.0176493999999998</v>
      </c>
      <c r="J96" s="12">
        <v>-7.7483585000000001</v>
      </c>
      <c r="K96" s="12">
        <v>-5.6863647000000004</v>
      </c>
      <c r="L96" s="12">
        <v>-2.1390422</v>
      </c>
      <c r="M96" s="12">
        <v>-28.027144499999999</v>
      </c>
      <c r="N96" s="12">
        <v>-12.0205772</v>
      </c>
      <c r="O96" s="12">
        <v>-16.042892800000001</v>
      </c>
      <c r="P96" s="7">
        <v>199.1</v>
      </c>
      <c r="Q96" s="7">
        <v>53.5</v>
      </c>
      <c r="R96" s="7">
        <v>21.2</v>
      </c>
      <c r="S96" s="12">
        <v>0.81370450000000005</v>
      </c>
      <c r="T96" s="12">
        <v>5.33</v>
      </c>
      <c r="U96" s="12">
        <v>104.78314930000001</v>
      </c>
      <c r="V96" s="12">
        <v>1</v>
      </c>
      <c r="W96" s="12">
        <v>0.62095029999999996</v>
      </c>
      <c r="X96" s="12">
        <v>-15.604665799999999</v>
      </c>
      <c r="Y96" s="12">
        <v>-17.877698800000001</v>
      </c>
      <c r="Z96" s="12">
        <v>-19.7468711</v>
      </c>
      <c r="AA96" s="12">
        <v>80.235935699999999</v>
      </c>
      <c r="AB96" s="12">
        <v>23.3373998</v>
      </c>
      <c r="AC96" s="12">
        <v>27.190664900000002</v>
      </c>
      <c r="AD96" s="12">
        <v>26.804465700000002</v>
      </c>
      <c r="AE96" s="12">
        <v>57.568466100000002</v>
      </c>
      <c r="AF96" s="12">
        <v>2.6832128000000002</v>
      </c>
      <c r="AG96" s="22" t="s">
        <v>107</v>
      </c>
    </row>
    <row r="97" spans="1:33" s="11" customFormat="1" hidden="1" outlineLevel="1" x14ac:dyDescent="0.3">
      <c r="A97" s="11" t="s">
        <v>103</v>
      </c>
      <c r="B97" s="12">
        <v>-0.1765746</v>
      </c>
      <c r="C97" s="12">
        <v>107.21</v>
      </c>
      <c r="D97" s="12">
        <v>1.3838102999999999</v>
      </c>
      <c r="E97" s="17">
        <v>0</v>
      </c>
      <c r="F97" s="13">
        <v>60.82</v>
      </c>
      <c r="G97" s="12">
        <v>-0.26872279999999998</v>
      </c>
      <c r="H97" s="12">
        <v>-7.1735129000000004</v>
      </c>
      <c r="I97" s="12">
        <v>-11.7314671</v>
      </c>
      <c r="J97" s="12">
        <v>-6.1528624000000001</v>
      </c>
      <c r="K97" s="12">
        <v>-7.3678319999999999</v>
      </c>
      <c r="L97" s="12">
        <v>1.6286543</v>
      </c>
      <c r="M97" s="12">
        <v>-43.903522000000002</v>
      </c>
      <c r="N97" s="12">
        <v>-4.2688008999999996</v>
      </c>
      <c r="O97" s="12">
        <v>-19.727817000000002</v>
      </c>
      <c r="P97" s="7">
        <v>192.2</v>
      </c>
      <c r="Q97" s="7">
        <v>46.2</v>
      </c>
      <c r="R97" s="7">
        <v>19.399999999999999</v>
      </c>
      <c r="S97" s="12">
        <v>0.33927059999999998</v>
      </c>
      <c r="T97" s="12">
        <v>5.31</v>
      </c>
      <c r="U97" s="12">
        <v>105.5598888</v>
      </c>
      <c r="V97" s="12">
        <v>1</v>
      </c>
      <c r="W97" s="12">
        <v>11.870817600000001</v>
      </c>
      <c r="X97" s="12">
        <v>-2.3968919</v>
      </c>
      <c r="Y97" s="12">
        <v>-19.368002300000001</v>
      </c>
      <c r="Z97" s="12">
        <v>-18.490817799999999</v>
      </c>
      <c r="AA97" s="12">
        <v>85.602910300000005</v>
      </c>
      <c r="AB97" s="12">
        <v>26.558829500000002</v>
      </c>
      <c r="AC97" s="12">
        <v>18.0389518</v>
      </c>
      <c r="AD97" s="12">
        <v>30.520611800000001</v>
      </c>
      <c r="AE97" s="12">
        <v>60.721303499999998</v>
      </c>
      <c r="AF97" s="12">
        <v>1.5244736999999999</v>
      </c>
      <c r="AG97" s="22" t="s">
        <v>107</v>
      </c>
    </row>
    <row r="98" spans="1:33" s="11" customFormat="1" hidden="1" outlineLevel="1" x14ac:dyDescent="0.3">
      <c r="A98" s="11" t="s">
        <v>104</v>
      </c>
      <c r="B98" s="12">
        <v>14.630134099999999</v>
      </c>
      <c r="C98" s="12">
        <v>108.82</v>
      </c>
      <c r="D98" s="12">
        <v>2.1752058000000001</v>
      </c>
      <c r="E98" s="17">
        <v>0</v>
      </c>
      <c r="F98" s="13">
        <v>68.833333300000007</v>
      </c>
      <c r="G98" s="12">
        <v>-2.6136455000000001</v>
      </c>
      <c r="H98" s="12">
        <v>18.039226200000002</v>
      </c>
      <c r="I98" s="12">
        <v>-4.9810977999999997</v>
      </c>
      <c r="J98" s="12">
        <v>19.584592399999998</v>
      </c>
      <c r="K98" s="12">
        <v>17.0943863</v>
      </c>
      <c r="L98" s="12">
        <v>0.91654139999999995</v>
      </c>
      <c r="M98" s="12">
        <v>0.43954549999999998</v>
      </c>
      <c r="N98" s="12">
        <v>89.864855000000006</v>
      </c>
      <c r="O98" s="12">
        <v>23.2496352</v>
      </c>
      <c r="P98" s="7">
        <v>194.4</v>
      </c>
      <c r="Q98" s="7">
        <v>40.200000000000003</v>
      </c>
      <c r="R98" s="7">
        <v>17.100000000000001</v>
      </c>
      <c r="S98" s="12">
        <v>1.4963660000000001</v>
      </c>
      <c r="T98" s="12">
        <v>5.28</v>
      </c>
      <c r="U98" s="12">
        <v>107.016515</v>
      </c>
      <c r="V98" s="12">
        <v>1</v>
      </c>
      <c r="W98" s="12">
        <v>8.6900683999999995</v>
      </c>
      <c r="X98" s="12">
        <v>97.010695499999997</v>
      </c>
      <c r="Y98" s="12">
        <v>28.672264800000001</v>
      </c>
      <c r="Z98" s="12">
        <v>-21.946100099999999</v>
      </c>
      <c r="AA98" s="12">
        <v>79.291043999999999</v>
      </c>
      <c r="AB98" s="12">
        <v>20.811003899999999</v>
      </c>
      <c r="AC98" s="12">
        <v>32.6055791</v>
      </c>
      <c r="AD98" s="12">
        <v>35.133484099999997</v>
      </c>
      <c r="AE98" s="12">
        <v>67.8411112</v>
      </c>
      <c r="AF98" s="12">
        <v>1.7908519000000001</v>
      </c>
      <c r="AG98" s="22" t="s">
        <v>107</v>
      </c>
    </row>
    <row r="99" spans="1:33" s="11" customFormat="1" hidden="1" outlineLevel="1" x14ac:dyDescent="0.3">
      <c r="A99" s="11" t="s">
        <v>105</v>
      </c>
      <c r="B99" s="12">
        <v>4.8925850000000004</v>
      </c>
      <c r="C99" s="12">
        <v>109.55666669999999</v>
      </c>
      <c r="D99" s="12">
        <v>3.0927511999999999</v>
      </c>
      <c r="E99" s="17">
        <v>0</v>
      </c>
      <c r="F99" s="13">
        <v>73.47</v>
      </c>
      <c r="G99" s="12">
        <v>-13.995782200000001</v>
      </c>
      <c r="H99" s="12">
        <v>33.042746200000003</v>
      </c>
      <c r="I99" s="12">
        <v>5.9183561999999998</v>
      </c>
      <c r="J99" s="12">
        <v>26.609196900000001</v>
      </c>
      <c r="K99" s="12">
        <v>4.2891842000000002</v>
      </c>
      <c r="L99" s="12">
        <v>1.5050874999999999</v>
      </c>
      <c r="M99" s="12">
        <v>-15.914125200000001</v>
      </c>
      <c r="N99" s="12">
        <v>188.26606469999999</v>
      </c>
      <c r="O99" s="12">
        <v>35.288630900000001</v>
      </c>
      <c r="P99" s="7">
        <v>233</v>
      </c>
      <c r="Q99" s="7">
        <v>40.4</v>
      </c>
      <c r="R99" s="7">
        <v>14.8</v>
      </c>
      <c r="S99" s="12">
        <v>1.6645327000000001</v>
      </c>
      <c r="T99" s="12">
        <v>5.21</v>
      </c>
      <c r="U99" s="12">
        <v>107.80347380000001</v>
      </c>
      <c r="V99" s="12">
        <v>1</v>
      </c>
      <c r="W99" s="12">
        <v>0.4081632</v>
      </c>
      <c r="X99" s="12">
        <v>215.63745520000001</v>
      </c>
      <c r="Y99" s="12">
        <v>46.520430900000001</v>
      </c>
      <c r="Z99" s="12">
        <v>10.091733400000001</v>
      </c>
      <c r="AA99" s="12">
        <v>60.794447099999999</v>
      </c>
      <c r="AB99" s="12">
        <v>14.769903599999999</v>
      </c>
      <c r="AC99" s="12">
        <v>22.502162500000001</v>
      </c>
      <c r="AD99" s="12">
        <v>59.189191399999999</v>
      </c>
      <c r="AE99" s="12">
        <v>57.255641900000001</v>
      </c>
      <c r="AF99" s="12">
        <v>2.0436238000000002</v>
      </c>
      <c r="AG99" s="22" t="s">
        <v>107</v>
      </c>
    </row>
    <row r="100" spans="1:33" s="11" customFormat="1" hidden="1" outlineLevel="1" x14ac:dyDescent="0.3">
      <c r="A100" s="11" t="s">
        <v>106</v>
      </c>
      <c r="B100" s="12">
        <v>5.3916862999999999</v>
      </c>
      <c r="C100" s="12">
        <v>111.5333333</v>
      </c>
      <c r="D100" s="12">
        <v>4.9396268000000001</v>
      </c>
      <c r="E100" s="17">
        <v>0</v>
      </c>
      <c r="F100" s="13">
        <v>79.586666699999995</v>
      </c>
      <c r="G100" s="12">
        <v>6.3466151000000002</v>
      </c>
      <c r="H100" s="12">
        <v>19.9809983</v>
      </c>
      <c r="I100" s="12">
        <v>-2.5588753</v>
      </c>
      <c r="J100" s="12">
        <v>8.9579556</v>
      </c>
      <c r="K100" s="12">
        <v>3.1136176999999998</v>
      </c>
      <c r="L100" s="12">
        <v>-1.8064254</v>
      </c>
      <c r="M100" s="12">
        <v>14.099594400000001</v>
      </c>
      <c r="N100" s="12">
        <v>50.180008000000001</v>
      </c>
      <c r="O100" s="12">
        <v>18.070398099999998</v>
      </c>
      <c r="P100" s="7">
        <v>230.7</v>
      </c>
      <c r="Q100" s="7">
        <v>41.9</v>
      </c>
      <c r="R100" s="7">
        <v>15.3648698203154</v>
      </c>
      <c r="S100" s="12">
        <v>1.9116397999999999</v>
      </c>
      <c r="T100" s="12">
        <v>5.16</v>
      </c>
      <c r="U100" s="12">
        <v>109.2473779</v>
      </c>
      <c r="V100" s="12">
        <v>1</v>
      </c>
      <c r="W100" s="12">
        <v>2.6831299999999999E-2</v>
      </c>
      <c r="X100" s="12">
        <v>63.8197677</v>
      </c>
      <c r="Y100" s="12">
        <v>29.123437899999999</v>
      </c>
      <c r="Z100" s="12">
        <v>-15.30589</v>
      </c>
      <c r="AA100" s="12">
        <v>73.936435200000005</v>
      </c>
      <c r="AB100" s="12">
        <v>20.170546900000002</v>
      </c>
      <c r="AC100" s="12">
        <v>32.221031099999998</v>
      </c>
      <c r="AD100" s="12">
        <v>37.939019999999999</v>
      </c>
      <c r="AE100" s="12">
        <v>64.2670332</v>
      </c>
      <c r="AF100" s="12">
        <v>2.6782262000000001</v>
      </c>
      <c r="AG100" s="22" t="s">
        <v>107</v>
      </c>
    </row>
    <row r="101" spans="1:33" hidden="1" outlineLevel="1" x14ac:dyDescent="0.3">
      <c r="A101" t="s">
        <v>108</v>
      </c>
      <c r="B101" s="12">
        <v>5.7284746999999996</v>
      </c>
      <c r="C101" s="12">
        <v>114.2266667</v>
      </c>
      <c r="D101" s="12">
        <v>6.5447875</v>
      </c>
      <c r="E101" s="17">
        <v>0</v>
      </c>
      <c r="F101" s="12">
        <v>100.2966667</v>
      </c>
      <c r="G101" s="12">
        <v>-1.5998547999999999</v>
      </c>
      <c r="H101" s="12">
        <v>19.5743887</v>
      </c>
      <c r="I101" s="12">
        <v>-2.6585467999999999</v>
      </c>
      <c r="J101" s="12">
        <v>7.2965346999999996</v>
      </c>
      <c r="K101" s="12">
        <v>13.6347234</v>
      </c>
      <c r="L101" s="12">
        <v>0.68830009999999997</v>
      </c>
      <c r="M101" s="12">
        <v>5.0111717000000002</v>
      </c>
      <c r="N101" s="12">
        <v>63.208507300000001</v>
      </c>
      <c r="O101" s="12">
        <v>40.765762700000003</v>
      </c>
      <c r="P101" s="7">
        <v>234.5</v>
      </c>
      <c r="Q101" s="7">
        <v>47.3</v>
      </c>
      <c r="R101" s="7">
        <v>16.8</v>
      </c>
      <c r="S101" s="12">
        <v>11.284869</v>
      </c>
      <c r="T101" s="12">
        <v>5.0999999999999996</v>
      </c>
      <c r="U101" s="12">
        <v>113.3443345</v>
      </c>
      <c r="V101" s="12">
        <v>1</v>
      </c>
      <c r="W101" s="12">
        <v>-15.136540999999999</v>
      </c>
      <c r="X101" s="12">
        <v>81.5660223</v>
      </c>
      <c r="Y101" s="12">
        <v>54.711945399999998</v>
      </c>
      <c r="Z101" s="12">
        <v>-18.168601299999999</v>
      </c>
      <c r="AA101" s="12">
        <v>85.210751599999995</v>
      </c>
      <c r="AB101" s="12">
        <v>22.692674100000001</v>
      </c>
      <c r="AC101" s="12">
        <v>24.5224276</v>
      </c>
      <c r="AD101" s="12">
        <v>46.638246299999999</v>
      </c>
      <c r="AE101" s="12">
        <v>79.0640997</v>
      </c>
      <c r="AF101" s="12">
        <v>5.3467548000000003</v>
      </c>
      <c r="AG101" s="22" t="s">
        <v>107</v>
      </c>
    </row>
    <row r="102" spans="1:33" hidden="1" outlineLevel="1" x14ac:dyDescent="0.3">
      <c r="A102" t="s">
        <v>109</v>
      </c>
      <c r="B102" s="12">
        <v>4.2015890999999996</v>
      </c>
      <c r="C102" s="12">
        <v>118.4333333</v>
      </c>
      <c r="D102" s="12">
        <v>8.8341604</v>
      </c>
      <c r="E102" s="17">
        <v>0</v>
      </c>
      <c r="F102" s="12">
        <v>113.5433333</v>
      </c>
      <c r="G102" s="12">
        <v>6.5593687999999997</v>
      </c>
      <c r="H102" s="12">
        <v>15.070409400000001</v>
      </c>
      <c r="I102" s="12">
        <v>-1.6135706000000001</v>
      </c>
      <c r="J102" s="12">
        <v>12.985394899999999</v>
      </c>
      <c r="K102" s="12">
        <v>12.162754100000001</v>
      </c>
      <c r="L102" s="12">
        <v>-1.0902878</v>
      </c>
      <c r="M102" s="12">
        <v>22.9762798</v>
      </c>
      <c r="N102" s="12">
        <v>43.050921600000002</v>
      </c>
      <c r="O102" s="12">
        <v>28.0781238</v>
      </c>
      <c r="P102" s="7">
        <v>252.6</v>
      </c>
      <c r="Q102" s="7">
        <v>43.1</v>
      </c>
      <c r="R102" s="7">
        <v>14.6</v>
      </c>
      <c r="S102" s="12">
        <v>10.572872800000001</v>
      </c>
      <c r="T102" s="12">
        <v>5.0599999999999996</v>
      </c>
      <c r="U102" s="12">
        <v>120.0185408</v>
      </c>
      <c r="V102" s="12">
        <v>1</v>
      </c>
      <c r="W102" s="12">
        <v>17.2508862</v>
      </c>
      <c r="X102" s="12">
        <v>64.828440299999997</v>
      </c>
      <c r="Y102" s="12">
        <v>50.3676332</v>
      </c>
      <c r="Z102" s="12">
        <v>-25.38439</v>
      </c>
      <c r="AA102" s="12">
        <v>78.085886200000004</v>
      </c>
      <c r="AB102" s="12">
        <v>17.204839700000001</v>
      </c>
      <c r="AC102" s="12">
        <v>39.956192100000003</v>
      </c>
      <c r="AD102" s="12">
        <v>46.283813899999998</v>
      </c>
      <c r="AE102" s="12">
        <v>81.530802100000002</v>
      </c>
      <c r="AF102" s="12">
        <v>6.7935094999999999</v>
      </c>
      <c r="AG102" s="22" t="s">
        <v>107</v>
      </c>
    </row>
    <row r="103" spans="1:33" hidden="1" outlineLevel="1" x14ac:dyDescent="0.3">
      <c r="A103" t="s">
        <v>110</v>
      </c>
      <c r="B103" s="12">
        <v>2.5907767000000002</v>
      </c>
      <c r="C103" s="12">
        <v>120.83</v>
      </c>
      <c r="D103" s="12">
        <v>10.289956500000001</v>
      </c>
      <c r="E103" s="17">
        <v>0.75</v>
      </c>
      <c r="F103" s="12">
        <v>100.7133333</v>
      </c>
      <c r="G103" s="12">
        <v>13.651250900000001</v>
      </c>
      <c r="H103" s="12">
        <v>-3.4664385000000002</v>
      </c>
      <c r="I103" s="12">
        <v>0.65936760000000005</v>
      </c>
      <c r="J103" s="12">
        <v>3.5636776999999999</v>
      </c>
      <c r="K103" s="12">
        <v>7.2735152000000003</v>
      </c>
      <c r="L103" s="12">
        <v>2.8717606999999998</v>
      </c>
      <c r="M103" s="12">
        <v>18.288841699999999</v>
      </c>
      <c r="N103" s="12">
        <v>3.2415121</v>
      </c>
      <c r="O103" s="12">
        <v>12.778611099999999</v>
      </c>
      <c r="P103" s="7">
        <v>261.5</v>
      </c>
      <c r="Q103" s="7">
        <v>39.200000000000003</v>
      </c>
      <c r="R103" s="7">
        <v>13.4</v>
      </c>
      <c r="S103" s="12">
        <v>11.418975700000001</v>
      </c>
      <c r="T103" s="12">
        <v>5.12</v>
      </c>
      <c r="U103" s="12">
        <v>124.2656958</v>
      </c>
      <c r="V103" s="12">
        <v>1</v>
      </c>
      <c r="W103" s="12">
        <v>-6.8480299999999996</v>
      </c>
      <c r="X103" s="12">
        <v>23.368062900000002</v>
      </c>
      <c r="Y103" s="12">
        <v>36.475156900000002</v>
      </c>
      <c r="Z103" s="12">
        <v>3.7038126999999998</v>
      </c>
      <c r="AA103" s="12">
        <v>63.472758499999998</v>
      </c>
      <c r="AB103" s="12">
        <v>13.7735752</v>
      </c>
      <c r="AC103" s="12">
        <v>27.133166200000002</v>
      </c>
      <c r="AD103" s="12">
        <v>62.469822000000001</v>
      </c>
      <c r="AE103" s="12">
        <v>66.849322000000001</v>
      </c>
      <c r="AF103" s="12">
        <v>7.2531122000000003</v>
      </c>
      <c r="AG103" s="22" t="s">
        <v>107</v>
      </c>
    </row>
    <row r="104" spans="1:33" hidden="1" outlineLevel="1" x14ac:dyDescent="0.3">
      <c r="A104" t="s">
        <v>111</v>
      </c>
      <c r="B104" s="12">
        <v>1.4006327999999999</v>
      </c>
      <c r="C104" s="12">
        <v>123.8</v>
      </c>
      <c r="D104" s="12">
        <v>10.9982068</v>
      </c>
      <c r="E104" s="17">
        <v>1.9166666999999999</v>
      </c>
      <c r="F104" s="12">
        <v>88.556666699999994</v>
      </c>
      <c r="G104" s="12">
        <v>28.497965099999998</v>
      </c>
      <c r="H104" s="12">
        <v>-2.8491209</v>
      </c>
      <c r="I104" s="12">
        <v>-13.981206999999999</v>
      </c>
      <c r="J104" s="12">
        <v>3.6262758000000002</v>
      </c>
      <c r="K104" s="12">
        <v>6.9081887000000002</v>
      </c>
      <c r="L104" s="12">
        <v>3.1534352999999999</v>
      </c>
      <c r="M104" s="12">
        <v>-7.2281845999999996</v>
      </c>
      <c r="N104" s="12">
        <v>21.4609691</v>
      </c>
      <c r="O104" s="12">
        <v>12.340043100000001</v>
      </c>
      <c r="P104" s="7">
        <v>256</v>
      </c>
      <c r="Q104" s="7">
        <v>40.9</v>
      </c>
      <c r="R104" s="7">
        <v>14.4</v>
      </c>
      <c r="S104" s="12">
        <v>11.8382659</v>
      </c>
      <c r="T104" s="12">
        <v>5.45</v>
      </c>
      <c r="U104" s="12">
        <v>128.01962750000001</v>
      </c>
      <c r="V104" s="12">
        <v>1</v>
      </c>
      <c r="W104" s="12">
        <v>-1.9581546000000001</v>
      </c>
      <c r="X104" s="12">
        <v>45.376897999999997</v>
      </c>
      <c r="Y104" s="12">
        <v>35.858475499999997</v>
      </c>
      <c r="Z104" s="12">
        <v>-17.902847300000001</v>
      </c>
      <c r="AA104" s="12">
        <v>77.8570627</v>
      </c>
      <c r="AB104" s="12">
        <v>20.061949800000001</v>
      </c>
      <c r="AC104" s="12">
        <v>29.192710300000002</v>
      </c>
      <c r="AD104" s="12">
        <v>46.583112800000002</v>
      </c>
      <c r="AE104" s="12">
        <v>73.694898600000002</v>
      </c>
      <c r="AF104" s="12">
        <v>8.6325748999999998</v>
      </c>
      <c r="AG104" s="22" t="s">
        <v>107</v>
      </c>
    </row>
    <row r="105" spans="1:33" collapsed="1" x14ac:dyDescent="0.3">
      <c r="A105" t="s">
        <v>112</v>
      </c>
      <c r="B105" s="12">
        <v>1.3448477999999999</v>
      </c>
      <c r="C105" s="12">
        <v>124.9666667</v>
      </c>
      <c r="D105" s="12">
        <v>9.4023579000000002</v>
      </c>
      <c r="E105" s="17">
        <v>3</v>
      </c>
      <c r="F105" s="12">
        <v>81.173333299999996</v>
      </c>
      <c r="G105" s="12">
        <v>7.8438033999999996</v>
      </c>
      <c r="H105" s="12">
        <v>30.196690199999999</v>
      </c>
      <c r="I105" s="12">
        <v>5.1256184999999999</v>
      </c>
      <c r="J105" s="12">
        <v>6.2458831999999997</v>
      </c>
      <c r="K105" s="12">
        <v>15.5298178</v>
      </c>
      <c r="L105" s="12">
        <v>2.9868402999999999</v>
      </c>
      <c r="M105" s="12">
        <v>6.5707757999999998</v>
      </c>
      <c r="N105" s="12">
        <v>28.9985897</v>
      </c>
      <c r="O105" s="12">
        <v>28.838230800000002</v>
      </c>
      <c r="P105" s="7">
        <v>259.2</v>
      </c>
      <c r="Q105" s="7">
        <v>47.4</v>
      </c>
      <c r="R105" s="7">
        <v>15.5</v>
      </c>
      <c r="S105" s="12">
        <v>8.9251804000000003</v>
      </c>
      <c r="T105" s="12">
        <v>5.66</v>
      </c>
      <c r="U105" s="12">
        <v>129.1147737</v>
      </c>
      <c r="V105" s="12">
        <v>1</v>
      </c>
      <c r="W105" s="12">
        <v>9.5004597000000004</v>
      </c>
      <c r="X105" s="12">
        <v>36.617029100000003</v>
      </c>
      <c r="Y105" s="12">
        <v>32.8426154</v>
      </c>
      <c r="Z105" s="12">
        <v>-21.090536100000001</v>
      </c>
      <c r="AA105" s="12">
        <v>87.911779300000006</v>
      </c>
      <c r="AB105" s="12">
        <v>21.012868999999998</v>
      </c>
      <c r="AC105" s="12">
        <v>26.229545399999999</v>
      </c>
      <c r="AD105" s="12">
        <v>54.063884999999999</v>
      </c>
      <c r="AE105" s="12">
        <v>89.217997699999998</v>
      </c>
      <c r="AF105" s="12">
        <v>7.9253102999999996</v>
      </c>
      <c r="AG105" s="22" t="s">
        <v>107</v>
      </c>
    </row>
    <row r="106" spans="1:33" x14ac:dyDescent="0.3">
      <c r="A106" t="s">
        <v>113</v>
      </c>
      <c r="B106" s="12">
        <v>0.20197219999999999</v>
      </c>
      <c r="C106" s="12">
        <v>126.9766667</v>
      </c>
      <c r="D106" s="12">
        <v>7.2136222999999999</v>
      </c>
      <c r="E106" s="17">
        <v>3.75</v>
      </c>
      <c r="F106" s="12">
        <v>78.316666699999999</v>
      </c>
      <c r="G106" s="12">
        <v>11.9994025</v>
      </c>
      <c r="H106" s="12">
        <v>37.185090299999999</v>
      </c>
      <c r="I106" s="12">
        <v>6.0192874999999999</v>
      </c>
      <c r="J106" s="12">
        <v>6.9330653</v>
      </c>
      <c r="K106" s="12">
        <v>6.3552441000000002</v>
      </c>
      <c r="L106" s="12">
        <v>3.0375497</v>
      </c>
      <c r="M106" s="12">
        <v>-15.138650699999999</v>
      </c>
      <c r="N106" s="12">
        <v>16.387844399999999</v>
      </c>
      <c r="O106" s="12">
        <v>0.10791870000000001</v>
      </c>
      <c r="P106" s="7">
        <v>280</v>
      </c>
      <c r="Q106" s="7">
        <v>41.6</v>
      </c>
      <c r="R106" s="7">
        <v>12.9</v>
      </c>
      <c r="S106" s="12">
        <v>12.6476191</v>
      </c>
      <c r="T106" s="12">
        <v>5.82</v>
      </c>
      <c r="U106" s="12">
        <v>129.81275840000001</v>
      </c>
      <c r="V106" s="12">
        <v>1</v>
      </c>
      <c r="W106" s="12">
        <v>-0.94054409999999999</v>
      </c>
      <c r="X106" s="12">
        <v>19.420682299999999</v>
      </c>
      <c r="Y106" s="12">
        <v>2.5448461</v>
      </c>
      <c r="Z106" s="12">
        <v>-16.520913499999999</v>
      </c>
      <c r="AA106" s="12">
        <v>74.305102599999998</v>
      </c>
      <c r="AB106" s="12">
        <v>16.942368399999999</v>
      </c>
      <c r="AC106" s="12">
        <v>32.552773600000002</v>
      </c>
      <c r="AD106" s="12">
        <v>46.571121099999999</v>
      </c>
      <c r="AE106" s="12">
        <v>70.371424899999994</v>
      </c>
      <c r="AF106" s="12">
        <v>7.0862287999999998</v>
      </c>
      <c r="AG106" s="22" t="s">
        <v>107</v>
      </c>
    </row>
    <row r="107" spans="1:33" x14ac:dyDescent="0.3">
      <c r="A107" t="s">
        <v>114</v>
      </c>
      <c r="B107" s="12">
        <v>-0.19771859999999999</v>
      </c>
      <c r="C107" s="12">
        <v>127.6866667</v>
      </c>
      <c r="D107" s="12">
        <v>5.6746392999999999</v>
      </c>
      <c r="E107" s="17">
        <v>4.25</v>
      </c>
      <c r="F107" s="12">
        <v>86.66</v>
      </c>
      <c r="G107" s="12">
        <v>24.970314699999999</v>
      </c>
      <c r="H107" s="12">
        <v>24.2736418</v>
      </c>
      <c r="I107" s="12">
        <v>0.53687560000000001</v>
      </c>
      <c r="J107" s="12">
        <v>6.5730377000000004</v>
      </c>
      <c r="K107" s="12">
        <v>0.17639859999999999</v>
      </c>
      <c r="L107" s="12">
        <v>3.2129653</v>
      </c>
      <c r="M107" s="12">
        <v>4.5326621999999999</v>
      </c>
      <c r="N107" s="12">
        <v>10.015824200000001</v>
      </c>
      <c r="O107" s="12">
        <v>2.1963113999999999</v>
      </c>
      <c r="P107" s="7">
        <v>294.10000000000002</v>
      </c>
      <c r="Q107" s="7">
        <v>39.299999999999997</v>
      </c>
      <c r="R107" s="7">
        <v>11.9</v>
      </c>
      <c r="S107" s="12">
        <v>12.5094197</v>
      </c>
      <c r="T107" s="12">
        <v>5.92</v>
      </c>
      <c r="U107" s="12">
        <v>133.93482650000001</v>
      </c>
      <c r="V107" s="12">
        <v>1</v>
      </c>
      <c r="W107" s="12">
        <v>9.0298757999999992</v>
      </c>
      <c r="X107" s="12">
        <v>17.659181199999999</v>
      </c>
      <c r="Y107" s="12">
        <v>2.6806632000000001</v>
      </c>
      <c r="Z107" s="12">
        <v>8.9344038999999995</v>
      </c>
      <c r="AA107" s="12">
        <v>60.158525400000002</v>
      </c>
      <c r="AB107" s="12">
        <v>14.5833631</v>
      </c>
      <c r="AC107" s="12">
        <v>21.075464199999999</v>
      </c>
      <c r="AD107" s="12">
        <v>63.255356900000002</v>
      </c>
      <c r="AE107" s="12">
        <v>59.072709600000003</v>
      </c>
      <c r="AF107" s="12">
        <v>7.9206249</v>
      </c>
      <c r="AG107" s="22" t="s">
        <v>107</v>
      </c>
    </row>
    <row r="108" spans="1:33" x14ac:dyDescent="0.3">
      <c r="A108" t="s">
        <v>115</v>
      </c>
      <c r="B108" s="7" t="s">
        <v>107</v>
      </c>
      <c r="C108" s="12">
        <v>127.9933333</v>
      </c>
      <c r="D108" s="12">
        <v>3.3871836000000002</v>
      </c>
      <c r="E108" s="17">
        <v>4.5</v>
      </c>
      <c r="F108" s="12">
        <v>83.723333299999993</v>
      </c>
      <c r="G108" s="7" t="s">
        <v>107</v>
      </c>
      <c r="H108" s="7" t="s">
        <v>107</v>
      </c>
      <c r="I108" s="7" t="s">
        <v>107</v>
      </c>
      <c r="J108" s="7" t="s">
        <v>107</v>
      </c>
      <c r="K108" s="7" t="s">
        <v>107</v>
      </c>
      <c r="L108" s="7" t="s">
        <v>107</v>
      </c>
      <c r="M108" s="7" t="s">
        <v>107</v>
      </c>
      <c r="N108" s="7" t="s">
        <v>107</v>
      </c>
      <c r="O108" s="7" t="s">
        <v>107</v>
      </c>
      <c r="P108" s="7" t="s">
        <v>107</v>
      </c>
      <c r="Q108" s="7" t="s">
        <v>107</v>
      </c>
      <c r="R108" s="7" t="s">
        <v>107</v>
      </c>
      <c r="S108" s="12">
        <v>12.8214685</v>
      </c>
      <c r="T108" s="12">
        <v>6.11</v>
      </c>
      <c r="U108" s="12">
        <v>134.47761700000001</v>
      </c>
      <c r="V108" s="12">
        <v>1</v>
      </c>
      <c r="W108" s="7" t="s">
        <v>107</v>
      </c>
      <c r="X108" s="7" t="s">
        <v>107</v>
      </c>
      <c r="Y108" s="7" t="s">
        <v>107</v>
      </c>
      <c r="Z108" s="7" t="s">
        <v>107</v>
      </c>
      <c r="AA108" s="7" t="s">
        <v>107</v>
      </c>
      <c r="AB108" s="7" t="s">
        <v>107</v>
      </c>
      <c r="AC108" s="7" t="s">
        <v>107</v>
      </c>
      <c r="AD108" s="7" t="s">
        <v>107</v>
      </c>
      <c r="AE108" s="7" t="s">
        <v>107</v>
      </c>
      <c r="AF108" s="12">
        <v>8.6662199999999991</v>
      </c>
      <c r="AG108" s="22" t="s">
        <v>107</v>
      </c>
    </row>
  </sheetData>
  <pageMargins left="0.7" right="0.7" top="0.75" bottom="0.75" header="0.3" footer="0.3"/>
  <pageSetup paperSize="9" orientation="portrait" horizontalDpi="90" verticalDpi="9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0D8EA-9288-4915-934B-C6F6810143F3}">
  <sheetPr codeName="Tabelle19">
    <tabColor rgb="FF00B050"/>
  </sheetPr>
  <dimension ref="A1:AG108"/>
  <sheetViews>
    <sheetView workbookViewId="0">
      <pane xSplit="1" ySplit="12" topLeftCell="Q13" activePane="bottomRight" state="frozen"/>
      <selection activeCell="E12" sqref="E12"/>
      <selection pane="topRight" activeCell="E12" sqref="E12"/>
      <selection pane="bottomLeft" activeCell="E12" sqref="E12"/>
      <selection pane="bottomRight" activeCell="AG1" sqref="AG1"/>
    </sheetView>
  </sheetViews>
  <sheetFormatPr defaultColWidth="9.109375" defaultRowHeight="14.4" outlineLevelRow="1" x14ac:dyDescent="0.3"/>
  <cols>
    <col min="1" max="1" width="14.77734375" customWidth="1"/>
    <col min="2" max="2" width="11.5546875" bestFit="1" customWidth="1"/>
    <col min="4" max="4" width="12.44140625" customWidth="1"/>
    <col min="7" max="7" width="12.44140625" bestFit="1" customWidth="1"/>
    <col min="8" max="8" width="12.33203125" customWidth="1"/>
    <col min="18" max="18" width="11.109375" bestFit="1" customWidth="1"/>
    <col min="19" max="19" width="12.44140625" bestFit="1" customWidth="1"/>
    <col min="24" max="24" width="12.5546875" bestFit="1" customWidth="1"/>
    <col min="25" max="25" width="12.6640625" bestFit="1" customWidth="1"/>
    <col min="27" max="27" width="13.6640625" customWidth="1"/>
  </cols>
  <sheetData>
    <row r="1" spans="1:33" s="8" customFormat="1" x14ac:dyDescent="0.3">
      <c r="A1" s="8" t="s">
        <v>0</v>
      </c>
      <c r="B1" s="8" t="s">
        <v>1</v>
      </c>
      <c r="C1" s="8" t="s">
        <v>2</v>
      </c>
      <c r="D1" s="8" t="s">
        <v>3</v>
      </c>
      <c r="E1" s="14" t="s">
        <v>4</v>
      </c>
      <c r="F1" s="8" t="s">
        <v>5</v>
      </c>
      <c r="G1" s="8" t="s">
        <v>6</v>
      </c>
      <c r="H1" s="8" t="s">
        <v>254</v>
      </c>
      <c r="I1" s="8" t="s">
        <v>7</v>
      </c>
      <c r="J1" s="8" t="s">
        <v>230</v>
      </c>
      <c r="K1" s="8" t="s">
        <v>231</v>
      </c>
      <c r="L1" s="8" t="s">
        <v>232</v>
      </c>
      <c r="M1" s="8" t="s">
        <v>233</v>
      </c>
      <c r="N1" s="8" t="s">
        <v>234</v>
      </c>
      <c r="O1" s="8" t="s">
        <v>235</v>
      </c>
      <c r="P1" s="8" t="s">
        <v>8</v>
      </c>
      <c r="Q1" s="8" t="s">
        <v>9</v>
      </c>
      <c r="R1" s="8" t="s">
        <v>10</v>
      </c>
      <c r="S1" s="8" t="s">
        <v>11</v>
      </c>
      <c r="T1" s="14" t="s">
        <v>12</v>
      </c>
      <c r="U1" s="8" t="s">
        <v>13</v>
      </c>
      <c r="V1" s="8" t="s">
        <v>14</v>
      </c>
      <c r="W1" s="8" t="s">
        <v>15</v>
      </c>
      <c r="X1" s="8" t="s">
        <v>16</v>
      </c>
      <c r="Y1" s="8" t="s">
        <v>17</v>
      </c>
      <c r="Z1" s="8" t="s">
        <v>18</v>
      </c>
      <c r="AA1" s="9" t="s">
        <v>248</v>
      </c>
      <c r="AB1" s="8" t="s">
        <v>236</v>
      </c>
      <c r="AC1" s="8" t="s">
        <v>237</v>
      </c>
      <c r="AD1" s="8" t="s">
        <v>238</v>
      </c>
      <c r="AE1" s="8" t="s">
        <v>239</v>
      </c>
      <c r="AF1" s="14" t="s">
        <v>255</v>
      </c>
      <c r="AG1" s="14" t="s">
        <v>1317</v>
      </c>
    </row>
    <row r="2" spans="1:33" s="10" customFormat="1" outlineLevel="1" x14ac:dyDescent="0.3">
      <c r="A2" s="16" t="s">
        <v>1292</v>
      </c>
      <c r="B2" s="26"/>
      <c r="C2" s="26"/>
      <c r="D2" s="26" t="s">
        <v>198</v>
      </c>
      <c r="E2" s="26"/>
      <c r="F2" s="26"/>
      <c r="G2" s="26" t="s">
        <v>870</v>
      </c>
      <c r="H2" s="26" t="s">
        <v>872</v>
      </c>
      <c r="I2" s="26"/>
      <c r="J2" s="26" t="s">
        <v>835</v>
      </c>
      <c r="K2" s="26" t="s">
        <v>837</v>
      </c>
      <c r="L2" s="26" t="s">
        <v>840</v>
      </c>
      <c r="M2" s="26" t="s">
        <v>842</v>
      </c>
      <c r="N2" s="26" t="s">
        <v>844</v>
      </c>
      <c r="O2" s="26" t="s">
        <v>846</v>
      </c>
      <c r="P2" s="26"/>
      <c r="Q2" s="26"/>
      <c r="R2" s="26"/>
      <c r="S2" s="26" t="s">
        <v>851</v>
      </c>
      <c r="T2" s="26"/>
      <c r="U2" s="26"/>
      <c r="V2" s="26"/>
      <c r="W2" s="26" t="s">
        <v>856</v>
      </c>
      <c r="X2" s="26" t="s">
        <v>859</v>
      </c>
      <c r="Y2" s="26" t="s">
        <v>861</v>
      </c>
      <c r="Z2" s="26"/>
      <c r="AA2" s="26"/>
      <c r="AB2" s="26"/>
      <c r="AC2" s="26"/>
      <c r="AD2" s="26"/>
      <c r="AE2" s="26"/>
      <c r="AF2" s="26" t="s">
        <v>902</v>
      </c>
      <c r="AG2" s="26"/>
    </row>
    <row r="3" spans="1:33" outlineLevel="1" x14ac:dyDescent="0.3">
      <c r="A3" s="16" t="s">
        <v>1293</v>
      </c>
      <c r="B3" s="27" t="s">
        <v>123</v>
      </c>
      <c r="C3" s="27" t="s">
        <v>195</v>
      </c>
      <c r="D3" s="27" t="s">
        <v>195</v>
      </c>
      <c r="E3" s="27" t="s">
        <v>186</v>
      </c>
      <c r="F3" s="27" t="s">
        <v>125</v>
      </c>
      <c r="G3" s="27" t="s">
        <v>832</v>
      </c>
      <c r="H3" s="27" t="s">
        <v>832</v>
      </c>
      <c r="I3" s="27" t="s">
        <v>832</v>
      </c>
      <c r="J3" s="27" t="s">
        <v>123</v>
      </c>
      <c r="K3" s="27" t="s">
        <v>839</v>
      </c>
      <c r="L3" s="27" t="s">
        <v>125</v>
      </c>
      <c r="M3" s="27" t="s">
        <v>125</v>
      </c>
      <c r="N3" s="27" t="s">
        <v>125</v>
      </c>
      <c r="O3" s="27" t="s">
        <v>125</v>
      </c>
      <c r="P3" s="27" t="s">
        <v>1286</v>
      </c>
      <c r="Q3" s="27" t="s">
        <v>1286</v>
      </c>
      <c r="R3" s="27" t="s">
        <v>1286</v>
      </c>
      <c r="S3" s="27" t="s">
        <v>853</v>
      </c>
      <c r="T3" s="27" t="s">
        <v>854</v>
      </c>
      <c r="U3" s="27" t="s">
        <v>125</v>
      </c>
      <c r="V3" s="27" t="s">
        <v>125</v>
      </c>
      <c r="W3" s="27" t="s">
        <v>858</v>
      </c>
      <c r="X3" s="27" t="s">
        <v>207</v>
      </c>
      <c r="Y3" s="27" t="s">
        <v>207</v>
      </c>
      <c r="Z3" s="27" t="s">
        <v>203</v>
      </c>
      <c r="AA3" s="27" t="s">
        <v>839</v>
      </c>
      <c r="AB3" s="27" t="s">
        <v>125</v>
      </c>
      <c r="AC3" s="27" t="s">
        <v>125</v>
      </c>
      <c r="AD3" s="27" t="s">
        <v>125</v>
      </c>
      <c r="AE3" s="27" t="s">
        <v>125</v>
      </c>
      <c r="AF3" s="27" t="s">
        <v>125</v>
      </c>
      <c r="AG3" s="27" t="s">
        <v>125</v>
      </c>
    </row>
    <row r="4" spans="1:33" outlineLevel="1" x14ac:dyDescent="0.3">
      <c r="A4" s="16" t="s">
        <v>1288</v>
      </c>
      <c r="B4" s="2">
        <v>144396</v>
      </c>
      <c r="C4" s="2">
        <v>77811</v>
      </c>
      <c r="D4" s="2">
        <v>77812</v>
      </c>
      <c r="E4" s="2">
        <v>144399</v>
      </c>
      <c r="F4" s="27">
        <v>101874</v>
      </c>
      <c r="G4" s="2">
        <v>838</v>
      </c>
      <c r="H4" s="2">
        <v>822</v>
      </c>
      <c r="I4" s="2">
        <v>89224</v>
      </c>
      <c r="J4" s="2">
        <v>88656</v>
      </c>
      <c r="K4" s="2">
        <v>90874</v>
      </c>
      <c r="L4" s="27">
        <v>90918</v>
      </c>
      <c r="M4" s="27">
        <v>90940</v>
      </c>
      <c r="N4" s="27">
        <v>90984</v>
      </c>
      <c r="O4" s="27">
        <v>91006</v>
      </c>
      <c r="P4" s="2">
        <v>32655</v>
      </c>
      <c r="Q4" s="2">
        <v>32685</v>
      </c>
      <c r="R4" s="2">
        <v>32702</v>
      </c>
      <c r="S4" s="2">
        <v>320</v>
      </c>
      <c r="T4" s="2">
        <v>788</v>
      </c>
      <c r="U4" s="27">
        <v>91641</v>
      </c>
      <c r="V4" s="27">
        <v>974</v>
      </c>
      <c r="W4" s="2">
        <v>56632</v>
      </c>
      <c r="X4" s="2">
        <v>87271</v>
      </c>
      <c r="Y4" s="2">
        <v>87308</v>
      </c>
      <c r="Z4" s="2">
        <v>88741</v>
      </c>
      <c r="AA4" s="2">
        <v>90346</v>
      </c>
      <c r="AB4" s="27">
        <v>90390</v>
      </c>
      <c r="AC4" s="27">
        <v>90412</v>
      </c>
      <c r="AD4" s="27">
        <v>90500</v>
      </c>
      <c r="AE4" s="27">
        <v>90522</v>
      </c>
      <c r="AF4" s="27">
        <v>89620</v>
      </c>
      <c r="AG4" s="27">
        <v>140881</v>
      </c>
    </row>
    <row r="5" spans="1:33" outlineLevel="1" x14ac:dyDescent="0.3">
      <c r="A5" t="s">
        <v>1291</v>
      </c>
      <c r="B5" s="27" t="s">
        <v>221</v>
      </c>
      <c r="C5" s="27" t="s">
        <v>194</v>
      </c>
      <c r="D5" s="27" t="s">
        <v>199</v>
      </c>
      <c r="E5" s="27" t="s">
        <v>253</v>
      </c>
      <c r="F5" s="27" t="s">
        <v>189</v>
      </c>
      <c r="G5" s="27" t="s">
        <v>871</v>
      </c>
      <c r="H5" s="27" t="s">
        <v>873</v>
      </c>
      <c r="I5" s="27" t="s">
        <v>831</v>
      </c>
      <c r="J5" s="27" t="s">
        <v>836</v>
      </c>
      <c r="K5" s="27" t="s">
        <v>838</v>
      </c>
      <c r="L5" s="27" t="s">
        <v>841</v>
      </c>
      <c r="M5" s="27" t="s">
        <v>843</v>
      </c>
      <c r="N5" s="27" t="s">
        <v>845</v>
      </c>
      <c r="O5" s="27" t="s">
        <v>847</v>
      </c>
      <c r="P5" s="27" t="s">
        <v>848</v>
      </c>
      <c r="Q5" s="27" t="s">
        <v>849</v>
      </c>
      <c r="R5" s="27" t="s">
        <v>850</v>
      </c>
      <c r="S5" s="27" t="s">
        <v>852</v>
      </c>
      <c r="T5" s="27" t="s">
        <v>1308</v>
      </c>
      <c r="U5" s="27" t="s">
        <v>874</v>
      </c>
      <c r="V5" s="27" t="s">
        <v>855</v>
      </c>
      <c r="W5" s="27" t="s">
        <v>857</v>
      </c>
      <c r="X5" s="27" t="s">
        <v>860</v>
      </c>
      <c r="Y5" s="27" t="s">
        <v>862</v>
      </c>
      <c r="Z5" s="27" t="s">
        <v>863</v>
      </c>
      <c r="AA5" s="27" t="s">
        <v>864</v>
      </c>
      <c r="AB5" s="27" t="s">
        <v>865</v>
      </c>
      <c r="AC5" s="27" t="s">
        <v>866</v>
      </c>
      <c r="AD5" s="27" t="s">
        <v>867</v>
      </c>
      <c r="AE5" s="27" t="s">
        <v>868</v>
      </c>
      <c r="AF5" s="27" t="s">
        <v>903</v>
      </c>
      <c r="AG5" s="27" t="s">
        <v>869</v>
      </c>
    </row>
    <row r="6" spans="1:33" outlineLevel="1" x14ac:dyDescent="0.3">
      <c r="A6" t="s">
        <v>1289</v>
      </c>
      <c r="B6" s="27" t="s">
        <v>222</v>
      </c>
      <c r="C6" s="27" t="s">
        <v>196</v>
      </c>
      <c r="D6" s="27" t="s">
        <v>196</v>
      </c>
      <c r="E6" s="27" t="s">
        <v>187</v>
      </c>
      <c r="F6" s="27" t="s">
        <v>190</v>
      </c>
      <c r="G6" s="27" t="s">
        <v>833</v>
      </c>
      <c r="H6" s="27" t="s">
        <v>833</v>
      </c>
      <c r="I6" s="27" t="s">
        <v>833</v>
      </c>
      <c r="J6" s="27" t="s">
        <v>833</v>
      </c>
      <c r="K6" s="27" t="s">
        <v>833</v>
      </c>
      <c r="L6" s="27" t="s">
        <v>833</v>
      </c>
      <c r="M6" s="27" t="s">
        <v>833</v>
      </c>
      <c r="N6" s="27" t="s">
        <v>833</v>
      </c>
      <c r="O6" s="27" t="s">
        <v>833</v>
      </c>
      <c r="P6" s="27" t="s">
        <v>833</v>
      </c>
      <c r="Q6" s="27" t="s">
        <v>833</v>
      </c>
      <c r="R6" s="27" t="s">
        <v>833</v>
      </c>
      <c r="S6" s="27" t="s">
        <v>833</v>
      </c>
      <c r="T6" s="27" t="s">
        <v>833</v>
      </c>
      <c r="U6" s="27" t="s">
        <v>833</v>
      </c>
      <c r="V6" s="27" t="s">
        <v>833</v>
      </c>
      <c r="W6" s="27" t="s">
        <v>833</v>
      </c>
      <c r="X6" s="27" t="s">
        <v>833</v>
      </c>
      <c r="Y6" s="27" t="s">
        <v>833</v>
      </c>
      <c r="Z6" s="27" t="s">
        <v>833</v>
      </c>
      <c r="AA6" s="27" t="s">
        <v>833</v>
      </c>
      <c r="AB6" s="27" t="s">
        <v>833</v>
      </c>
      <c r="AC6" s="27" t="s">
        <v>833</v>
      </c>
      <c r="AD6" s="27" t="s">
        <v>833</v>
      </c>
      <c r="AE6" s="27" t="s">
        <v>833</v>
      </c>
      <c r="AF6" s="27" t="s">
        <v>833</v>
      </c>
      <c r="AG6" s="27" t="s">
        <v>833</v>
      </c>
    </row>
    <row r="7" spans="1:33" outlineLevel="1" x14ac:dyDescent="0.3">
      <c r="A7" t="s">
        <v>1290</v>
      </c>
      <c r="B7" s="27" t="s">
        <v>223</v>
      </c>
      <c r="C7" s="27" t="s">
        <v>197</v>
      </c>
      <c r="D7" s="27" t="s">
        <v>197</v>
      </c>
      <c r="E7" s="27" t="s">
        <v>188</v>
      </c>
      <c r="F7" s="27" t="s">
        <v>191</v>
      </c>
      <c r="G7" s="27" t="s">
        <v>834</v>
      </c>
      <c r="H7" s="27" t="s">
        <v>834</v>
      </c>
      <c r="I7" s="27" t="s">
        <v>834</v>
      </c>
      <c r="J7" s="27" t="s">
        <v>834</v>
      </c>
      <c r="K7" s="27" t="s">
        <v>834</v>
      </c>
      <c r="L7" s="27" t="s">
        <v>834</v>
      </c>
      <c r="M7" s="27" t="s">
        <v>834</v>
      </c>
      <c r="N7" s="27" t="s">
        <v>834</v>
      </c>
      <c r="O7" s="27" t="s">
        <v>834</v>
      </c>
      <c r="P7" s="27" t="s">
        <v>834</v>
      </c>
      <c r="Q7" s="27" t="s">
        <v>834</v>
      </c>
      <c r="R7" s="27" t="s">
        <v>834</v>
      </c>
      <c r="S7" s="27" t="s">
        <v>834</v>
      </c>
      <c r="T7" s="27" t="s">
        <v>834</v>
      </c>
      <c r="U7" s="27" t="s">
        <v>834</v>
      </c>
      <c r="V7" s="27" t="s">
        <v>834</v>
      </c>
      <c r="W7" s="27" t="s">
        <v>834</v>
      </c>
      <c r="X7" s="27" t="s">
        <v>834</v>
      </c>
      <c r="Y7" s="27" t="s">
        <v>834</v>
      </c>
      <c r="Z7" s="27" t="s">
        <v>834</v>
      </c>
      <c r="AA7" s="27" t="s">
        <v>834</v>
      </c>
      <c r="AB7" s="27" t="s">
        <v>834</v>
      </c>
      <c r="AC7" s="27" t="s">
        <v>834</v>
      </c>
      <c r="AD7" s="27" t="s">
        <v>834</v>
      </c>
      <c r="AE7" s="27" t="s">
        <v>834</v>
      </c>
      <c r="AF7" s="27" t="s">
        <v>834</v>
      </c>
      <c r="AG7" s="27" t="s">
        <v>834</v>
      </c>
    </row>
    <row r="8" spans="1:33" outlineLevel="1" x14ac:dyDescent="0.3">
      <c r="A8" s="16" t="s">
        <v>489</v>
      </c>
      <c r="B8" s="27" t="s">
        <v>120</v>
      </c>
      <c r="C8" s="27" t="s">
        <v>163</v>
      </c>
      <c r="D8" s="27" t="s">
        <v>163</v>
      </c>
      <c r="E8" s="27" t="s">
        <v>159</v>
      </c>
      <c r="F8" s="27"/>
      <c r="G8" s="27" t="s">
        <v>179</v>
      </c>
      <c r="H8" s="27" t="s">
        <v>173</v>
      </c>
      <c r="I8" s="27" t="s">
        <v>182</v>
      </c>
      <c r="J8" s="27" t="s">
        <v>120</v>
      </c>
      <c r="K8" s="27" t="s">
        <v>126</v>
      </c>
      <c r="L8" s="27" t="s">
        <v>129</v>
      </c>
      <c r="M8" s="27" t="s">
        <v>132</v>
      </c>
      <c r="N8" s="27" t="s">
        <v>135</v>
      </c>
      <c r="O8" s="27" t="s">
        <v>138</v>
      </c>
      <c r="P8" s="27" t="s">
        <v>141</v>
      </c>
      <c r="Q8" s="27" t="s">
        <v>146</v>
      </c>
      <c r="R8" s="27" t="s">
        <v>149</v>
      </c>
      <c r="S8" s="27" t="s">
        <v>154</v>
      </c>
      <c r="T8" s="27" t="s">
        <v>159</v>
      </c>
      <c r="U8" s="27" t="s">
        <v>163</v>
      </c>
      <c r="V8" s="27" t="s">
        <v>168</v>
      </c>
      <c r="W8" s="27" t="s">
        <v>217</v>
      </c>
      <c r="X8" s="27" t="s">
        <v>208</v>
      </c>
      <c r="Y8" s="27" t="s">
        <v>213</v>
      </c>
      <c r="Z8" s="27" t="s">
        <v>204</v>
      </c>
      <c r="AA8" s="27" t="s">
        <v>126</v>
      </c>
      <c r="AB8" s="27" t="s">
        <v>129</v>
      </c>
      <c r="AC8" s="27" t="s">
        <v>132</v>
      </c>
      <c r="AD8" s="27" t="s">
        <v>135</v>
      </c>
      <c r="AE8" s="27" t="s">
        <v>138</v>
      </c>
      <c r="AF8" s="27" t="s">
        <v>351</v>
      </c>
      <c r="AG8" s="27" t="s">
        <v>402</v>
      </c>
    </row>
    <row r="9" spans="1:33" outlineLevel="1" x14ac:dyDescent="0.3">
      <c r="A9" s="16" t="s">
        <v>490</v>
      </c>
      <c r="B9" s="27" t="s">
        <v>121</v>
      </c>
      <c r="C9" s="27" t="s">
        <v>164</v>
      </c>
      <c r="D9" s="27" t="s">
        <v>164</v>
      </c>
      <c r="E9" s="27" t="s">
        <v>160</v>
      </c>
      <c r="F9" s="27"/>
      <c r="G9" s="27" t="s">
        <v>180</v>
      </c>
      <c r="H9" s="27" t="s">
        <v>174</v>
      </c>
      <c r="I9" s="27" t="s">
        <v>183</v>
      </c>
      <c r="J9" s="27" t="s">
        <v>121</v>
      </c>
      <c r="K9" s="27" t="s">
        <v>127</v>
      </c>
      <c r="L9" s="27" t="s">
        <v>130</v>
      </c>
      <c r="M9" s="27" t="s">
        <v>133</v>
      </c>
      <c r="N9" s="27" t="s">
        <v>136</v>
      </c>
      <c r="O9" s="27" t="s">
        <v>139</v>
      </c>
      <c r="P9" s="27" t="s">
        <v>142</v>
      </c>
      <c r="Q9" s="27" t="s">
        <v>147</v>
      </c>
      <c r="R9" s="27" t="s">
        <v>150</v>
      </c>
      <c r="S9" s="27" t="s">
        <v>155</v>
      </c>
      <c r="T9" s="27" t="s">
        <v>160</v>
      </c>
      <c r="U9" s="27" t="s">
        <v>164</v>
      </c>
      <c r="V9" s="27" t="s">
        <v>169</v>
      </c>
      <c r="W9" s="27" t="s">
        <v>218</v>
      </c>
      <c r="X9" s="27" t="s">
        <v>209</v>
      </c>
      <c r="Y9" s="27" t="s">
        <v>214</v>
      </c>
      <c r="Z9" s="27" t="s">
        <v>205</v>
      </c>
      <c r="AA9" s="27" t="s">
        <v>127</v>
      </c>
      <c r="AB9" s="27" t="s">
        <v>130</v>
      </c>
      <c r="AC9" s="27" t="s">
        <v>133</v>
      </c>
      <c r="AD9" s="27" t="s">
        <v>136</v>
      </c>
      <c r="AE9" s="27" t="s">
        <v>139</v>
      </c>
      <c r="AF9" s="27" t="s">
        <v>352</v>
      </c>
      <c r="AG9" s="28" t="s">
        <v>403</v>
      </c>
    </row>
    <row r="10" spans="1:33" outlineLevel="1" x14ac:dyDescent="0.3">
      <c r="A10" s="16" t="s">
        <v>491</v>
      </c>
      <c r="B10" s="27" t="s">
        <v>224</v>
      </c>
      <c r="C10" s="27" t="s">
        <v>165</v>
      </c>
      <c r="D10" s="27" t="s">
        <v>200</v>
      </c>
      <c r="E10" s="27" t="s">
        <v>226</v>
      </c>
      <c r="F10" s="27"/>
      <c r="G10" s="27" t="s">
        <v>175</v>
      </c>
      <c r="H10" s="27" t="s">
        <v>175</v>
      </c>
      <c r="I10" s="27" t="s">
        <v>184</v>
      </c>
      <c r="J10" s="27" t="s">
        <v>122</v>
      </c>
      <c r="K10" s="27" t="s">
        <v>122</v>
      </c>
      <c r="L10" s="27" t="s">
        <v>122</v>
      </c>
      <c r="M10" s="27" t="s">
        <v>122</v>
      </c>
      <c r="N10" s="27" t="s">
        <v>122</v>
      </c>
      <c r="O10" s="27" t="s">
        <v>122</v>
      </c>
      <c r="P10" s="27" t="s">
        <v>143</v>
      </c>
      <c r="Q10" s="27" t="s">
        <v>143</v>
      </c>
      <c r="R10" s="27" t="s">
        <v>151</v>
      </c>
      <c r="S10" s="27" t="s">
        <v>156</v>
      </c>
      <c r="T10" s="27" t="s">
        <v>447</v>
      </c>
      <c r="U10" s="27" t="s">
        <v>165</v>
      </c>
      <c r="V10" s="27" t="s">
        <v>170</v>
      </c>
      <c r="W10" s="27" t="s">
        <v>219</v>
      </c>
      <c r="X10" s="27" t="s">
        <v>210</v>
      </c>
      <c r="Y10" s="27" t="s">
        <v>210</v>
      </c>
      <c r="Z10" s="27" t="s">
        <v>184</v>
      </c>
      <c r="AA10" s="27" t="s">
        <v>184</v>
      </c>
      <c r="AB10" s="27" t="s">
        <v>184</v>
      </c>
      <c r="AC10" s="27" t="s">
        <v>184</v>
      </c>
      <c r="AD10" s="27" t="s">
        <v>184</v>
      </c>
      <c r="AE10" s="27" t="s">
        <v>184</v>
      </c>
      <c r="AF10" s="27" t="s">
        <v>156</v>
      </c>
      <c r="AG10" s="27" t="s">
        <v>184</v>
      </c>
    </row>
    <row r="11" spans="1:33" ht="15.6" customHeight="1" outlineLevel="1" x14ac:dyDescent="0.3">
      <c r="A11" s="16" t="s">
        <v>492</v>
      </c>
      <c r="B11" s="27" t="s">
        <v>225</v>
      </c>
      <c r="C11" s="27" t="s">
        <v>166</v>
      </c>
      <c r="D11" s="27" t="s">
        <v>201</v>
      </c>
      <c r="E11" s="27" t="s">
        <v>227</v>
      </c>
      <c r="F11" s="27"/>
      <c r="G11" s="27" t="s">
        <v>176</v>
      </c>
      <c r="H11" s="27" t="s">
        <v>176</v>
      </c>
      <c r="I11" s="27" t="s">
        <v>185</v>
      </c>
      <c r="J11" s="27" t="s">
        <v>118</v>
      </c>
      <c r="K11" s="27" t="s">
        <v>118</v>
      </c>
      <c r="L11" s="27" t="s">
        <v>118</v>
      </c>
      <c r="M11" s="27" t="s">
        <v>118</v>
      </c>
      <c r="N11" s="27" t="s">
        <v>118</v>
      </c>
      <c r="O11" s="27" t="s">
        <v>118</v>
      </c>
      <c r="P11" s="27" t="s">
        <v>144</v>
      </c>
      <c r="Q11" s="27" t="s">
        <v>144</v>
      </c>
      <c r="R11" s="27" t="s">
        <v>152</v>
      </c>
      <c r="S11" s="27" t="s">
        <v>157</v>
      </c>
      <c r="T11" s="27" t="s">
        <v>448</v>
      </c>
      <c r="U11" s="27" t="s">
        <v>166</v>
      </c>
      <c r="V11" s="27" t="s">
        <v>171</v>
      </c>
      <c r="W11" s="27" t="s">
        <v>220</v>
      </c>
      <c r="X11" s="27" t="s">
        <v>211</v>
      </c>
      <c r="Y11" s="27" t="s">
        <v>211</v>
      </c>
      <c r="Z11" s="27" t="s">
        <v>185</v>
      </c>
      <c r="AA11" s="27" t="s">
        <v>185</v>
      </c>
      <c r="AB11" s="27" t="s">
        <v>185</v>
      </c>
      <c r="AC11" s="27" t="s">
        <v>185</v>
      </c>
      <c r="AD11" s="27" t="s">
        <v>185</v>
      </c>
      <c r="AE11" s="27" t="s">
        <v>185</v>
      </c>
      <c r="AF11" s="27" t="s">
        <v>157</v>
      </c>
      <c r="AG11" s="27" t="s">
        <v>185</v>
      </c>
    </row>
    <row r="12" spans="1:33" outlineLevel="1" x14ac:dyDescent="0.3">
      <c r="B12" s="4" t="str">
        <f>INDEX({"31/01/2024 @ 15:43","macro_id=DBGlobal","label_id=144396","time=Q","year_from=2000","year_to=2023","direction=V","opt_font=true","fontsize=8","opt_color=true","col_desc=Calculation:10;Footnote 1:9;ID:8;Label:7;Reporter:6:s;Reporter:5:long;Indicator:4:s;Indicator:3:l;Unit:2:s;Unit:1:long;","numberformat=0.00","auto_tr=1999|2015","com=true","comp=4"},1,1)</f>
        <v>31/01/2024 @ 15:43</v>
      </c>
      <c r="C12" s="4" t="str">
        <f>INDEX({"31/01/2024 @ 15:43","macro_id=DBGlobal","label_id=77811","time=Q","year_from=2000","year_to=2023","direction=V","opt_font=true","fontsize=8","opt_color=true","col_desc=Calculation:10;Footnote 1:9;ID:8;Label:7;Reporter:6:s;Reporter:5:long;Indicator:4:s;Indicator:3:l;Unit:2:s;Unit:1:long;","numberformat=0.00","auto_tr=1999|2015","com=true","comp=4"},1,1)</f>
        <v>31/01/2024 @ 15:43</v>
      </c>
      <c r="D12" s="6" t="str">
        <f>INDEX({"31/01/2024 @ 15:43","macro_id=DBGlobal","label_id=77812","calc=SubScal(L_77812,100)","time=Q","year_from=2000","year_to=2023","direction=V","opt_font=true","fontsize=8","opt_color=true","col_desc=Calculation:10;Footnote 1:9;ID:8;Label:7;Reporter:6:s;Reporter:5:long;Indicator:4:s;Indicator:3:l;Unit:2:s;Unit:1:long;","numberformat=0.00","auto_tr=1999|2015","com=true","comp=4"},1,1)</f>
        <v>31/01/2024 @ 15:43</v>
      </c>
      <c r="E12" s="4" t="str">
        <f>INDEX({"31/01/2024 @ 15:43","macro_id=DBGlobal","label_id=144399","time=Q","year_from=2000","year_to=2023","direction=V","opt_font=true","fontsize=8","opt_color=true","col_desc=Calculation:10;Footnote 1:9;ID:8;Label:7;Reporter:6:s;Reporter:5:long;Indicator:4:s;Indicator:3:l;Unit:2:s;Unit:1:long;","numberformat=0.00","auto_tr=1999|2015","com=true","comp=4"},1,1)</f>
        <v>31/01/2024 @ 15:43</v>
      </c>
      <c r="F12" s="4" t="str">
        <f>INDEX({"31/01/2024 @ 15:43","macro_id=DBGlobal","label_id=101874","time=Q","year_from=2000","year_to=2023","direction=V","opt_font=true","fontsize=8","opt_color=true","col_desc=Calculation:10;Footnote 1:9;ID:8;Label:7;Reporter:6:s;Reporter:5:long;Indicator:4:s;Indicator:3:l;Unit:2:s;Unit:1:long;","numberformat=0.00","auto_tr=1999|2015","com=true","comp=4"},1,1)</f>
        <v>31/01/2024 @ 15:43</v>
      </c>
      <c r="G12" s="5" t="str">
        <f>INDEX({"31/01/2024 @ 15:43","macro_id=DBGlobal","label_id=838","calc=SubScal(CPPY=100(L_838),100)","time=Q","year_from=2000","year_to=2023","direction=V","opt_font=true","fontsize=8","opt_color=true","col_desc=Calculation:10;Footnote 1:9;ID:8;Label:7;Reporter:6:s;Reporter:5:long;Indicator:4:s;Indicator:3:l;Unit:2:s;Unit:1:long;","numberformat=0.00","auto_tr=1999|2015","com=true","comp=4"},1,1)</f>
        <v>31/01/2024 @ 15:43</v>
      </c>
      <c r="H12" s="5" t="str">
        <f>INDEX({"31/01/2024 @ 15:43","macro_id=DBGlobal","label_id=822","calc=SubScal(CPPY=100(L_822),100)","time=Q","year_from=2000","year_to=2023","direction=V","opt_font=true","fontsize=8","opt_color=true","col_desc=Calculation:10;Footnote 1:9;ID:8;Label:7;Reporter:6:s;Reporter:5:long;Indicator:4:s;Indicator:3:l;Unit:2:s;Unit:1:long;","numberformat=0.00","auto_tr=1999|2015","com=true","comp=4"},1,1)</f>
        <v>31/01/2024 @ 15:43</v>
      </c>
      <c r="I12" s="1" t="str">
        <f>INDEX({"31/01/2024 @ 15:43","macro_id=DBGlobal","label_id=89224","time=Q","year_from=2000","year_to=2023","direction=V","opt_font=true","fontsize=8","opt_color=true","col_desc=Calculation:10;Footnote 1:9;ID:8;Label:7;Reporter:6:s;Reporter:5:long;Indicator:4:s;Indicator:3:l;Unit:2:s;Unit:1:long;","numberformat=0.00","auto_tr=1999|2015","com=true","comp=4"},1,1)</f>
        <v>31/01/2024 @ 15:43</v>
      </c>
      <c r="J12" s="5" t="str">
        <f>INDEX({"31/01/2024 @ 15:43","macro_id=DBGlobal","label_id=88656","calc=SubScal(CPPY=100(L_88656),100)","time=Q","year_from=2000","year_to=2023","direction=V","opt_font=true","fontsize=8","opt_color=true","col_desc=Calculation:10;Footnote 1:9;ID:8;Label:7;Reporter:6:s;Reporter:5:long;Indicator:4:s;Indicator:3:l;Unit:2:s;Unit:1:long;","numberformat=0.00","auto_tr=1999|2015","com=true","comp=4"},1,1)</f>
        <v>31/01/2024 @ 15:43</v>
      </c>
      <c r="K12" s="5" t="str">
        <f>INDEX({"31/01/2024 @ 15:43","macro_id=DBGlobal","label_id=90874","calc=SubScal(CPPY=100(L_90874),100)","time=Q","year_from=2000","year_to=2023","direction=V","opt_font=true","fontsize=8","opt_color=true","col_desc=Calculation:10;Footnote 1:9;ID:8;Label:7;Reporter:6:s;Reporter:5:long;Indicator:4:s;Indicator:3:l;Unit:2:s;Unit:1:long;","numberformat=0.00","auto_tr=1999|2015","com=true","comp=4"},1,1)</f>
        <v>31/01/2024 @ 15:43</v>
      </c>
      <c r="L12" s="5" t="str">
        <f>INDEX({"31/01/2024 @ 15:43","macro_id=DBGlobal","label_id=90918","calc=SubScal(CPPY=100(L_90918),100)","time=Q","year_from=2000","year_to=2023","direction=V","opt_font=true","fontsize=8","opt_color=true","col_desc=Calculation:10;Footnote 1:9;ID:8;Label:7;Reporter:6:s;Reporter:5:long;Indicator:4:s;Indicator:3:l;Unit:2:s;Unit:1:long;","numberformat=0.00","auto_tr=1999|2015","com=true","comp=4"},1,1)</f>
        <v>31/01/2024 @ 15:43</v>
      </c>
      <c r="M12" s="5" t="str">
        <f>INDEX({"31/01/2024 @ 15:43","macro_id=DBGlobal","label_id=90940","calc=SubScal(CPPY=100(L_90940),100)","time=Q","year_from=2000","year_to=2023","direction=V","opt_font=true","fontsize=8","opt_color=true","col_desc=Calculation:10;Footnote 1:9;ID:8;Label:7;Reporter:6:s;Reporter:5:long;Indicator:4:s;Indicator:3:l;Unit:2:s;Unit:1:long;","numberformat=0.00","auto_tr=1999|2015","com=true","comp=4"},1,1)</f>
        <v>31/01/2024 @ 15:43</v>
      </c>
      <c r="N12" s="5" t="str">
        <f>INDEX({"31/01/2024 @ 15:43","macro_id=DBGlobal","label_id=90984","calc=SubScal(CPPY=100(L_90984),100)","time=Q","year_from=2000","year_to=2023","direction=V","opt_font=true","fontsize=8","opt_color=true","col_desc=Calculation:10;Footnote 1:9;ID:8;Label:7;Reporter:6:s;Reporter:5:long;Indicator:4:s;Indicator:3:l;Unit:2:s;Unit:1:long;","numberformat=0.00","auto_tr=1999|2015","com=true","comp=4"},1,1)</f>
        <v>31/01/2024 @ 15:43</v>
      </c>
      <c r="O12" s="5" t="str">
        <f>INDEX({"31/01/2024 @ 15:43","macro_id=DBGlobal","label_id=91006","calc=SubScal(CPPY=100(L_91006),100)","time=Q","year_from=2000","year_to=2023","direction=V","opt_font=true","fontsize=8","opt_color=true","col_desc=Calculation:10;Footnote 1:9;ID:8;Label:7;Reporter:6:s;Reporter:5:long;Indicator:4:s;Indicator:3:l;Unit:2:s;Unit:1:long;","numberformat=0.00","auto_tr=1999|2015","com=true","comp=4"},1,1)</f>
        <v>31/01/2024 @ 15:43</v>
      </c>
      <c r="P12" s="1" t="str">
        <f>INDEX({"31/01/2024 @ 15:43","macro_id=DBGlobal","label_id=32655","time=Q","year_from=2000","year_to=2023","direction=V","opt_font=true","fontsize=8","opt_color=true","col_desc=Calculation:10;Footnote 1:9;ID:8;Label:7;Reporter:6:s;Reporter:5:long;Indicator:4:s;Indicator:3:l;Unit:2:s;Unit:1:long;","numberformat=0.00","auto_tr=1999|2015","com=true","comp=4"},1,1)</f>
        <v>31/01/2024 @ 15:43</v>
      </c>
      <c r="Q12" s="1" t="str">
        <f>INDEX({"31/01/2024 @ 15:43","macro_id=DBGlobal","label_id=32685","time=Q","year_from=2000","year_to=2023","direction=V","opt_font=true","fontsize=8","opt_color=true","col_desc=Calculation:10;Footnote 1:9;ID:8;Label:7;Reporter:6:s;Reporter:5:long;Indicator:4:s;Indicator:3:l;Unit:2:s;Unit:1:long;","numberformat=0.00","auto_tr=1999|2015","com=true","comp=4"},1,1)</f>
        <v>31/01/2024 @ 15:43</v>
      </c>
      <c r="R12" s="1" t="str">
        <f>INDEX({"31/01/2024 @ 15:43","macro_id=DBGlobal","label_id=32702","time=Q","year_from=2000","year_to=2023","direction=V","opt_font=true","fontsize=8","opt_color=true","col_desc=Calculation:10;Footnote 1:9;ID:8;Label:7;Reporter:6:s;Reporter:5:long;Indicator:4:s;Indicator:3:l;Unit:2:s;Unit:1:long;","numberformat=0.00","auto_tr=1999|2015","com=true","comp=4"},1,1)</f>
        <v>31/01/2024 @ 15:43</v>
      </c>
      <c r="S12" s="5" t="str">
        <f>INDEX({"31/01/2024 @ 15:43","macro_id=DBGlobal","label_id=320","calc=SubScal(L_320,100)","time=Q","year_from=2000","year_to=2023","direction=V","opt_font=true","fontsize=8","opt_color=true","col_desc=Calculation:10;Footnote 1:9;ID:8;Label:7;Reporter:6:s;Reporter:5:long;Indicator:4:s;Indicator:3:l;Unit:2:s;Unit:1:long;","numberformat=0.00","auto_tr=1999|2015","com=true","comp=4"},1,1)</f>
        <v>31/01/2024 @ 15:43</v>
      </c>
      <c r="T12" s="1" t="str">
        <f>INDEX({"31/01/2024 @ 15:43","macro_id=DBGlobal","label_id=788","time=Q","year_from=2000","year_to=2023","direction=V","opt_font=true","fontsize=8","opt_color=true","col_desc=Calculation:10;Footnote 1:9;ID:8;Label:7;Reporter:6:s;Reporter:5:long;Indicator:4:s;Indicator:3:l;Unit:2:s;Unit:1:long;","numberformat=0.00","auto_tr=1999|2015","com=true","comp=4"},1,1)</f>
        <v>31/01/2024 @ 15:43</v>
      </c>
      <c r="U12" s="1" t="str">
        <f>INDEX({"31/01/2024 @ 15:43","macro_id=DBGlobal","label_id=91641","time=Q","year_from=2000","year_to=2023","direction=V","opt_font=true","fontsize=8","opt_color=true","col_desc=Calculation:10;Footnote 1:9;ID:8;Label:7;Reporter:6:s;Reporter:5:long;Indicator:4:s;Indicator:3:l;Unit:2:s;Unit:1:long;","numberformat=0.00","auto_tr=1999|2015","com=true","comp=4"},1,1)</f>
        <v>31/01/2024 @ 15:43</v>
      </c>
      <c r="V12" s="1" t="str">
        <f>INDEX({"31/01/2024 @ 15:43","macro_id=DBGlobal","label_id=974","time=Q","year_from=2000","year_to=2023","direction=V","opt_font=true","fontsize=8","opt_color=true","col_desc=Calculation:10;Footnote 1:9;ID:8;Label:7;Reporter:6:s;Reporter:5:long;Indicator:4:s;Indicator:3:l;Unit:2:s;Unit:1:long;","numberformat=0.00","auto_tr=1999|2015","com=true","comp=4"},1,1)</f>
        <v>31/01/2024 @ 15:43</v>
      </c>
      <c r="W12" s="5" t="str">
        <f>INDEX({"31/01/2024 @ 15:43","macro_id=DBGlobal","label_id=56632","calc=SubScal(L_56632,100)","time=Q","year_from=2000","year_to=2023","direction=V","opt_font=true","fontsize=8","opt_color=true","col_desc=Calculation:10;Footnote 1:9;ID:8;Label:7;Reporter:6:s;Reporter:5:long;Indicator:4:s;Indicator:3:l;Unit:2:s;Unit:1:long;","numberformat=0.00","auto_tr=1999|2015","com=true","comp=4"},1,1)</f>
        <v>31/01/2024 @ 15:43</v>
      </c>
      <c r="X12" s="6" t="str">
        <f>INDEX({"31/01/2024 @ 15:43","macro_id=DBGlobal","label_id=87271","calc=SubScal(CPPY=100(AddNull(L_87271,L_87345)),100)","time=Q","year_from=2000","year_to=2023","direction=V","opt_font=true","fontsize=8","opt_color=true","col_desc=Calculation:10;Footnote 1:9;ID:8;Label:7;Reporter:6:s;Reporter:5:long;Indicator:4:s;Indicator:3:l;Unit:2:s;Unit:1:long;","numberformat=0.00","auto_tr=1999|2015","com=true","comp=4"},1,1)</f>
        <v>31/01/2024 @ 15:43</v>
      </c>
      <c r="Y12" s="6" t="str">
        <f>INDEX({"31/01/2024 @ 15:43","macro_id=DBGlobal","label_id=87308","calc=SubScal(CPPY=100(AddNull(L_87308,L_87382)),100)","time=Q","year_from=2000","year_to=2023","direction=V","opt_font=true","fontsize=8","opt_color=true","col_desc=Calculation:10;Footnote 1:9;ID:8;Label:7;Reporter:6:s;Reporter:5:long;Indicator:4:s;Indicator:3:l;Unit:2:s;Unit:1:long;","numberformat=0.00","auto_tr=1999|2015","com=true","comp=4"},1,1)</f>
        <v>31/01/2024 @ 15:43</v>
      </c>
      <c r="Z12" s="1" t="str">
        <f>INDEX({"31/01/2024 @ 15:43","macro_id=DBGlobal","label_id=88741","time=Q","year_from=2000","year_to=2023","direction=V","opt_font=true","fontsize=8","opt_color=true","col_desc=Calculation:10;Footnote 1:9;ID:8;Label:7;Reporter:6:s;Reporter:5:long;Indicator:4:s;Indicator:3:l;Unit:2:s;Unit:1:long;","numberformat=0.00","auto_tr=1999|2015","com=true","comp=4"},1,1)</f>
        <v>31/01/2024 @ 15:43</v>
      </c>
      <c r="AA12" s="1" t="str">
        <f>INDEX({"31/01/2024 @ 15:43","macro_id=DBGlobal","label_id=90346","time=Q","year_from=2000","year_to=2023","direction=V","opt_font=true","fontsize=8","opt_color=true","col_desc=Calculation:10;Footnote 1:9;ID:8;Label:7;Reporter:6:s;Reporter:5:long;Indicator:4:s;Indicator:3:l;Unit:2:s;Unit:1:long;","numberformat=0.00","auto_tr=1999|2015","com=true","comp=4"},1,1)</f>
        <v>31/01/2024 @ 15:43</v>
      </c>
      <c r="AB12" s="1" t="str">
        <f>INDEX({"31/01/2024 @ 15:43","macro_id=DBGlobal","label_id=90390","time=Q","year_from=2000","year_to=2023","direction=V","opt_font=true","fontsize=8","opt_color=true","col_desc=Calculation:10;Footnote 1:9;ID:8;Label:7;Reporter:6:s;Reporter:5:long;Indicator:4:s;Indicator:3:l;Unit:2:s;Unit:1:long;","numberformat=0.00","auto_tr=1999|2015","com=true","comp=4"},1,1)</f>
        <v>31/01/2024 @ 15:43</v>
      </c>
      <c r="AC12" s="1" t="str">
        <f>INDEX({"31/01/2024 @ 15:43","macro_id=DBGlobal","label_id=90412","time=Q","year_from=2000","year_to=2023","direction=V","opt_font=true","fontsize=8","opt_color=true","col_desc=Calculation:10;Footnote 1:9;ID:8;Label:7;Reporter:6:s;Reporter:5:long;Indicator:4:s;Indicator:3:l;Unit:2:s;Unit:1:long;","numberformat=0.00","auto_tr=1999|2015","com=true","comp=4"},1,1)</f>
        <v>31/01/2024 @ 15:43</v>
      </c>
      <c r="AD12" s="1" t="str">
        <f>INDEX({"31/01/2024 @ 15:43","macro_id=DBGlobal","label_id=90500","time=Q","year_from=2000","year_to=2023","direction=V","opt_font=true","fontsize=8","opt_color=true","col_desc=Calculation:10;Footnote 1:9;ID:8;Label:7;Reporter:6:s;Reporter:5:long;Indicator:4:s;Indicator:3:l;Unit:2:s;Unit:1:long;","numberformat=0.00","auto_tr=1999|2015","com=true","comp=4"},1,1)</f>
        <v>31/01/2024 @ 15:43</v>
      </c>
      <c r="AE12" s="1" t="str">
        <f>INDEX({"31/01/2024 @ 15:43","macro_id=DBGlobal","label_id=90522","time=Q","year_from=2000","year_to=2023","direction=V","opt_font=true","fontsize=8","opt_color=true","col_desc=Calculation:10;Footnote 1:9;ID:8;Label:7;Reporter:6:s;Reporter:5:long;Indicator:4:s;Indicator:3:l;Unit:2:s;Unit:1:long;","numberformat=0.00","auto_tr=1999|2015","com=true","comp=4"},1,1)</f>
        <v>31/01/2024 @ 15:43</v>
      </c>
      <c r="AF12" s="5" t="str">
        <f>INDEX({"31/01/2024 @ 15:43","macro_id=DBGlobal","label_id=89620","calc=SubScal(L_89620,100)","time=Q","year_from=2000","year_to=2023","direction=V","opt_font=true","fontsize=8","opt_color=true","col_desc=Calculation:10;Footnote 1:9;ID:8;Label:7;Reporter:6:s;Reporter:5:long;Indicator:4:s;Indicator:3:l;Unit:2:s;Unit:1:long;","numberformat=0.00","auto_tr=1999|2015","com=true","comp=4"},1,1)</f>
        <v>31/01/2024 @ 15:43</v>
      </c>
      <c r="AG12" s="4" t="str">
        <f>INDEX({"31/01/2024 @ 15:43","macro_id=DBGlobal","label_id=140881","time=Q","year_from=2000","year_to=2023","direction=V","opt_font=true","fontsize=8","opt_color=true","col_desc=Calculation:10;Footnote 1:9;ID:8;Label:7;Reporter:6:s;Reporter:5:long;Indicator:4:s;Indicator:3:l;Unit:2:s;Unit:1:long;","numberformat=0.00","auto_tr=1999|2015","com=true","comp=4"},1,1)</f>
        <v>31/01/2024 @ 15:43</v>
      </c>
    </row>
    <row r="13" spans="1:33" s="11" customFormat="1" x14ac:dyDescent="0.3">
      <c r="A13" s="11" t="s">
        <v>19</v>
      </c>
      <c r="B13" s="12">
        <v>4.8214176000000002</v>
      </c>
      <c r="C13" s="12">
        <v>73.989999999999995</v>
      </c>
      <c r="D13" s="12">
        <v>1.7557532</v>
      </c>
      <c r="E13" s="12">
        <v>3.25</v>
      </c>
      <c r="F13" s="13">
        <v>26.926666699999998</v>
      </c>
      <c r="G13" s="7" t="s">
        <v>107</v>
      </c>
      <c r="H13" s="7" t="s">
        <v>107</v>
      </c>
      <c r="I13" s="7" t="s">
        <v>107</v>
      </c>
      <c r="J13" s="7" t="s">
        <v>107</v>
      </c>
      <c r="K13" s="7" t="s">
        <v>107</v>
      </c>
      <c r="L13" s="7" t="s">
        <v>107</v>
      </c>
      <c r="M13" s="7" t="s">
        <v>107</v>
      </c>
      <c r="N13" s="7" t="s">
        <v>107</v>
      </c>
      <c r="O13" s="7" t="s">
        <v>107</v>
      </c>
      <c r="P13" s="7" t="s">
        <v>107</v>
      </c>
      <c r="Q13" s="7" t="s">
        <v>107</v>
      </c>
      <c r="R13" s="7" t="s">
        <v>107</v>
      </c>
      <c r="S13" s="7" t="s">
        <v>107</v>
      </c>
      <c r="T13" s="12">
        <v>9.5</v>
      </c>
      <c r="U13" s="7" t="s">
        <v>107</v>
      </c>
      <c r="V13" s="12">
        <v>60.648200000000003</v>
      </c>
      <c r="W13" s="7" t="s">
        <v>107</v>
      </c>
      <c r="X13" s="7" t="s">
        <v>107</v>
      </c>
      <c r="Y13" s="7" t="s">
        <v>107</v>
      </c>
      <c r="Z13" s="7" t="s">
        <v>107</v>
      </c>
      <c r="AA13" s="12">
        <v>74.812056900000002</v>
      </c>
      <c r="AB13" s="12">
        <v>17.089412800000002</v>
      </c>
      <c r="AC13" s="12">
        <v>32.301316700000001</v>
      </c>
      <c r="AD13" s="12">
        <v>35.8837215</v>
      </c>
      <c r="AE13" s="12">
        <v>60.0863248</v>
      </c>
      <c r="AF13" s="12">
        <v>37.748957900000001</v>
      </c>
      <c r="AG13" s="7" t="s">
        <v>107</v>
      </c>
    </row>
    <row r="14" spans="1:33" s="11" customFormat="1" outlineLevel="1" x14ac:dyDescent="0.3">
      <c r="A14" s="11" t="s">
        <v>20</v>
      </c>
      <c r="B14" s="12">
        <v>4.3154814000000004</v>
      </c>
      <c r="C14" s="12">
        <v>74.493333300000003</v>
      </c>
      <c r="D14" s="12">
        <v>1.6742492</v>
      </c>
      <c r="E14" s="12">
        <v>3.9166666999999999</v>
      </c>
      <c r="F14" s="13">
        <v>26.766666699999998</v>
      </c>
      <c r="G14" s="7" t="s">
        <v>107</v>
      </c>
      <c r="H14" s="7" t="s">
        <v>107</v>
      </c>
      <c r="I14" s="7" t="s">
        <v>107</v>
      </c>
      <c r="J14" s="7" t="s">
        <v>107</v>
      </c>
      <c r="K14" s="7" t="s">
        <v>107</v>
      </c>
      <c r="L14" s="7" t="s">
        <v>107</v>
      </c>
      <c r="M14" s="7" t="s">
        <v>107</v>
      </c>
      <c r="N14" s="7" t="s">
        <v>107</v>
      </c>
      <c r="O14" s="7" t="s">
        <v>107</v>
      </c>
      <c r="P14" s="7" t="s">
        <v>107</v>
      </c>
      <c r="Q14" s="7" t="s">
        <v>107</v>
      </c>
      <c r="R14" s="7" t="s">
        <v>107</v>
      </c>
      <c r="S14" s="7" t="s">
        <v>107</v>
      </c>
      <c r="T14" s="12">
        <v>9.3000000000000007</v>
      </c>
      <c r="U14" s="7" t="s">
        <v>107</v>
      </c>
      <c r="V14" s="12">
        <v>60.720500000000001</v>
      </c>
      <c r="W14" s="7" t="s">
        <v>107</v>
      </c>
      <c r="X14" s="7" t="s">
        <v>107</v>
      </c>
      <c r="Y14" s="7" t="s">
        <v>107</v>
      </c>
      <c r="Z14" s="7" t="s">
        <v>107</v>
      </c>
      <c r="AA14" s="12">
        <v>69.000756100000004</v>
      </c>
      <c r="AB14" s="12">
        <v>16.346140299999998</v>
      </c>
      <c r="AC14" s="12">
        <v>25.5664981</v>
      </c>
      <c r="AD14" s="12">
        <v>28.432058600000001</v>
      </c>
      <c r="AE14" s="12">
        <v>39.345922700000003</v>
      </c>
      <c r="AF14" s="12">
        <v>52.532496600000002</v>
      </c>
      <c r="AG14" s="7" t="s">
        <v>107</v>
      </c>
    </row>
    <row r="15" spans="1:33" s="11" customFormat="1" outlineLevel="1" x14ac:dyDescent="0.3">
      <c r="A15" s="11" t="s">
        <v>21</v>
      </c>
      <c r="B15" s="12">
        <v>3.5071058000000002</v>
      </c>
      <c r="C15" s="12">
        <v>74.819999999999993</v>
      </c>
      <c r="D15" s="12">
        <v>1.9670194000000001</v>
      </c>
      <c r="E15" s="17">
        <v>4.3333332999999996</v>
      </c>
      <c r="F15" s="13">
        <v>30.673333299999999</v>
      </c>
      <c r="G15" s="7" t="s">
        <v>107</v>
      </c>
      <c r="H15" s="7" t="s">
        <v>107</v>
      </c>
      <c r="I15" s="7" t="s">
        <v>107</v>
      </c>
      <c r="J15" s="7" t="s">
        <v>107</v>
      </c>
      <c r="K15" s="7" t="s">
        <v>107</v>
      </c>
      <c r="L15" s="7" t="s">
        <v>107</v>
      </c>
      <c r="M15" s="7" t="s">
        <v>107</v>
      </c>
      <c r="N15" s="7" t="s">
        <v>107</v>
      </c>
      <c r="O15" s="7" t="s">
        <v>107</v>
      </c>
      <c r="P15" s="7" t="s">
        <v>107</v>
      </c>
      <c r="Q15" s="7" t="s">
        <v>107</v>
      </c>
      <c r="R15" s="7" t="s">
        <v>107</v>
      </c>
      <c r="S15" s="7" t="s">
        <v>107</v>
      </c>
      <c r="T15" s="12">
        <v>8.3000000000000007</v>
      </c>
      <c r="U15" s="7" t="s">
        <v>107</v>
      </c>
      <c r="V15" s="12">
        <v>60.765000000000001</v>
      </c>
      <c r="W15" s="7" t="s">
        <v>107</v>
      </c>
      <c r="X15" s="7" t="s">
        <v>107</v>
      </c>
      <c r="Y15" s="7" t="s">
        <v>107</v>
      </c>
      <c r="Z15" s="7" t="s">
        <v>107</v>
      </c>
      <c r="AA15" s="12">
        <v>83.660068300000006</v>
      </c>
      <c r="AB15" s="12">
        <v>15.272847199999999</v>
      </c>
      <c r="AC15" s="12">
        <v>7.3952147000000004</v>
      </c>
      <c r="AD15" s="12">
        <v>35.9642543</v>
      </c>
      <c r="AE15" s="12">
        <v>42.292225100000003</v>
      </c>
      <c r="AF15" s="12">
        <v>46.140577800000003</v>
      </c>
      <c r="AG15" s="7" t="s">
        <v>107</v>
      </c>
    </row>
    <row r="16" spans="1:33" s="11" customFormat="1" outlineLevel="1" x14ac:dyDescent="0.3">
      <c r="A16" s="11" t="s">
        <v>22</v>
      </c>
      <c r="B16" s="12">
        <v>2.8994336000000001</v>
      </c>
      <c r="C16" s="12">
        <v>75.3</v>
      </c>
      <c r="D16" s="12">
        <v>2.2218200000000001</v>
      </c>
      <c r="E16" s="17">
        <v>4.75</v>
      </c>
      <c r="F16" s="13">
        <v>29.7233333</v>
      </c>
      <c r="G16" s="7" t="s">
        <v>107</v>
      </c>
      <c r="H16" s="7" t="s">
        <v>107</v>
      </c>
      <c r="I16" s="7" t="s">
        <v>107</v>
      </c>
      <c r="J16" s="7" t="s">
        <v>107</v>
      </c>
      <c r="K16" s="7" t="s">
        <v>107</v>
      </c>
      <c r="L16" s="7" t="s">
        <v>107</v>
      </c>
      <c r="M16" s="7" t="s">
        <v>107</v>
      </c>
      <c r="N16" s="7" t="s">
        <v>107</v>
      </c>
      <c r="O16" s="7" t="s">
        <v>107</v>
      </c>
      <c r="P16" s="7" t="s">
        <v>107</v>
      </c>
      <c r="Q16" s="7" t="s">
        <v>107</v>
      </c>
      <c r="R16" s="7" t="s">
        <v>107</v>
      </c>
      <c r="S16" s="7" t="s">
        <v>107</v>
      </c>
      <c r="T16" s="12">
        <v>6.8</v>
      </c>
      <c r="U16" s="7" t="s">
        <v>107</v>
      </c>
      <c r="V16" s="12">
        <v>60.765466699999998</v>
      </c>
      <c r="W16" s="7" t="s">
        <v>107</v>
      </c>
      <c r="X16" s="7" t="s">
        <v>107</v>
      </c>
      <c r="Y16" s="7" t="s">
        <v>107</v>
      </c>
      <c r="Z16" s="7" t="s">
        <v>107</v>
      </c>
      <c r="AA16" s="12">
        <v>74.453401200000002</v>
      </c>
      <c r="AB16" s="12">
        <v>18.901145199999998</v>
      </c>
      <c r="AC16" s="12">
        <v>23.4335536</v>
      </c>
      <c r="AD16" s="12">
        <v>32.033325300000001</v>
      </c>
      <c r="AE16" s="12">
        <v>48.821425300000001</v>
      </c>
      <c r="AF16" s="12">
        <v>45.696877399999998</v>
      </c>
      <c r="AG16" s="7" t="s">
        <v>107</v>
      </c>
    </row>
    <row r="17" spans="1:33" s="11" customFormat="1" outlineLevel="1" x14ac:dyDescent="0.3">
      <c r="A17" s="11" t="s">
        <v>23</v>
      </c>
      <c r="B17" s="12">
        <v>3.0047543999999999</v>
      </c>
      <c r="C17" s="12">
        <v>75.393333299999995</v>
      </c>
      <c r="D17" s="12">
        <v>1.8966527</v>
      </c>
      <c r="E17" s="17">
        <v>4.75</v>
      </c>
      <c r="F17" s="13">
        <v>25.873333299999999</v>
      </c>
      <c r="G17" s="7" t="s">
        <v>107</v>
      </c>
      <c r="H17" s="7" t="s">
        <v>107</v>
      </c>
      <c r="I17" s="7" t="s">
        <v>107</v>
      </c>
      <c r="J17" s="12">
        <v>5.2740862999999996</v>
      </c>
      <c r="K17" s="12">
        <v>-14.357748300000001</v>
      </c>
      <c r="L17" s="12">
        <v>8.6395935000000001</v>
      </c>
      <c r="M17" s="12">
        <v>19.7763144</v>
      </c>
      <c r="N17" s="12">
        <v>-13.8459805</v>
      </c>
      <c r="O17" s="12">
        <v>-25.019823200000001</v>
      </c>
      <c r="P17" s="7" t="s">
        <v>107</v>
      </c>
      <c r="Q17" s="7" t="s">
        <v>107</v>
      </c>
      <c r="R17" s="7" t="s">
        <v>107</v>
      </c>
      <c r="S17" s="12">
        <v>1.9558818</v>
      </c>
      <c r="T17" s="12">
        <v>7.8</v>
      </c>
      <c r="U17" s="7" t="s">
        <v>107</v>
      </c>
      <c r="V17" s="12">
        <v>60.831299999999999</v>
      </c>
      <c r="W17" s="12">
        <v>-4.3530351999999999</v>
      </c>
      <c r="X17" s="7" t="s">
        <v>107</v>
      </c>
      <c r="Y17" s="7" t="s">
        <v>107</v>
      </c>
      <c r="Z17" s="7" t="s">
        <v>107</v>
      </c>
      <c r="AA17" s="12">
        <v>69.577592100000004</v>
      </c>
      <c r="AB17" s="12">
        <v>19.794848500000001</v>
      </c>
      <c r="AC17" s="12">
        <v>19.4140245</v>
      </c>
      <c r="AD17" s="12">
        <v>30.622323900000001</v>
      </c>
      <c r="AE17" s="12">
        <v>39.408788999999999</v>
      </c>
      <c r="AF17" s="12">
        <v>31.371889700000001</v>
      </c>
      <c r="AG17" s="7" t="s">
        <v>107</v>
      </c>
    </row>
    <row r="18" spans="1:33" s="11" customFormat="1" outlineLevel="1" x14ac:dyDescent="0.3">
      <c r="A18" s="11" t="s">
        <v>24</v>
      </c>
      <c r="B18" s="12">
        <v>2.2522867999999998</v>
      </c>
      <c r="C18" s="12">
        <v>76.483333299999998</v>
      </c>
      <c r="D18" s="12">
        <v>2.6713800000000001</v>
      </c>
      <c r="E18" s="17">
        <v>4.5833332999999996</v>
      </c>
      <c r="F18" s="13">
        <v>27.273333300000001</v>
      </c>
      <c r="G18" s="7" t="s">
        <v>107</v>
      </c>
      <c r="H18" s="7" t="s">
        <v>107</v>
      </c>
      <c r="I18" s="7" t="s">
        <v>107</v>
      </c>
      <c r="J18" s="12">
        <v>-4.0977877999999999</v>
      </c>
      <c r="K18" s="12">
        <v>-11.727544999999999</v>
      </c>
      <c r="L18" s="12">
        <v>49.4060633</v>
      </c>
      <c r="M18" s="12">
        <v>-7.4979163</v>
      </c>
      <c r="N18" s="12">
        <v>-13.192574499999999</v>
      </c>
      <c r="O18" s="12">
        <v>-4.6140243999999999</v>
      </c>
      <c r="P18" s="7" t="s">
        <v>107</v>
      </c>
      <c r="Q18" s="7" t="s">
        <v>107</v>
      </c>
      <c r="R18" s="7" t="s">
        <v>107</v>
      </c>
      <c r="S18" s="12">
        <v>0.50267410000000001</v>
      </c>
      <c r="T18" s="12">
        <v>15</v>
      </c>
      <c r="U18" s="7" t="s">
        <v>107</v>
      </c>
      <c r="V18" s="12">
        <v>60.917866699999998</v>
      </c>
      <c r="W18" s="12">
        <v>0.33416879999999999</v>
      </c>
      <c r="X18" s="7" t="s">
        <v>107</v>
      </c>
      <c r="Y18" s="7" t="s">
        <v>107</v>
      </c>
      <c r="Z18" s="7" t="s">
        <v>107</v>
      </c>
      <c r="AA18" s="12">
        <v>72.004041700000002</v>
      </c>
      <c r="AB18" s="12">
        <v>25.8578209</v>
      </c>
      <c r="AC18" s="12">
        <v>17.846499099999999</v>
      </c>
      <c r="AD18" s="12">
        <v>28.661018500000001</v>
      </c>
      <c r="AE18" s="12">
        <v>44.369539500000002</v>
      </c>
      <c r="AF18" s="12">
        <v>22.215692000000001</v>
      </c>
      <c r="AG18" s="7" t="s">
        <v>107</v>
      </c>
    </row>
    <row r="19" spans="1:33" s="11" customFormat="1" outlineLevel="1" x14ac:dyDescent="0.3">
      <c r="A19" s="11" t="s">
        <v>25</v>
      </c>
      <c r="B19" s="12">
        <v>1.8991327</v>
      </c>
      <c r="C19" s="12">
        <v>76.516666700000002</v>
      </c>
      <c r="D19" s="12">
        <v>2.2676647000000001</v>
      </c>
      <c r="E19" s="17">
        <v>4.1666667000000004</v>
      </c>
      <c r="F19" s="13">
        <v>25.303333299999998</v>
      </c>
      <c r="G19" s="7" t="s">
        <v>107</v>
      </c>
      <c r="H19" s="7" t="s">
        <v>107</v>
      </c>
      <c r="I19" s="7" t="s">
        <v>107</v>
      </c>
      <c r="J19" s="12">
        <v>-12.7230282</v>
      </c>
      <c r="K19" s="12">
        <v>-1.9364759</v>
      </c>
      <c r="L19" s="12">
        <v>40.732433299999997</v>
      </c>
      <c r="M19" s="12">
        <v>-77.724775399999999</v>
      </c>
      <c r="N19" s="12">
        <v>-13.6714675</v>
      </c>
      <c r="O19" s="12">
        <v>-18.925605699999998</v>
      </c>
      <c r="P19" s="7" t="s">
        <v>107</v>
      </c>
      <c r="Q19" s="7" t="s">
        <v>107</v>
      </c>
      <c r="R19" s="7" t="s">
        <v>107</v>
      </c>
      <c r="S19" s="12">
        <v>-1.9634512</v>
      </c>
      <c r="T19" s="12">
        <v>18</v>
      </c>
      <c r="U19" s="7" t="s">
        <v>107</v>
      </c>
      <c r="V19" s="12">
        <v>60.947766700000003</v>
      </c>
      <c r="W19" s="12">
        <v>-7.4243053000000003</v>
      </c>
      <c r="X19" s="7" t="s">
        <v>107</v>
      </c>
      <c r="Y19" s="7" t="s">
        <v>107</v>
      </c>
      <c r="Z19" s="7" t="s">
        <v>107</v>
      </c>
      <c r="AA19" s="12">
        <v>82.561037400000004</v>
      </c>
      <c r="AB19" s="12">
        <v>25.713101300000002</v>
      </c>
      <c r="AC19" s="12">
        <v>1.467409</v>
      </c>
      <c r="AD19" s="12">
        <v>30.766207099999999</v>
      </c>
      <c r="AE19" s="12">
        <v>40.507754900000002</v>
      </c>
      <c r="AF19" s="12">
        <v>17.615815900000001</v>
      </c>
      <c r="AG19" s="7" t="s">
        <v>107</v>
      </c>
    </row>
    <row r="20" spans="1:33" s="11" customFormat="1" outlineLevel="1" x14ac:dyDescent="0.3">
      <c r="A20" s="11" t="s">
        <v>26</v>
      </c>
      <c r="B20" s="12">
        <v>1.4300580000000001</v>
      </c>
      <c r="C20" s="12">
        <v>76.746666700000006</v>
      </c>
      <c r="D20" s="12">
        <v>1.9212041</v>
      </c>
      <c r="E20" s="17">
        <v>3.4166666999999999</v>
      </c>
      <c r="F20" s="13">
        <v>19.350000000000001</v>
      </c>
      <c r="G20" s="7" t="s">
        <v>107</v>
      </c>
      <c r="H20" s="7" t="s">
        <v>107</v>
      </c>
      <c r="I20" s="7" t="s">
        <v>107</v>
      </c>
      <c r="J20" s="12">
        <v>-0.50365300000000002</v>
      </c>
      <c r="K20" s="12">
        <v>-12.493651699999999</v>
      </c>
      <c r="L20" s="12">
        <v>41.808437599999998</v>
      </c>
      <c r="M20" s="12">
        <v>44.331116100000003</v>
      </c>
      <c r="N20" s="12">
        <v>-15.9661107</v>
      </c>
      <c r="O20" s="12">
        <v>9.1414621</v>
      </c>
      <c r="P20" s="7" t="s">
        <v>107</v>
      </c>
      <c r="Q20" s="7" t="s">
        <v>107</v>
      </c>
      <c r="R20" s="7" t="s">
        <v>107</v>
      </c>
      <c r="S20" s="12">
        <v>-1.7969682</v>
      </c>
      <c r="T20" s="12">
        <v>12.2</v>
      </c>
      <c r="U20" s="7" t="s">
        <v>107</v>
      </c>
      <c r="V20" s="12">
        <v>60.954533300000001</v>
      </c>
      <c r="W20" s="12">
        <v>-1.0545454999999999</v>
      </c>
      <c r="X20" s="7" t="s">
        <v>107</v>
      </c>
      <c r="Y20" s="7" t="s">
        <v>107</v>
      </c>
      <c r="Z20" s="7" t="s">
        <v>107</v>
      </c>
      <c r="AA20" s="12">
        <v>64.459348599999998</v>
      </c>
      <c r="AB20" s="12">
        <v>23.8486121</v>
      </c>
      <c r="AC20" s="12">
        <v>29.038772900000001</v>
      </c>
      <c r="AD20" s="12">
        <v>27.078212600000001</v>
      </c>
      <c r="AE20" s="12">
        <v>44.424946200000001</v>
      </c>
      <c r="AF20" s="12">
        <v>4.5478306000000002</v>
      </c>
      <c r="AG20" s="7" t="s">
        <v>107</v>
      </c>
    </row>
    <row r="21" spans="1:33" s="11" customFormat="1" outlineLevel="1" x14ac:dyDescent="0.3">
      <c r="A21" s="11" t="s">
        <v>27</v>
      </c>
      <c r="B21" s="12">
        <v>7.1740499999999999E-2</v>
      </c>
      <c r="C21" s="12">
        <v>77.180000000000007</v>
      </c>
      <c r="D21" s="12">
        <v>2.3697940000000002</v>
      </c>
      <c r="E21" s="17">
        <v>3.25</v>
      </c>
      <c r="F21" s="13">
        <v>21.1333333</v>
      </c>
      <c r="G21" s="7" t="s">
        <v>107</v>
      </c>
      <c r="H21" s="7" t="s">
        <v>107</v>
      </c>
      <c r="I21" s="7" t="s">
        <v>107</v>
      </c>
      <c r="J21" s="12">
        <v>-10.7760228</v>
      </c>
      <c r="K21" s="12">
        <v>8.3550637999999999</v>
      </c>
      <c r="L21" s="12">
        <v>18.979722500000001</v>
      </c>
      <c r="M21" s="12">
        <v>-9.9415204999999993</v>
      </c>
      <c r="N21" s="12">
        <v>-3.812735</v>
      </c>
      <c r="O21" s="12">
        <v>40.982364099999998</v>
      </c>
      <c r="P21" s="7" t="s">
        <v>107</v>
      </c>
      <c r="Q21" s="7" t="s">
        <v>107</v>
      </c>
      <c r="R21" s="7" t="s">
        <v>107</v>
      </c>
      <c r="S21" s="12">
        <v>2.9357133000000002</v>
      </c>
      <c r="T21" s="12">
        <v>13</v>
      </c>
      <c r="U21" s="7" t="s">
        <v>107</v>
      </c>
      <c r="V21" s="12">
        <v>60.9532667</v>
      </c>
      <c r="W21" s="12">
        <v>-14.446764099999999</v>
      </c>
      <c r="X21" s="7" t="s">
        <v>107</v>
      </c>
      <c r="Y21" s="7" t="s">
        <v>107</v>
      </c>
      <c r="Z21" s="7" t="s">
        <v>107</v>
      </c>
      <c r="AA21" s="12">
        <v>69.196765299999996</v>
      </c>
      <c r="AB21" s="12">
        <v>22.591352100000002</v>
      </c>
      <c r="AC21" s="12">
        <v>28.686185999999999</v>
      </c>
      <c r="AD21" s="12">
        <v>26.805165800000001</v>
      </c>
      <c r="AE21" s="12">
        <v>47.279469200000001</v>
      </c>
      <c r="AF21" s="12">
        <v>1.6636806</v>
      </c>
      <c r="AG21" s="7" t="s">
        <v>107</v>
      </c>
    </row>
    <row r="22" spans="1:33" s="11" customFormat="1" outlineLevel="1" x14ac:dyDescent="0.3">
      <c r="A22" s="11" t="s">
        <v>28</v>
      </c>
      <c r="B22" s="12">
        <v>1.2490021</v>
      </c>
      <c r="C22" s="12">
        <v>77.933333300000001</v>
      </c>
      <c r="D22" s="12">
        <v>1.8958379000000001</v>
      </c>
      <c r="E22" s="17">
        <v>3.25</v>
      </c>
      <c r="F22" s="13">
        <v>25.053333299999998</v>
      </c>
      <c r="G22" s="7" t="s">
        <v>107</v>
      </c>
      <c r="H22" s="7" t="s">
        <v>107</v>
      </c>
      <c r="I22" s="7" t="s">
        <v>107</v>
      </c>
      <c r="J22" s="12">
        <v>0.6866873</v>
      </c>
      <c r="K22" s="12">
        <v>14.083656599999999</v>
      </c>
      <c r="L22" s="12">
        <v>-25.579526600000001</v>
      </c>
      <c r="M22" s="12">
        <v>15.4819332</v>
      </c>
      <c r="N22" s="12">
        <v>-9.3519182999999995</v>
      </c>
      <c r="O22" s="12">
        <v>0.60482369999999996</v>
      </c>
      <c r="P22" s="7" t="s">
        <v>107</v>
      </c>
      <c r="Q22" s="7" t="s">
        <v>107</v>
      </c>
      <c r="R22" s="7" t="s">
        <v>107</v>
      </c>
      <c r="S22" s="12">
        <v>4.6919439000000001</v>
      </c>
      <c r="T22" s="12">
        <v>13</v>
      </c>
      <c r="U22" s="7" t="s">
        <v>107</v>
      </c>
      <c r="V22" s="12">
        <v>60.956600000000002</v>
      </c>
      <c r="W22" s="12">
        <v>-7.910075</v>
      </c>
      <c r="X22" s="7" t="s">
        <v>107</v>
      </c>
      <c r="Y22" s="7" t="s">
        <v>107</v>
      </c>
      <c r="Z22" s="7" t="s">
        <v>107</v>
      </c>
      <c r="AA22" s="12">
        <v>71.740080500000005</v>
      </c>
      <c r="AB22" s="12">
        <v>19.7026605</v>
      </c>
      <c r="AC22" s="12">
        <v>26.354083899999999</v>
      </c>
      <c r="AD22" s="12">
        <v>25.567269499999998</v>
      </c>
      <c r="AE22" s="12">
        <v>43.364252800000003</v>
      </c>
      <c r="AF22" s="12">
        <v>8.8242366000000008</v>
      </c>
      <c r="AG22" s="7" t="s">
        <v>107</v>
      </c>
    </row>
    <row r="23" spans="1:33" s="11" customFormat="1" outlineLevel="1" x14ac:dyDescent="0.3">
      <c r="A23" s="11" t="s">
        <v>29</v>
      </c>
      <c r="B23" s="12">
        <v>1.6677649999999999</v>
      </c>
      <c r="C23" s="12">
        <v>77.973333299999993</v>
      </c>
      <c r="D23" s="12">
        <v>1.9037246000000001</v>
      </c>
      <c r="E23" s="17">
        <v>3.25</v>
      </c>
      <c r="F23" s="13">
        <v>26.93</v>
      </c>
      <c r="G23" s="7" t="s">
        <v>107</v>
      </c>
      <c r="H23" s="7" t="s">
        <v>107</v>
      </c>
      <c r="I23" s="7" t="s">
        <v>107</v>
      </c>
      <c r="J23" s="12">
        <v>8.6331632000000003</v>
      </c>
      <c r="K23" s="12">
        <v>5.9255255</v>
      </c>
      <c r="L23" s="12">
        <v>-28.861217499999999</v>
      </c>
      <c r="M23" s="12">
        <v>213.94883759999999</v>
      </c>
      <c r="N23" s="12">
        <v>1.8206648999999999</v>
      </c>
      <c r="O23" s="12">
        <v>15.360061699999999</v>
      </c>
      <c r="P23" s="7" t="s">
        <v>107</v>
      </c>
      <c r="Q23" s="7" t="s">
        <v>107</v>
      </c>
      <c r="R23" s="7" t="s">
        <v>107</v>
      </c>
      <c r="S23" s="12">
        <v>8.8213898999999998</v>
      </c>
      <c r="T23" s="12">
        <v>9.51</v>
      </c>
      <c r="U23" s="7" t="s">
        <v>107</v>
      </c>
      <c r="V23" s="12">
        <v>60.976966699999998</v>
      </c>
      <c r="W23" s="12">
        <v>-5.8243726999999996</v>
      </c>
      <c r="X23" s="7" t="s">
        <v>107</v>
      </c>
      <c r="Y23" s="7" t="s">
        <v>107</v>
      </c>
      <c r="Z23" s="7" t="s">
        <v>107</v>
      </c>
      <c r="AA23" s="12">
        <v>80.494700399999999</v>
      </c>
      <c r="AB23" s="12">
        <v>19.229287800000002</v>
      </c>
      <c r="AC23" s="12">
        <v>14.8697053</v>
      </c>
      <c r="AD23" s="12">
        <v>29.457473100000001</v>
      </c>
      <c r="AE23" s="12">
        <v>44.051322599999999</v>
      </c>
      <c r="AF23" s="12">
        <v>31.585549400000001</v>
      </c>
      <c r="AG23" s="7" t="s">
        <v>107</v>
      </c>
    </row>
    <row r="24" spans="1:33" s="11" customFormat="1" outlineLevel="1" x14ac:dyDescent="0.3">
      <c r="A24" s="11" t="s">
        <v>30</v>
      </c>
      <c r="B24" s="12">
        <v>1.208337</v>
      </c>
      <c r="C24" s="12">
        <v>78.4033333</v>
      </c>
      <c r="D24" s="12">
        <v>2.158617</v>
      </c>
      <c r="E24" s="17">
        <v>3.0833333000000001</v>
      </c>
      <c r="F24" s="13">
        <v>26.736666700000001</v>
      </c>
      <c r="G24" s="7" t="s">
        <v>107</v>
      </c>
      <c r="H24" s="7" t="s">
        <v>107</v>
      </c>
      <c r="I24" s="7" t="s">
        <v>107</v>
      </c>
      <c r="J24" s="12">
        <v>9.0295006999999998</v>
      </c>
      <c r="K24" s="12">
        <v>11.7813379</v>
      </c>
      <c r="L24" s="12">
        <v>-17.8805376</v>
      </c>
      <c r="M24" s="12">
        <v>15.594070500000001</v>
      </c>
      <c r="N24" s="12">
        <v>-8.1175780999999994</v>
      </c>
      <c r="O24" s="12">
        <v>-11.120125699999999</v>
      </c>
      <c r="P24" s="7" t="s">
        <v>107</v>
      </c>
      <c r="Q24" s="7" t="s">
        <v>107</v>
      </c>
      <c r="R24" s="7" t="s">
        <v>107</v>
      </c>
      <c r="S24" s="12">
        <v>8.9297573000000003</v>
      </c>
      <c r="T24" s="12">
        <v>15.21</v>
      </c>
      <c r="U24" s="7" t="s">
        <v>107</v>
      </c>
      <c r="V24" s="12">
        <v>61.025766699999998</v>
      </c>
      <c r="W24" s="12">
        <v>5.6229326999999998</v>
      </c>
      <c r="X24" s="7" t="s">
        <v>107</v>
      </c>
      <c r="Y24" s="7" t="s">
        <v>107</v>
      </c>
      <c r="Z24" s="7" t="s">
        <v>107</v>
      </c>
      <c r="AA24" s="12">
        <v>86.265908100000004</v>
      </c>
      <c r="AB24" s="12">
        <v>21.5095651</v>
      </c>
      <c r="AC24" s="12">
        <v>14.7546681</v>
      </c>
      <c r="AD24" s="12">
        <v>23.702994499999999</v>
      </c>
      <c r="AE24" s="12">
        <v>46.232856599999998</v>
      </c>
      <c r="AF24" s="12">
        <v>47.2</v>
      </c>
      <c r="AG24" s="7" t="s">
        <v>107</v>
      </c>
    </row>
    <row r="25" spans="1:33" s="11" customFormat="1" outlineLevel="1" x14ac:dyDescent="0.3">
      <c r="A25" s="11" t="s">
        <v>31</v>
      </c>
      <c r="B25" s="12">
        <v>1.0748135000000001</v>
      </c>
      <c r="C25" s="12">
        <v>78.856666700000005</v>
      </c>
      <c r="D25" s="12">
        <v>2.1724109</v>
      </c>
      <c r="E25" s="17">
        <v>2.6666666999999999</v>
      </c>
      <c r="F25" s="13">
        <v>31.52</v>
      </c>
      <c r="G25" s="7" t="s">
        <v>107</v>
      </c>
      <c r="H25" s="7" t="s">
        <v>107</v>
      </c>
      <c r="I25" s="7" t="s">
        <v>107</v>
      </c>
      <c r="J25" s="12">
        <v>-1.7390539</v>
      </c>
      <c r="K25" s="12">
        <v>4.1643473000000002</v>
      </c>
      <c r="L25" s="12">
        <v>-25.862338300000001</v>
      </c>
      <c r="M25" s="12">
        <v>5.7149920999999999</v>
      </c>
      <c r="N25" s="12">
        <v>-8.6275393000000005</v>
      </c>
      <c r="O25" s="12">
        <v>-7.4520619000000003</v>
      </c>
      <c r="P25" s="7" t="s">
        <v>107</v>
      </c>
      <c r="Q25" s="7" t="s">
        <v>107</v>
      </c>
      <c r="R25" s="7" t="s">
        <v>107</v>
      </c>
      <c r="S25" s="12">
        <v>6.7127571000000001</v>
      </c>
      <c r="T25" s="12">
        <v>9.6</v>
      </c>
      <c r="U25" s="7" t="s">
        <v>107</v>
      </c>
      <c r="V25" s="12">
        <v>61.312833300000001</v>
      </c>
      <c r="W25" s="12">
        <v>3.5139092000000001</v>
      </c>
      <c r="X25" s="7" t="s">
        <v>107</v>
      </c>
      <c r="Y25" s="7" t="s">
        <v>107</v>
      </c>
      <c r="Z25" s="12">
        <v>-10.543663499999999</v>
      </c>
      <c r="AA25" s="12">
        <v>80.643718699999994</v>
      </c>
      <c r="AB25" s="12">
        <v>17.804091799999998</v>
      </c>
      <c r="AC25" s="12">
        <v>20.997268500000001</v>
      </c>
      <c r="AD25" s="12">
        <v>24.752830400000001</v>
      </c>
      <c r="AE25" s="12">
        <v>44.1979094</v>
      </c>
      <c r="AF25" s="12">
        <v>73.162134899999998</v>
      </c>
      <c r="AG25" s="7" t="s">
        <v>107</v>
      </c>
    </row>
    <row r="26" spans="1:33" s="11" customFormat="1" outlineLevel="1" x14ac:dyDescent="0.3">
      <c r="A26" s="11" t="s">
        <v>32</v>
      </c>
      <c r="B26" s="12">
        <v>0.33264589999999999</v>
      </c>
      <c r="C26" s="12">
        <v>79.37</v>
      </c>
      <c r="D26" s="12">
        <v>1.843456</v>
      </c>
      <c r="E26" s="17">
        <v>2.3333333000000001</v>
      </c>
      <c r="F26" s="13">
        <v>26.17</v>
      </c>
      <c r="G26" s="7" t="s">
        <v>107</v>
      </c>
      <c r="H26" s="7" t="s">
        <v>107</v>
      </c>
      <c r="I26" s="7" t="s">
        <v>107</v>
      </c>
      <c r="J26" s="12">
        <v>-1.8539635999999999</v>
      </c>
      <c r="K26" s="12">
        <v>-3.6588107999999999</v>
      </c>
      <c r="L26" s="12">
        <v>-7.3208783999999998</v>
      </c>
      <c r="M26" s="12">
        <v>-4.6995005000000001</v>
      </c>
      <c r="N26" s="12">
        <v>12.693093299999999</v>
      </c>
      <c r="O26" s="12">
        <v>-0.45437640000000001</v>
      </c>
      <c r="P26" s="7" t="s">
        <v>107</v>
      </c>
      <c r="Q26" s="7" t="s">
        <v>107</v>
      </c>
      <c r="R26" s="7" t="s">
        <v>107</v>
      </c>
      <c r="S26" s="12">
        <v>6.5722889000000002</v>
      </c>
      <c r="T26" s="12">
        <v>7</v>
      </c>
      <c r="U26" s="7" t="s">
        <v>107</v>
      </c>
      <c r="V26" s="12">
        <v>61.287633300000003</v>
      </c>
      <c r="W26" s="12">
        <v>3.5262205999999998</v>
      </c>
      <c r="X26" s="7" t="s">
        <v>107</v>
      </c>
      <c r="Y26" s="7" t="s">
        <v>107</v>
      </c>
      <c r="Z26" s="12">
        <v>-3.4571079999999998</v>
      </c>
      <c r="AA26" s="12">
        <v>78.259066099999998</v>
      </c>
      <c r="AB26" s="12">
        <v>18.523720699999998</v>
      </c>
      <c r="AC26" s="12">
        <v>18.207015699999999</v>
      </c>
      <c r="AD26" s="12">
        <v>27.862398800000001</v>
      </c>
      <c r="AE26" s="12">
        <v>42.852201399999998</v>
      </c>
      <c r="AF26" s="12">
        <v>74.458683199999996</v>
      </c>
      <c r="AG26" s="7" t="s">
        <v>107</v>
      </c>
    </row>
    <row r="27" spans="1:33" s="11" customFormat="1" outlineLevel="1" x14ac:dyDescent="0.3">
      <c r="A27" s="11" t="s">
        <v>33</v>
      </c>
      <c r="B27" s="12">
        <v>0.71308099999999996</v>
      </c>
      <c r="C27" s="12">
        <v>79.47</v>
      </c>
      <c r="D27" s="12">
        <v>1.9194597</v>
      </c>
      <c r="E27" s="17">
        <v>2</v>
      </c>
      <c r="F27" s="13">
        <v>28.45</v>
      </c>
      <c r="G27" s="7" t="s">
        <v>107</v>
      </c>
      <c r="H27" s="7" t="s">
        <v>107</v>
      </c>
      <c r="I27" s="7" t="s">
        <v>107</v>
      </c>
      <c r="J27" s="12">
        <v>4.5119962999999998</v>
      </c>
      <c r="K27" s="12">
        <v>1.0269562000000001</v>
      </c>
      <c r="L27" s="12">
        <v>-6.7499482000000004</v>
      </c>
      <c r="M27" s="12">
        <v>17.212976999999999</v>
      </c>
      <c r="N27" s="12">
        <v>-2.5205926000000001</v>
      </c>
      <c r="O27" s="12">
        <v>-6.5774198000000004</v>
      </c>
      <c r="P27" s="7" t="s">
        <v>107</v>
      </c>
      <c r="Q27" s="7" t="s">
        <v>107</v>
      </c>
      <c r="R27" s="7" t="s">
        <v>107</v>
      </c>
      <c r="S27" s="12">
        <v>3.3726124</v>
      </c>
      <c r="T27" s="12">
        <v>7</v>
      </c>
      <c r="U27" s="7" t="s">
        <v>107</v>
      </c>
      <c r="V27" s="12">
        <v>61.210333300000002</v>
      </c>
      <c r="W27" s="12">
        <v>15.0333016</v>
      </c>
      <c r="X27" s="7" t="s">
        <v>107</v>
      </c>
      <c r="Y27" s="7" t="s">
        <v>107</v>
      </c>
      <c r="Z27" s="12">
        <v>1.791849</v>
      </c>
      <c r="AA27" s="12">
        <v>82.755863000000005</v>
      </c>
      <c r="AB27" s="12">
        <v>17.646855800000001</v>
      </c>
      <c r="AC27" s="12">
        <v>12.9531712</v>
      </c>
      <c r="AD27" s="12">
        <v>30.364007399999998</v>
      </c>
      <c r="AE27" s="12">
        <v>43.719747300000002</v>
      </c>
      <c r="AF27" s="12">
        <v>75.576739799999999</v>
      </c>
      <c r="AG27" s="7" t="s">
        <v>107</v>
      </c>
    </row>
    <row r="28" spans="1:33" s="11" customFormat="1" outlineLevel="1" x14ac:dyDescent="0.3">
      <c r="A28" s="11" t="s">
        <v>34</v>
      </c>
      <c r="B28" s="12">
        <v>1.3127310999999999</v>
      </c>
      <c r="C28" s="12">
        <v>79.913333300000005</v>
      </c>
      <c r="D28" s="12">
        <v>1.9259385</v>
      </c>
      <c r="E28" s="17">
        <v>2</v>
      </c>
      <c r="F28" s="13">
        <v>29.39</v>
      </c>
      <c r="G28" s="7" t="s">
        <v>107</v>
      </c>
      <c r="H28" s="7" t="s">
        <v>107</v>
      </c>
      <c r="I28" s="7" t="s">
        <v>107</v>
      </c>
      <c r="J28" s="12">
        <v>7.4040166000000003</v>
      </c>
      <c r="K28" s="12">
        <v>16.205573900000001</v>
      </c>
      <c r="L28" s="12">
        <v>-14.9247646</v>
      </c>
      <c r="M28" s="12">
        <v>-25.324574900000002</v>
      </c>
      <c r="N28" s="12">
        <v>0.56075399999999997</v>
      </c>
      <c r="O28" s="12">
        <v>-8.8932415000000002</v>
      </c>
      <c r="P28" s="7" t="s">
        <v>107</v>
      </c>
      <c r="Q28" s="7" t="s">
        <v>107</v>
      </c>
      <c r="R28" s="7" t="s">
        <v>107</v>
      </c>
      <c r="S28" s="12">
        <v>3.0178381999999999</v>
      </c>
      <c r="T28" s="12">
        <v>6.15</v>
      </c>
      <c r="U28" s="7" t="s">
        <v>107</v>
      </c>
      <c r="V28" s="12">
        <v>61.252800000000001</v>
      </c>
      <c r="W28" s="12">
        <v>-1.1830201</v>
      </c>
      <c r="X28" s="7" t="s">
        <v>107</v>
      </c>
      <c r="Y28" s="7" t="s">
        <v>107</v>
      </c>
      <c r="Z28" s="12">
        <v>-3.7471635000000001</v>
      </c>
      <c r="AA28" s="12">
        <v>77.604775799999999</v>
      </c>
      <c r="AB28" s="12">
        <v>18.301726500000001</v>
      </c>
      <c r="AC28" s="12">
        <v>19.6033449</v>
      </c>
      <c r="AD28" s="12">
        <v>27.468594899999999</v>
      </c>
      <c r="AE28" s="12">
        <v>42.978442200000003</v>
      </c>
      <c r="AF28" s="12">
        <v>76.002037999999999</v>
      </c>
      <c r="AG28" s="7" t="s">
        <v>107</v>
      </c>
    </row>
    <row r="29" spans="1:33" s="11" customFormat="1" outlineLevel="1" x14ac:dyDescent="0.3">
      <c r="A29" s="11" t="s">
        <v>35</v>
      </c>
      <c r="B29" s="12">
        <v>2.4350660999999998</v>
      </c>
      <c r="C29" s="12">
        <v>80.113333299999994</v>
      </c>
      <c r="D29" s="12">
        <v>1.5936086</v>
      </c>
      <c r="E29" s="17">
        <v>2</v>
      </c>
      <c r="F29" s="13">
        <v>31.923333299999999</v>
      </c>
      <c r="G29" s="7" t="s">
        <v>107</v>
      </c>
      <c r="H29" s="7" t="s">
        <v>107</v>
      </c>
      <c r="I29" s="12">
        <v>1.0802311</v>
      </c>
      <c r="J29" s="12">
        <v>0.4452275</v>
      </c>
      <c r="K29" s="12">
        <v>6.8203576999999997</v>
      </c>
      <c r="L29" s="12">
        <v>6.1028494999999996</v>
      </c>
      <c r="M29" s="12">
        <v>-35.147118499999998</v>
      </c>
      <c r="N29" s="12">
        <v>11.9537215</v>
      </c>
      <c r="O29" s="12">
        <v>1.5359095</v>
      </c>
      <c r="P29" s="7">
        <v>519.59400000000005</v>
      </c>
      <c r="Q29" s="7">
        <v>307.09500000000003</v>
      </c>
      <c r="R29" s="7">
        <v>37.15</v>
      </c>
      <c r="S29" s="12">
        <v>4.0808486000000004</v>
      </c>
      <c r="T29" s="12">
        <v>8</v>
      </c>
      <c r="U29" s="7" t="s">
        <v>107</v>
      </c>
      <c r="V29" s="12">
        <v>61.287233299999997</v>
      </c>
      <c r="W29" s="12">
        <v>-0.61291839999999997</v>
      </c>
      <c r="X29" s="7" t="s">
        <v>107</v>
      </c>
      <c r="Y29" s="7" t="s">
        <v>107</v>
      </c>
      <c r="Z29" s="12">
        <v>-8.8059919000000004</v>
      </c>
      <c r="AA29" s="12">
        <v>87.907027400000004</v>
      </c>
      <c r="AB29" s="12">
        <v>19.675732499999999</v>
      </c>
      <c r="AC29" s="12">
        <v>12.257319600000001</v>
      </c>
      <c r="AD29" s="12">
        <v>29.394343800000001</v>
      </c>
      <c r="AE29" s="12">
        <v>49.234423399999997</v>
      </c>
      <c r="AF29" s="12">
        <v>63.884850200000002</v>
      </c>
      <c r="AG29" s="7" t="s">
        <v>107</v>
      </c>
    </row>
    <row r="30" spans="1:33" s="11" customFormat="1" outlineLevel="1" x14ac:dyDescent="0.3">
      <c r="A30" s="11" t="s">
        <v>36</v>
      </c>
      <c r="B30" s="12">
        <v>2.9592486</v>
      </c>
      <c r="C30" s="12">
        <v>81.069999999999993</v>
      </c>
      <c r="D30" s="12">
        <v>2.1418672000000001</v>
      </c>
      <c r="E30" s="17">
        <v>2</v>
      </c>
      <c r="F30" s="13">
        <v>35.446666700000002</v>
      </c>
      <c r="G30" s="7" t="s">
        <v>107</v>
      </c>
      <c r="H30" s="7" t="s">
        <v>107</v>
      </c>
      <c r="I30" s="12">
        <v>-0.95787610000000001</v>
      </c>
      <c r="J30" s="12">
        <v>3.5732862999999999</v>
      </c>
      <c r="K30" s="12">
        <v>12.8483149</v>
      </c>
      <c r="L30" s="12">
        <v>-0.39386280000000001</v>
      </c>
      <c r="M30" s="12">
        <v>21.786253299999998</v>
      </c>
      <c r="N30" s="12">
        <v>-3.5767528999999998</v>
      </c>
      <c r="O30" s="12">
        <v>20.653421699999999</v>
      </c>
      <c r="P30" s="7">
        <v>541.30799999999999</v>
      </c>
      <c r="Q30" s="7">
        <v>301.50799999999998</v>
      </c>
      <c r="R30" s="7">
        <v>35.770000000000003</v>
      </c>
      <c r="S30" s="12">
        <v>4.6806311000000003</v>
      </c>
      <c r="T30" s="12">
        <v>8</v>
      </c>
      <c r="U30" s="7" t="s">
        <v>107</v>
      </c>
      <c r="V30" s="12">
        <v>61.291066700000002</v>
      </c>
      <c r="W30" s="12">
        <v>-0.61135360000000005</v>
      </c>
      <c r="X30" s="7" t="s">
        <v>107</v>
      </c>
      <c r="Y30" s="7" t="s">
        <v>107</v>
      </c>
      <c r="Z30" s="12">
        <v>-13.642955199999999</v>
      </c>
      <c r="AA30" s="12">
        <v>83.6579385</v>
      </c>
      <c r="AB30" s="12">
        <v>18.989214100000002</v>
      </c>
      <c r="AC30" s="12">
        <v>21.7146285</v>
      </c>
      <c r="AD30" s="12">
        <v>27.837028100000001</v>
      </c>
      <c r="AE30" s="12">
        <v>52.198658100000003</v>
      </c>
      <c r="AF30" s="12">
        <v>64.070415400000002</v>
      </c>
      <c r="AG30" s="7" t="s">
        <v>107</v>
      </c>
    </row>
    <row r="31" spans="1:33" s="11" customFormat="1" outlineLevel="1" x14ac:dyDescent="0.3">
      <c r="A31" s="11" t="s">
        <v>37</v>
      </c>
      <c r="B31" s="12">
        <v>2.4141233999999998</v>
      </c>
      <c r="C31" s="12">
        <v>81.156666700000002</v>
      </c>
      <c r="D31" s="12">
        <v>2.1223942</v>
      </c>
      <c r="E31" s="17">
        <v>2</v>
      </c>
      <c r="F31" s="13">
        <v>41.386666699999999</v>
      </c>
      <c r="G31" s="7" t="s">
        <v>107</v>
      </c>
      <c r="H31" s="7" t="s">
        <v>107</v>
      </c>
      <c r="I31" s="12">
        <v>0.67722970000000005</v>
      </c>
      <c r="J31" s="12">
        <v>6.6848288</v>
      </c>
      <c r="K31" s="12">
        <v>8.6516984000000008</v>
      </c>
      <c r="L31" s="12">
        <v>-2.9924335000000002</v>
      </c>
      <c r="M31" s="12">
        <v>19.1784854</v>
      </c>
      <c r="N31" s="12">
        <v>28.905023199999999</v>
      </c>
      <c r="O31" s="12">
        <v>28.7685703</v>
      </c>
      <c r="P31" s="7">
        <v>532.21</v>
      </c>
      <c r="Q31" s="7">
        <v>322.41000000000003</v>
      </c>
      <c r="R31" s="7">
        <v>37.729999999999997</v>
      </c>
      <c r="S31" s="12">
        <v>3.5711404</v>
      </c>
      <c r="T31" s="12">
        <v>8.5500000000000007</v>
      </c>
      <c r="U31" s="7" t="s">
        <v>107</v>
      </c>
      <c r="V31" s="12">
        <v>61.311799999999998</v>
      </c>
      <c r="W31" s="12">
        <v>-4.1356499999999997E-2</v>
      </c>
      <c r="X31" s="7" t="s">
        <v>107</v>
      </c>
      <c r="Y31" s="7" t="s">
        <v>107</v>
      </c>
      <c r="Z31" s="12">
        <v>-0.42225940000000001</v>
      </c>
      <c r="AA31" s="12">
        <v>82.469076299999998</v>
      </c>
      <c r="AB31" s="12">
        <v>16.603463300000001</v>
      </c>
      <c r="AC31" s="12">
        <v>15.868267299999999</v>
      </c>
      <c r="AD31" s="12">
        <v>36.054448100000002</v>
      </c>
      <c r="AE31" s="12">
        <v>50.995255100000001</v>
      </c>
      <c r="AF31" s="12">
        <v>60.527744599999998</v>
      </c>
      <c r="AG31" s="7" t="s">
        <v>107</v>
      </c>
    </row>
    <row r="32" spans="1:33" s="11" customFormat="1" outlineLevel="1" x14ac:dyDescent="0.3">
      <c r="A32" s="11" t="s">
        <v>38</v>
      </c>
      <c r="B32" s="12">
        <v>2.308249</v>
      </c>
      <c r="C32" s="12">
        <v>81.663333300000005</v>
      </c>
      <c r="D32" s="12">
        <v>2.1898724000000001</v>
      </c>
      <c r="E32" s="17">
        <v>2</v>
      </c>
      <c r="F32" s="13">
        <v>44.163333299999998</v>
      </c>
      <c r="G32" s="7" t="s">
        <v>107</v>
      </c>
      <c r="H32" s="7" t="s">
        <v>107</v>
      </c>
      <c r="I32" s="12">
        <v>-0.57491910000000002</v>
      </c>
      <c r="J32" s="12">
        <v>7.2417862</v>
      </c>
      <c r="K32" s="12">
        <v>2.6960457</v>
      </c>
      <c r="L32" s="12">
        <v>-4.8237183999999997</v>
      </c>
      <c r="M32" s="12">
        <v>79.863536199999999</v>
      </c>
      <c r="N32" s="12">
        <v>31.836322299999999</v>
      </c>
      <c r="O32" s="12">
        <v>35.944544800000003</v>
      </c>
      <c r="P32" s="7">
        <v>498.86700000000002</v>
      </c>
      <c r="Q32" s="7">
        <v>306.13099999999997</v>
      </c>
      <c r="R32" s="7">
        <v>38.03</v>
      </c>
      <c r="S32" s="12">
        <v>4.2114799999999999</v>
      </c>
      <c r="T32" s="12">
        <v>10</v>
      </c>
      <c r="U32" s="7" t="s">
        <v>107</v>
      </c>
      <c r="V32" s="12">
        <v>61.460133300000003</v>
      </c>
      <c r="W32" s="12">
        <v>-6.4788733000000001</v>
      </c>
      <c r="X32" s="7" t="s">
        <v>107</v>
      </c>
      <c r="Y32" s="7" t="s">
        <v>107</v>
      </c>
      <c r="Z32" s="12">
        <v>-8.9385615999999999</v>
      </c>
      <c r="AA32" s="12">
        <v>72.781553299999999</v>
      </c>
      <c r="AB32" s="12">
        <v>15.1943404</v>
      </c>
      <c r="AC32" s="12">
        <v>31.1050182</v>
      </c>
      <c r="AD32" s="12">
        <v>29.4740261</v>
      </c>
      <c r="AE32" s="12">
        <v>48.5548194</v>
      </c>
      <c r="AF32" s="12">
        <v>59.027308699999999</v>
      </c>
      <c r="AG32" s="7" t="s">
        <v>107</v>
      </c>
    </row>
    <row r="33" spans="1:33" s="11" customFormat="1" outlineLevel="1" x14ac:dyDescent="0.3">
      <c r="A33" s="11" t="s">
        <v>39</v>
      </c>
      <c r="B33" s="12">
        <v>1.1277817999999999</v>
      </c>
      <c r="C33" s="12">
        <v>81.773333300000004</v>
      </c>
      <c r="D33" s="12">
        <v>2.0720646</v>
      </c>
      <c r="E33" s="17">
        <v>2</v>
      </c>
      <c r="F33" s="13">
        <v>47.696666700000002</v>
      </c>
      <c r="G33" s="12">
        <v>10.7613719</v>
      </c>
      <c r="H33" s="12">
        <v>2.4140695000000001</v>
      </c>
      <c r="I33" s="12">
        <v>-1.6398223000000001</v>
      </c>
      <c r="J33" s="12">
        <v>9.4295305000000003</v>
      </c>
      <c r="K33" s="12">
        <v>2.9283960000000002</v>
      </c>
      <c r="L33" s="12">
        <v>1.0970827000000001</v>
      </c>
      <c r="M33" s="12">
        <v>7.2562424999999999</v>
      </c>
      <c r="N33" s="12">
        <v>19.303266399999998</v>
      </c>
      <c r="O33" s="12">
        <v>-2.9766593000000001</v>
      </c>
      <c r="P33" s="7">
        <v>507.39699999999999</v>
      </c>
      <c r="Q33" s="7">
        <v>320.02999999999997</v>
      </c>
      <c r="R33" s="7">
        <v>38.68</v>
      </c>
      <c r="S33" s="12">
        <v>3.1150604999999998</v>
      </c>
      <c r="T33" s="12">
        <v>10</v>
      </c>
      <c r="U33" s="12">
        <v>79.070792100000006</v>
      </c>
      <c r="V33" s="12">
        <v>61.401766700000003</v>
      </c>
      <c r="W33" s="12">
        <v>4.0322579999999997</v>
      </c>
      <c r="X33" s="7" t="s">
        <v>107</v>
      </c>
      <c r="Y33" s="7" t="s">
        <v>107</v>
      </c>
      <c r="Z33" s="12">
        <v>-2.7029814999999999</v>
      </c>
      <c r="AA33" s="12">
        <v>82.226270400000004</v>
      </c>
      <c r="AB33" s="12">
        <v>19.221350900000001</v>
      </c>
      <c r="AC33" s="12">
        <v>10.935701999999999</v>
      </c>
      <c r="AD33" s="12">
        <v>36.919673799999998</v>
      </c>
      <c r="AE33" s="12">
        <v>49.302997099999999</v>
      </c>
      <c r="AF33" s="12">
        <v>58.632008499999998</v>
      </c>
      <c r="AG33" s="7" t="s">
        <v>107</v>
      </c>
    </row>
    <row r="34" spans="1:33" s="11" customFormat="1" outlineLevel="1" x14ac:dyDescent="0.3">
      <c r="A34" s="11" t="s">
        <v>40</v>
      </c>
      <c r="B34" s="12">
        <v>2.2042253999999999</v>
      </c>
      <c r="C34" s="12">
        <v>82.71</v>
      </c>
      <c r="D34" s="12">
        <v>2.0229431</v>
      </c>
      <c r="E34" s="17">
        <v>2</v>
      </c>
      <c r="F34" s="13">
        <v>51.626666700000001</v>
      </c>
      <c r="G34" s="12">
        <v>7.1396518000000002</v>
      </c>
      <c r="H34" s="12">
        <v>13.704388</v>
      </c>
      <c r="I34" s="12">
        <v>0.96708269999999996</v>
      </c>
      <c r="J34" s="12">
        <v>10.6662391</v>
      </c>
      <c r="K34" s="12">
        <v>5.8532035000000002</v>
      </c>
      <c r="L34" s="12">
        <v>-3.7009615</v>
      </c>
      <c r="M34" s="12">
        <v>36.258037399999999</v>
      </c>
      <c r="N34" s="12">
        <v>38.048002500000003</v>
      </c>
      <c r="O34" s="12">
        <v>20.517804999999999</v>
      </c>
      <c r="P34" s="7">
        <v>552.79700000000003</v>
      </c>
      <c r="Q34" s="7">
        <v>330.72399999999999</v>
      </c>
      <c r="R34" s="7">
        <v>37.43</v>
      </c>
      <c r="S34" s="12">
        <v>1.3181258</v>
      </c>
      <c r="T34" s="12">
        <v>10</v>
      </c>
      <c r="U34" s="12">
        <v>79.338190100000006</v>
      </c>
      <c r="V34" s="12">
        <v>61.3725667</v>
      </c>
      <c r="W34" s="12">
        <v>16.695957700000001</v>
      </c>
      <c r="X34" s="7" t="s">
        <v>107</v>
      </c>
      <c r="Y34" s="7" t="s">
        <v>107</v>
      </c>
      <c r="Z34" s="12">
        <v>-8.5988913</v>
      </c>
      <c r="AA34" s="12">
        <v>77.448205000000002</v>
      </c>
      <c r="AB34" s="12">
        <v>15.7994203</v>
      </c>
      <c r="AC34" s="12">
        <v>28.5847227</v>
      </c>
      <c r="AD34" s="12">
        <v>33.538740699999998</v>
      </c>
      <c r="AE34" s="12">
        <v>55.371088700000001</v>
      </c>
      <c r="AF34" s="12">
        <v>55.229641100000002</v>
      </c>
      <c r="AG34" s="7" t="s">
        <v>107</v>
      </c>
    </row>
    <row r="35" spans="1:33" s="11" customFormat="1" outlineLevel="1" x14ac:dyDescent="0.3">
      <c r="A35" s="11" t="s">
        <v>41</v>
      </c>
      <c r="B35" s="12">
        <v>2.0830310000000001</v>
      </c>
      <c r="C35" s="12">
        <v>83.016666700000002</v>
      </c>
      <c r="D35" s="12">
        <v>2.2918634999999998</v>
      </c>
      <c r="E35" s="17">
        <v>2</v>
      </c>
      <c r="F35" s="13">
        <v>61.47</v>
      </c>
      <c r="G35" s="12">
        <v>15.633856</v>
      </c>
      <c r="H35" s="12">
        <v>28.996488599999999</v>
      </c>
      <c r="I35" s="12">
        <v>4.3789261000000002</v>
      </c>
      <c r="J35" s="12">
        <v>2.1734024000000001</v>
      </c>
      <c r="K35" s="12">
        <v>10.6640152</v>
      </c>
      <c r="L35" s="12">
        <v>2.1873733999999998</v>
      </c>
      <c r="M35" s="12">
        <v>-39.611516399999999</v>
      </c>
      <c r="N35" s="12">
        <v>17.432163500000001</v>
      </c>
      <c r="O35" s="12">
        <v>8.4928182999999997</v>
      </c>
      <c r="P35" s="7">
        <v>564.88</v>
      </c>
      <c r="Q35" s="7">
        <v>324.84500000000003</v>
      </c>
      <c r="R35" s="7">
        <v>36.51</v>
      </c>
      <c r="S35" s="12">
        <v>2.3887513</v>
      </c>
      <c r="T35" s="12">
        <v>10</v>
      </c>
      <c r="U35" s="12">
        <v>78.721351600000006</v>
      </c>
      <c r="V35" s="12">
        <v>61.219633299999998</v>
      </c>
      <c r="W35" s="12">
        <v>6.1646669000000003</v>
      </c>
      <c r="X35" s="7" t="s">
        <v>107</v>
      </c>
      <c r="Y35" s="7" t="s">
        <v>107</v>
      </c>
      <c r="Z35" s="12">
        <v>4.2207584000000002</v>
      </c>
      <c r="AA35" s="12">
        <v>84.204151199999998</v>
      </c>
      <c r="AB35" s="12">
        <v>15.2649773</v>
      </c>
      <c r="AC35" s="12">
        <v>12.5283395</v>
      </c>
      <c r="AD35" s="12">
        <v>37.706527899999998</v>
      </c>
      <c r="AE35" s="12">
        <v>49.704123199999998</v>
      </c>
      <c r="AF35" s="12">
        <v>47.1149293</v>
      </c>
      <c r="AG35" s="7" t="s">
        <v>107</v>
      </c>
    </row>
    <row r="36" spans="1:33" s="11" customFormat="1" outlineLevel="1" x14ac:dyDescent="0.3">
      <c r="A36" s="11" t="s">
        <v>42</v>
      </c>
      <c r="B36" s="12">
        <v>2.0666498999999998</v>
      </c>
      <c r="C36" s="12">
        <v>83.51</v>
      </c>
      <c r="D36" s="12">
        <v>2.2613167999999999</v>
      </c>
      <c r="E36" s="17">
        <v>2.0833333000000001</v>
      </c>
      <c r="F36" s="13">
        <v>56.88</v>
      </c>
      <c r="G36" s="12">
        <v>20.436294400000001</v>
      </c>
      <c r="H36" s="12">
        <v>12.444557100000001</v>
      </c>
      <c r="I36" s="12">
        <v>-2.7688997999999998</v>
      </c>
      <c r="J36" s="12">
        <v>-1.4350467</v>
      </c>
      <c r="K36" s="12">
        <v>8.5331101999999994</v>
      </c>
      <c r="L36" s="12">
        <v>5.0612297000000002</v>
      </c>
      <c r="M36" s="12">
        <v>-32.852797299999999</v>
      </c>
      <c r="N36" s="12">
        <v>1.5257677999999999</v>
      </c>
      <c r="O36" s="12">
        <v>10.7096155</v>
      </c>
      <c r="P36" s="7">
        <v>555.93799999999999</v>
      </c>
      <c r="Q36" s="7">
        <v>320.13600000000002</v>
      </c>
      <c r="R36" s="7">
        <v>36.54</v>
      </c>
      <c r="S36" s="12">
        <v>3.8106673</v>
      </c>
      <c r="T36" s="12">
        <v>8.52</v>
      </c>
      <c r="U36" s="12">
        <v>79.389846500000004</v>
      </c>
      <c r="V36" s="12">
        <v>61.1905</v>
      </c>
      <c r="W36" s="12">
        <v>1.9578314000000001</v>
      </c>
      <c r="X36" s="7" t="s">
        <v>107</v>
      </c>
      <c r="Y36" s="7" t="s">
        <v>107</v>
      </c>
      <c r="Z36" s="12">
        <v>-2.8062759000000002</v>
      </c>
      <c r="AA36" s="12">
        <v>77.583318599999998</v>
      </c>
      <c r="AB36" s="12">
        <v>15.1577132</v>
      </c>
      <c r="AC36" s="12">
        <v>25.126758800000001</v>
      </c>
      <c r="AD36" s="12">
        <v>31.844471899999998</v>
      </c>
      <c r="AE36" s="12">
        <v>49.712374400000002</v>
      </c>
      <c r="AF36" s="12">
        <v>40.321601899999997</v>
      </c>
      <c r="AG36" s="7" t="s">
        <v>107</v>
      </c>
    </row>
    <row r="37" spans="1:33" s="11" customFormat="1" outlineLevel="1" x14ac:dyDescent="0.3">
      <c r="A37" s="11" t="s">
        <v>43</v>
      </c>
      <c r="B37" s="12">
        <v>3.8191847000000001</v>
      </c>
      <c r="C37" s="12">
        <v>83.573333300000002</v>
      </c>
      <c r="D37" s="12">
        <v>2.2012065999999999</v>
      </c>
      <c r="E37" s="17">
        <v>2.3333333000000001</v>
      </c>
      <c r="F37" s="13">
        <v>61.753333300000001</v>
      </c>
      <c r="G37" s="12">
        <v>1.3264813</v>
      </c>
      <c r="H37" s="12">
        <v>6.2059758</v>
      </c>
      <c r="I37" s="12">
        <v>0</v>
      </c>
      <c r="J37" s="12">
        <v>9.0129344000000007</v>
      </c>
      <c r="K37" s="12">
        <v>14.3518355</v>
      </c>
      <c r="L37" s="12">
        <v>2.9379992000000001</v>
      </c>
      <c r="M37" s="12">
        <v>24.718168299999999</v>
      </c>
      <c r="N37" s="12">
        <v>11.3207416</v>
      </c>
      <c r="O37" s="12">
        <v>22.275303900000001</v>
      </c>
      <c r="P37" s="7">
        <v>559.70000000000005</v>
      </c>
      <c r="Q37" s="7">
        <v>318.10000000000002</v>
      </c>
      <c r="R37" s="7">
        <v>36.299999999999997</v>
      </c>
      <c r="S37" s="12">
        <v>7.6032690000000001</v>
      </c>
      <c r="T37" s="12">
        <v>6.78</v>
      </c>
      <c r="U37" s="12">
        <v>81.2251689</v>
      </c>
      <c r="V37" s="12">
        <v>61.232933299999999</v>
      </c>
      <c r="W37" s="12">
        <v>3.0551754999999998</v>
      </c>
      <c r="X37" s="7" t="s">
        <v>107</v>
      </c>
      <c r="Y37" s="7" t="s">
        <v>107</v>
      </c>
      <c r="Z37" s="12">
        <v>-3.5205103000000002</v>
      </c>
      <c r="AA37" s="12">
        <v>86.247744499999996</v>
      </c>
      <c r="AB37" s="12">
        <v>18.2477445</v>
      </c>
      <c r="AC37" s="12">
        <v>13.6343865</v>
      </c>
      <c r="AD37" s="12">
        <v>33.965215600000001</v>
      </c>
      <c r="AE37" s="12">
        <v>52.095228300000002</v>
      </c>
      <c r="AF37" s="12">
        <v>37.699233800000002</v>
      </c>
      <c r="AG37" s="7" t="s">
        <v>107</v>
      </c>
    </row>
    <row r="38" spans="1:33" s="11" customFormat="1" outlineLevel="1" x14ac:dyDescent="0.3">
      <c r="A38" s="11" t="s">
        <v>44</v>
      </c>
      <c r="B38" s="12">
        <v>2.9723983</v>
      </c>
      <c r="C38" s="12">
        <v>84.693333300000006</v>
      </c>
      <c r="D38" s="12">
        <v>2.3979365000000001</v>
      </c>
      <c r="E38" s="17">
        <v>2.5833333000000001</v>
      </c>
      <c r="F38" s="13">
        <v>69.533333299999995</v>
      </c>
      <c r="G38" s="12">
        <v>10.0104712</v>
      </c>
      <c r="H38" s="12">
        <v>6.6986229000000002</v>
      </c>
      <c r="I38" s="12">
        <v>1.1743999999999999E-3</v>
      </c>
      <c r="J38" s="12">
        <v>3.7592957999999999</v>
      </c>
      <c r="K38" s="12">
        <v>5.6001276000000004</v>
      </c>
      <c r="L38" s="12">
        <v>11.234859500000001</v>
      </c>
      <c r="M38" s="12">
        <v>-20.1167981</v>
      </c>
      <c r="N38" s="12">
        <v>6.8804838000000004</v>
      </c>
      <c r="O38" s="12">
        <v>0.68636750000000002</v>
      </c>
      <c r="P38" s="7">
        <v>566.29999999999995</v>
      </c>
      <c r="Q38" s="7">
        <v>319.3</v>
      </c>
      <c r="R38" s="7">
        <v>36.1</v>
      </c>
      <c r="S38" s="12">
        <v>8.5763455999999998</v>
      </c>
      <c r="T38" s="12">
        <v>5.77</v>
      </c>
      <c r="U38" s="12">
        <v>82.051671600000006</v>
      </c>
      <c r="V38" s="12">
        <v>61.166033300000002</v>
      </c>
      <c r="W38" s="12">
        <v>4.1792169000000001</v>
      </c>
      <c r="X38" s="7" t="s">
        <v>107</v>
      </c>
      <c r="Y38" s="7" t="s">
        <v>107</v>
      </c>
      <c r="Z38" s="12">
        <v>-4.1283165000000004</v>
      </c>
      <c r="AA38" s="12">
        <v>76.2876282</v>
      </c>
      <c r="AB38" s="12">
        <v>16.883855100000002</v>
      </c>
      <c r="AC38" s="12">
        <v>27.427867500000001</v>
      </c>
      <c r="AD38" s="12">
        <v>34.874243700000001</v>
      </c>
      <c r="AE38" s="12">
        <v>55.474064200000001</v>
      </c>
      <c r="AF38" s="12">
        <v>35.395325700000001</v>
      </c>
      <c r="AG38" s="7" t="s">
        <v>107</v>
      </c>
    </row>
    <row r="39" spans="1:33" s="11" customFormat="1" outlineLevel="1" x14ac:dyDescent="0.3">
      <c r="A39" s="11" t="s">
        <v>45</v>
      </c>
      <c r="B39" s="12">
        <v>3.3099788999999999</v>
      </c>
      <c r="C39" s="12">
        <v>84.873333299999999</v>
      </c>
      <c r="D39" s="12">
        <v>2.2364986</v>
      </c>
      <c r="E39" s="17">
        <v>2.9166666999999999</v>
      </c>
      <c r="F39" s="13">
        <v>69.62</v>
      </c>
      <c r="G39" s="12">
        <v>2.4630340999999998</v>
      </c>
      <c r="H39" s="12">
        <v>-5.7808023000000004</v>
      </c>
      <c r="I39" s="12">
        <v>1.4339317</v>
      </c>
      <c r="J39" s="12">
        <v>6.0391225000000004</v>
      </c>
      <c r="K39" s="12">
        <v>-1.4479455999999999</v>
      </c>
      <c r="L39" s="12">
        <v>3.6964288000000001</v>
      </c>
      <c r="M39" s="12">
        <v>68.701953799999998</v>
      </c>
      <c r="N39" s="12">
        <v>13.9595863</v>
      </c>
      <c r="O39" s="12">
        <v>12.864386100000001</v>
      </c>
      <c r="P39" s="7">
        <v>577.1</v>
      </c>
      <c r="Q39" s="7">
        <v>322.89999999999998</v>
      </c>
      <c r="R39" s="7">
        <v>35.9</v>
      </c>
      <c r="S39" s="12">
        <v>8.6782146999999998</v>
      </c>
      <c r="T39" s="12">
        <v>5.36</v>
      </c>
      <c r="U39" s="12">
        <v>81.556377600000005</v>
      </c>
      <c r="V39" s="12">
        <v>61.169699999999999</v>
      </c>
      <c r="W39" s="12">
        <v>10.522213600000001</v>
      </c>
      <c r="X39" s="7" t="s">
        <v>107</v>
      </c>
      <c r="Y39" s="7" t="s">
        <v>107</v>
      </c>
      <c r="Z39" s="12">
        <v>7.1743771000000001</v>
      </c>
      <c r="AA39" s="12">
        <v>79.026429699999994</v>
      </c>
      <c r="AB39" s="12">
        <v>15.2913958</v>
      </c>
      <c r="AC39" s="12">
        <v>17.588505099999999</v>
      </c>
      <c r="AD39" s="12">
        <v>44.227456099999998</v>
      </c>
      <c r="AE39" s="12">
        <v>56.1336692</v>
      </c>
      <c r="AF39" s="12">
        <v>34.904358999999999</v>
      </c>
      <c r="AG39" s="7" t="s">
        <v>107</v>
      </c>
    </row>
    <row r="40" spans="1:33" s="11" customFormat="1" outlineLevel="1" x14ac:dyDescent="0.3">
      <c r="A40" s="11" t="s">
        <v>46</v>
      </c>
      <c r="B40" s="12">
        <v>3.7478780999999999</v>
      </c>
      <c r="C40" s="12">
        <v>85.166666699999993</v>
      </c>
      <c r="D40" s="12">
        <v>1.9837944000000001</v>
      </c>
      <c r="E40" s="17">
        <v>3.3333333000000001</v>
      </c>
      <c r="F40" s="13">
        <v>59.68</v>
      </c>
      <c r="G40" s="12">
        <v>7.6645472000000003</v>
      </c>
      <c r="H40" s="12">
        <v>6.7019798000000002</v>
      </c>
      <c r="I40" s="12">
        <v>-3.1877499999999999</v>
      </c>
      <c r="J40" s="12">
        <v>2.3328448000000002</v>
      </c>
      <c r="K40" s="12">
        <v>-1.1986962000000001</v>
      </c>
      <c r="L40" s="12">
        <v>3.1811831000000002</v>
      </c>
      <c r="M40" s="12">
        <v>14.0310679</v>
      </c>
      <c r="N40" s="12">
        <v>16.299379999999999</v>
      </c>
      <c r="O40" s="12">
        <v>6.1380884</v>
      </c>
      <c r="P40" s="7">
        <v>578.79999999999995</v>
      </c>
      <c r="Q40" s="7">
        <v>324.7</v>
      </c>
      <c r="R40" s="7">
        <v>36</v>
      </c>
      <c r="S40" s="12">
        <v>7.0691544000000004</v>
      </c>
      <c r="T40" s="12">
        <v>5.74</v>
      </c>
      <c r="U40" s="12">
        <v>81.863277600000004</v>
      </c>
      <c r="V40" s="12">
        <v>61.185600000000001</v>
      </c>
      <c r="W40" s="12">
        <v>5.3914327000000002</v>
      </c>
      <c r="X40" s="7" t="s">
        <v>107</v>
      </c>
      <c r="Y40" s="7" t="s">
        <v>107</v>
      </c>
      <c r="Z40" s="12">
        <v>-1.5939973000000001</v>
      </c>
      <c r="AA40" s="12">
        <v>75.914159900000001</v>
      </c>
      <c r="AB40" s="12">
        <v>15.9162763</v>
      </c>
      <c r="AC40" s="12">
        <v>25.544764900000001</v>
      </c>
      <c r="AD40" s="12">
        <v>37.564938699999999</v>
      </c>
      <c r="AE40" s="12">
        <v>54.939921499999997</v>
      </c>
      <c r="AF40" s="12">
        <v>41.444324299999998</v>
      </c>
      <c r="AG40" s="7" t="s">
        <v>107</v>
      </c>
    </row>
    <row r="41" spans="1:33" s="11" customFormat="1" outlineLevel="1" x14ac:dyDescent="0.3">
      <c r="A41" s="11" t="s">
        <v>47</v>
      </c>
      <c r="B41" s="12">
        <v>3.5234725999999998</v>
      </c>
      <c r="C41" s="12">
        <v>85.39</v>
      </c>
      <c r="D41" s="12">
        <v>2.1737397000000001</v>
      </c>
      <c r="E41" s="17">
        <v>3.5833333000000001</v>
      </c>
      <c r="F41" s="13">
        <v>57.763333299999999</v>
      </c>
      <c r="G41" s="12">
        <v>4.6599332000000002</v>
      </c>
      <c r="H41" s="12">
        <v>14.630023</v>
      </c>
      <c r="I41" s="12">
        <v>2.8596295</v>
      </c>
      <c r="J41" s="12">
        <v>0.4854598</v>
      </c>
      <c r="K41" s="12">
        <v>4.4029042</v>
      </c>
      <c r="L41" s="12">
        <v>5.7114690000000001</v>
      </c>
      <c r="M41" s="12">
        <v>1.4678051000000001</v>
      </c>
      <c r="N41" s="12">
        <v>27.318048000000001</v>
      </c>
      <c r="O41" s="12">
        <v>29.5699781</v>
      </c>
      <c r="P41" s="7">
        <v>579.29999999999995</v>
      </c>
      <c r="Q41" s="7">
        <v>323.3</v>
      </c>
      <c r="R41" s="7">
        <v>35.799999999999997</v>
      </c>
      <c r="S41" s="12">
        <v>2.5769845</v>
      </c>
      <c r="T41" s="12">
        <v>5.3</v>
      </c>
      <c r="U41" s="12">
        <v>82.097250799999998</v>
      </c>
      <c r="V41" s="12">
        <v>61.181199999999997</v>
      </c>
      <c r="W41" s="12">
        <v>11.0176991</v>
      </c>
      <c r="X41" s="7" t="s">
        <v>107</v>
      </c>
      <c r="Y41" s="7" t="s">
        <v>107</v>
      </c>
      <c r="Z41" s="12">
        <v>-1.4856008999999999</v>
      </c>
      <c r="AA41" s="12">
        <v>81.652244199999998</v>
      </c>
      <c r="AB41" s="12">
        <v>18.4490862</v>
      </c>
      <c r="AC41" s="12">
        <v>15.1480791</v>
      </c>
      <c r="AD41" s="12">
        <v>45.508143699999998</v>
      </c>
      <c r="AE41" s="12">
        <v>60.757304499999996</v>
      </c>
      <c r="AF41" s="12">
        <v>44.651125</v>
      </c>
      <c r="AG41" s="7" t="s">
        <v>107</v>
      </c>
    </row>
    <row r="42" spans="1:33" s="11" customFormat="1" outlineLevel="1" x14ac:dyDescent="0.3">
      <c r="A42" s="11" t="s">
        <v>48</v>
      </c>
      <c r="B42" s="12">
        <v>3.1678283999999999</v>
      </c>
      <c r="C42" s="12">
        <v>86.5</v>
      </c>
      <c r="D42" s="12">
        <v>2.1331864</v>
      </c>
      <c r="E42" s="17">
        <v>3.8333333000000001</v>
      </c>
      <c r="F42" s="13">
        <v>68.583333300000007</v>
      </c>
      <c r="G42" s="12">
        <v>-1.1307824</v>
      </c>
      <c r="H42" s="12">
        <v>6.1486331999999999</v>
      </c>
      <c r="I42" s="12">
        <v>2.1037305000000002</v>
      </c>
      <c r="J42" s="12">
        <v>4.5485569999999997</v>
      </c>
      <c r="K42" s="12">
        <v>7.5786182999999996</v>
      </c>
      <c r="L42" s="12">
        <v>-0.95366410000000001</v>
      </c>
      <c r="M42" s="12">
        <v>-37.271230000000003</v>
      </c>
      <c r="N42" s="12">
        <v>9.1016385</v>
      </c>
      <c r="O42" s="12">
        <v>-7.0950762000000003</v>
      </c>
      <c r="P42" s="7">
        <v>589.20000000000005</v>
      </c>
      <c r="Q42" s="7">
        <v>316.89999999999998</v>
      </c>
      <c r="R42" s="7">
        <v>35</v>
      </c>
      <c r="S42" s="12">
        <v>3.1773037</v>
      </c>
      <c r="T42" s="12">
        <v>4.9000000000000004</v>
      </c>
      <c r="U42" s="12">
        <v>82.935907999999998</v>
      </c>
      <c r="V42" s="12">
        <v>61.174066699999997</v>
      </c>
      <c r="W42" s="12">
        <v>-2.6020960999999998</v>
      </c>
      <c r="X42" s="7" t="s">
        <v>107</v>
      </c>
      <c r="Y42" s="7" t="s">
        <v>107</v>
      </c>
      <c r="Z42" s="12">
        <v>-1.0508084</v>
      </c>
      <c r="AA42" s="12">
        <v>76.676303700000005</v>
      </c>
      <c r="AB42" s="12">
        <v>16.520168000000002</v>
      </c>
      <c r="AC42" s="12">
        <v>19.825103299999999</v>
      </c>
      <c r="AD42" s="12">
        <v>46.480567700000002</v>
      </c>
      <c r="AE42" s="12">
        <v>59.502032800000002</v>
      </c>
      <c r="AF42" s="12">
        <v>48.134273499999999</v>
      </c>
      <c r="AG42" s="7" t="s">
        <v>107</v>
      </c>
    </row>
    <row r="43" spans="1:33" s="11" customFormat="1" outlineLevel="1" x14ac:dyDescent="0.3">
      <c r="A43" s="11" t="s">
        <v>49</v>
      </c>
      <c r="B43" s="12">
        <v>3.1476855000000001</v>
      </c>
      <c r="C43" s="12">
        <v>86.6</v>
      </c>
      <c r="D43" s="12">
        <v>2.0344042999999998</v>
      </c>
      <c r="E43" s="17">
        <v>4</v>
      </c>
      <c r="F43" s="13">
        <v>74.953333299999997</v>
      </c>
      <c r="G43" s="12">
        <v>5.1465018999999996</v>
      </c>
      <c r="H43" s="12">
        <v>-3.8394282999999998</v>
      </c>
      <c r="I43" s="12">
        <v>-1.1132253000000001</v>
      </c>
      <c r="J43" s="12">
        <v>10.385906200000001</v>
      </c>
      <c r="K43" s="12">
        <v>7.9620638000000001</v>
      </c>
      <c r="L43" s="12">
        <v>8.0880641999999998</v>
      </c>
      <c r="M43" s="12">
        <v>57.516209799999999</v>
      </c>
      <c r="N43" s="12">
        <v>5.9513657000000002</v>
      </c>
      <c r="O43" s="12">
        <v>17.358253300000001</v>
      </c>
      <c r="P43" s="7">
        <v>598.29999999999995</v>
      </c>
      <c r="Q43" s="7">
        <v>311.10000000000002</v>
      </c>
      <c r="R43" s="7">
        <v>34.200000000000003</v>
      </c>
      <c r="S43" s="12">
        <v>4.2187792000000002</v>
      </c>
      <c r="T43" s="12">
        <v>4.83</v>
      </c>
      <c r="U43" s="12">
        <v>83.403854499999994</v>
      </c>
      <c r="V43" s="12">
        <v>61.175033300000003</v>
      </c>
      <c r="W43" s="12">
        <v>1.4809591</v>
      </c>
      <c r="X43" s="7" t="s">
        <v>107</v>
      </c>
      <c r="Y43" s="7" t="s">
        <v>107</v>
      </c>
      <c r="Z43" s="12">
        <v>-3.2751823</v>
      </c>
      <c r="AA43" s="12">
        <v>75.550479600000003</v>
      </c>
      <c r="AB43" s="12">
        <v>15.6835925</v>
      </c>
      <c r="AC43" s="12">
        <v>24.350567000000002</v>
      </c>
      <c r="AD43" s="12">
        <v>44.798970099999998</v>
      </c>
      <c r="AE43" s="12">
        <v>60.383506099999998</v>
      </c>
      <c r="AF43" s="12">
        <v>54.984832500000003</v>
      </c>
      <c r="AG43" s="7" t="s">
        <v>107</v>
      </c>
    </row>
    <row r="44" spans="1:33" s="11" customFormat="1" outlineLevel="1" x14ac:dyDescent="0.3">
      <c r="A44" s="11" t="s">
        <v>50</v>
      </c>
      <c r="B44" s="12">
        <v>2.7223932</v>
      </c>
      <c r="C44" s="12">
        <v>87.72</v>
      </c>
      <c r="D44" s="12">
        <v>2.998043</v>
      </c>
      <c r="E44" s="17">
        <v>4</v>
      </c>
      <c r="F44" s="13">
        <v>88.56</v>
      </c>
      <c r="G44" s="12">
        <v>30.780526699999999</v>
      </c>
      <c r="H44" s="12">
        <v>40.784424199999997</v>
      </c>
      <c r="I44" s="12">
        <v>-0.93770929999999997</v>
      </c>
      <c r="J44" s="12">
        <v>9.9269539000000009</v>
      </c>
      <c r="K44" s="12">
        <v>10.196481</v>
      </c>
      <c r="L44" s="12">
        <v>2.6571326000000002</v>
      </c>
      <c r="M44" s="12">
        <v>42.589668400000001</v>
      </c>
      <c r="N44" s="12">
        <v>15.922651800000001</v>
      </c>
      <c r="O44" s="12">
        <v>22.144865500000002</v>
      </c>
      <c r="P44" s="7">
        <v>594</v>
      </c>
      <c r="Q44" s="7">
        <v>316.2</v>
      </c>
      <c r="R44" s="7">
        <v>34.799999999999997</v>
      </c>
      <c r="S44" s="12">
        <v>9.0514974000000006</v>
      </c>
      <c r="T44" s="12">
        <v>4.7699999999999996</v>
      </c>
      <c r="U44" s="12">
        <v>85.612926299999998</v>
      </c>
      <c r="V44" s="12">
        <v>61.205300000000001</v>
      </c>
      <c r="W44" s="12">
        <v>6.9376313999999999</v>
      </c>
      <c r="X44" s="7" t="s">
        <v>107</v>
      </c>
      <c r="Y44" s="7" t="s">
        <v>107</v>
      </c>
      <c r="Z44" s="12">
        <v>-19.5644958</v>
      </c>
      <c r="AA44" s="12">
        <v>76.274901900000003</v>
      </c>
      <c r="AB44" s="12">
        <v>16.822217999999999</v>
      </c>
      <c r="AC44" s="12">
        <v>33.093005499999997</v>
      </c>
      <c r="AD44" s="12">
        <v>40.356329500000001</v>
      </c>
      <c r="AE44" s="12">
        <v>66.546359199999998</v>
      </c>
      <c r="AF44" s="12">
        <v>54.786144499999999</v>
      </c>
      <c r="AG44" s="7" t="s">
        <v>107</v>
      </c>
    </row>
    <row r="45" spans="1:33" s="11" customFormat="1" outlineLevel="1" x14ac:dyDescent="0.3">
      <c r="A45" s="11" t="s">
        <v>51</v>
      </c>
      <c r="B45" s="12">
        <v>1.9060995000000001</v>
      </c>
      <c r="C45" s="12">
        <v>88.42</v>
      </c>
      <c r="D45" s="12">
        <v>3.5484249000000001</v>
      </c>
      <c r="E45" s="17">
        <v>4</v>
      </c>
      <c r="F45" s="13">
        <v>96.936666700000004</v>
      </c>
      <c r="G45" s="12">
        <v>19.5907886</v>
      </c>
      <c r="H45" s="12">
        <v>25.298744500000002</v>
      </c>
      <c r="I45" s="12">
        <v>4.7288933999999996</v>
      </c>
      <c r="J45" s="12">
        <v>8.0846312000000005</v>
      </c>
      <c r="K45" s="12">
        <v>5.8116437000000003</v>
      </c>
      <c r="L45" s="12">
        <v>6.3048698999999999</v>
      </c>
      <c r="M45" s="12">
        <v>34.242772600000002</v>
      </c>
      <c r="N45" s="12">
        <v>-6.6373854999999997</v>
      </c>
      <c r="O45" s="12">
        <v>1.9079041000000001</v>
      </c>
      <c r="P45" s="7">
        <v>600.6</v>
      </c>
      <c r="Q45" s="7">
        <v>319.89999999999998</v>
      </c>
      <c r="R45" s="7">
        <v>34.799999999999997</v>
      </c>
      <c r="S45" s="12">
        <v>8.6675310000000003</v>
      </c>
      <c r="T45" s="12">
        <v>5.85</v>
      </c>
      <c r="U45" s="12">
        <v>89.727208500000003</v>
      </c>
      <c r="V45" s="12">
        <v>61.291533299999998</v>
      </c>
      <c r="W45" s="12">
        <v>6.0183340999999997</v>
      </c>
      <c r="X45" s="7" t="s">
        <v>107</v>
      </c>
      <c r="Y45" s="7" t="s">
        <v>107</v>
      </c>
      <c r="Z45" s="12">
        <v>-11.9004957</v>
      </c>
      <c r="AA45" s="12">
        <v>82.040306599999994</v>
      </c>
      <c r="AB45" s="12">
        <v>19.6024843</v>
      </c>
      <c r="AC45" s="12">
        <v>23.085991499999999</v>
      </c>
      <c r="AD45" s="12">
        <v>45.224095200000001</v>
      </c>
      <c r="AE45" s="12">
        <v>69.952766600000004</v>
      </c>
      <c r="AF45" s="12">
        <v>57.342205800000002</v>
      </c>
      <c r="AG45" s="7" t="s">
        <v>107</v>
      </c>
    </row>
    <row r="46" spans="1:33" s="11" customFormat="1" outlineLevel="1" x14ac:dyDescent="0.3">
      <c r="A46" s="11" t="s">
        <v>52</v>
      </c>
      <c r="B46" s="12">
        <v>1.9101475000000001</v>
      </c>
      <c r="C46" s="12">
        <v>89.906666700000002</v>
      </c>
      <c r="D46" s="12">
        <v>3.9383430000000001</v>
      </c>
      <c r="E46" s="17">
        <v>4</v>
      </c>
      <c r="F46" s="13">
        <v>121.3966667</v>
      </c>
      <c r="G46" s="12">
        <v>23.016789899999999</v>
      </c>
      <c r="H46" s="12">
        <v>13.6580467</v>
      </c>
      <c r="I46" s="12">
        <v>-0.25474590000000003</v>
      </c>
      <c r="J46" s="12">
        <v>9.0521133000000003</v>
      </c>
      <c r="K46" s="12">
        <v>6.1841714000000003</v>
      </c>
      <c r="L46" s="12">
        <v>9.6451525999999994</v>
      </c>
      <c r="M46" s="12">
        <v>102.9470469</v>
      </c>
      <c r="N46" s="12">
        <v>3.2908371999999999</v>
      </c>
      <c r="O46" s="12">
        <v>27.5674639</v>
      </c>
      <c r="P46" s="7">
        <v>607.1</v>
      </c>
      <c r="Q46" s="7">
        <v>310.39999999999998</v>
      </c>
      <c r="R46" s="7">
        <v>33.9</v>
      </c>
      <c r="S46" s="12">
        <v>8.0939764000000007</v>
      </c>
      <c r="T46" s="12">
        <v>7</v>
      </c>
      <c r="U46" s="12">
        <v>91.024696300000002</v>
      </c>
      <c r="V46" s="12">
        <v>61.258233300000001</v>
      </c>
      <c r="W46" s="12">
        <v>11.4656772</v>
      </c>
      <c r="X46" s="7" t="s">
        <v>107</v>
      </c>
      <c r="Y46" s="7" t="s">
        <v>107</v>
      </c>
      <c r="Z46" s="12">
        <v>-13.0547945</v>
      </c>
      <c r="AA46" s="12">
        <v>78.639457899999996</v>
      </c>
      <c r="AB46" s="12">
        <v>18.4562399</v>
      </c>
      <c r="AC46" s="12">
        <v>30.826341899999999</v>
      </c>
      <c r="AD46" s="12">
        <v>46.255683300000001</v>
      </c>
      <c r="AE46" s="12">
        <v>74.177822599999999</v>
      </c>
      <c r="AF46" s="12">
        <v>53.485892800000002</v>
      </c>
      <c r="AG46" s="7" t="s">
        <v>107</v>
      </c>
    </row>
    <row r="47" spans="1:33" s="11" customFormat="1" outlineLevel="1" x14ac:dyDescent="0.3">
      <c r="A47" s="11" t="s">
        <v>53</v>
      </c>
      <c r="B47" s="12">
        <v>0.87131639999999999</v>
      </c>
      <c r="C47" s="12">
        <v>90.323333300000002</v>
      </c>
      <c r="D47" s="12">
        <v>4.2994611000000003</v>
      </c>
      <c r="E47" s="17">
        <v>4.25</v>
      </c>
      <c r="F47" s="13">
        <v>114.3966667</v>
      </c>
      <c r="G47" s="12">
        <v>16.431604499999999</v>
      </c>
      <c r="H47" s="12">
        <v>46.556767899999997</v>
      </c>
      <c r="I47" s="12">
        <v>5.9768197000000001</v>
      </c>
      <c r="J47" s="12">
        <v>3.9763487</v>
      </c>
      <c r="K47" s="12">
        <v>4.5003539999999997</v>
      </c>
      <c r="L47" s="12">
        <v>2.7419511999999999</v>
      </c>
      <c r="M47" s="12">
        <v>0.33941250000000001</v>
      </c>
      <c r="N47" s="12">
        <v>-2.0766531000000001</v>
      </c>
      <c r="O47" s="12">
        <v>-0.95713519999999996</v>
      </c>
      <c r="P47" s="7">
        <v>619.79999999999995</v>
      </c>
      <c r="Q47" s="7">
        <v>305.3</v>
      </c>
      <c r="R47" s="7">
        <v>33</v>
      </c>
      <c r="S47" s="12">
        <v>8.8606897</v>
      </c>
      <c r="T47" s="12">
        <v>7</v>
      </c>
      <c r="U47" s="12">
        <v>90.240734200000006</v>
      </c>
      <c r="V47" s="12">
        <v>61.177500000000002</v>
      </c>
      <c r="W47" s="12">
        <v>12.4044475</v>
      </c>
      <c r="X47" s="7" t="s">
        <v>107</v>
      </c>
      <c r="Y47" s="7" t="s">
        <v>107</v>
      </c>
      <c r="Z47" s="12">
        <v>-4.0259659000000001</v>
      </c>
      <c r="AA47" s="12">
        <v>78.357487699999993</v>
      </c>
      <c r="AB47" s="12">
        <v>16.814372899999999</v>
      </c>
      <c r="AC47" s="12">
        <v>26.314914399999999</v>
      </c>
      <c r="AD47" s="12">
        <v>49.0379133</v>
      </c>
      <c r="AE47" s="12">
        <v>70.524594399999998</v>
      </c>
      <c r="AF47" s="12">
        <v>47.062963199999999</v>
      </c>
      <c r="AG47" s="7" t="s">
        <v>107</v>
      </c>
    </row>
    <row r="48" spans="1:33" s="11" customFormat="1" outlineLevel="1" x14ac:dyDescent="0.3">
      <c r="A48" s="11" t="s">
        <v>54</v>
      </c>
      <c r="B48" s="12">
        <v>-1.9881508000000001</v>
      </c>
      <c r="C48" s="12">
        <v>90.23</v>
      </c>
      <c r="D48" s="12">
        <v>2.8613770999999999</v>
      </c>
      <c r="E48" s="17">
        <v>3.1666666999999999</v>
      </c>
      <c r="F48" s="13">
        <v>54.66</v>
      </c>
      <c r="G48" s="12">
        <v>18.859081700000001</v>
      </c>
      <c r="H48" s="12">
        <v>-13.6844474</v>
      </c>
      <c r="I48" s="12">
        <v>-12.030353399999999</v>
      </c>
      <c r="J48" s="12">
        <v>1.5946648999999999</v>
      </c>
      <c r="K48" s="12">
        <v>2.9321307999999999</v>
      </c>
      <c r="L48" s="12">
        <v>21.384147299999999</v>
      </c>
      <c r="M48" s="12">
        <v>-3.0304628</v>
      </c>
      <c r="N48" s="12">
        <v>-12.964320900000001</v>
      </c>
      <c r="O48" s="12">
        <v>-2.8644617999999999</v>
      </c>
      <c r="P48" s="7">
        <v>608.5</v>
      </c>
      <c r="Q48" s="7">
        <v>306</v>
      </c>
      <c r="R48" s="7">
        <v>33.5</v>
      </c>
      <c r="S48" s="12">
        <v>8.9506133000000005</v>
      </c>
      <c r="T48" s="12">
        <v>7</v>
      </c>
      <c r="U48" s="12">
        <v>90.890997400000003</v>
      </c>
      <c r="V48" s="12">
        <v>61.336433300000003</v>
      </c>
      <c r="W48" s="12">
        <v>-8.1913499000000005</v>
      </c>
      <c r="X48" s="7" t="s">
        <v>107</v>
      </c>
      <c r="Y48" s="7" t="s">
        <v>107</v>
      </c>
      <c r="Z48" s="12">
        <v>-20.977398600000001</v>
      </c>
      <c r="AA48" s="12">
        <v>76.173655199999999</v>
      </c>
      <c r="AB48" s="12">
        <v>19.510249699999999</v>
      </c>
      <c r="AC48" s="12">
        <v>30.631411100000001</v>
      </c>
      <c r="AD48" s="12">
        <v>33.8598699</v>
      </c>
      <c r="AE48" s="12">
        <v>60.175185999999997</v>
      </c>
      <c r="AF48" s="12">
        <v>37.194098199999999</v>
      </c>
      <c r="AG48" s="7" t="s">
        <v>107</v>
      </c>
    </row>
    <row r="49" spans="1:33" s="11" customFormat="1" outlineLevel="1" x14ac:dyDescent="0.3">
      <c r="A49" s="11" t="s">
        <v>55</v>
      </c>
      <c r="B49" s="12">
        <v>-5.4359460999999998</v>
      </c>
      <c r="C49" s="12">
        <v>89.88</v>
      </c>
      <c r="D49" s="12">
        <v>1.6512100999999999</v>
      </c>
      <c r="E49" s="17">
        <v>1.8333333000000001</v>
      </c>
      <c r="F49" s="13">
        <v>44.433333300000001</v>
      </c>
      <c r="G49" s="12">
        <v>15.0897001</v>
      </c>
      <c r="H49" s="12">
        <v>-5.5411359999999998</v>
      </c>
      <c r="I49" s="12">
        <v>-2.0837713</v>
      </c>
      <c r="J49" s="12">
        <v>2.9710994999999998</v>
      </c>
      <c r="K49" s="12">
        <v>-1.5447422</v>
      </c>
      <c r="L49" s="12">
        <v>9.4843036999999999</v>
      </c>
      <c r="M49" s="12">
        <v>37.730217500000002</v>
      </c>
      <c r="N49" s="12">
        <v>-14.517139</v>
      </c>
      <c r="O49" s="12">
        <v>2.7593575000000001</v>
      </c>
      <c r="P49" s="7">
        <v>618.20000000000005</v>
      </c>
      <c r="Q49" s="7">
        <v>300.8</v>
      </c>
      <c r="R49" s="7">
        <v>32.799999999999997</v>
      </c>
      <c r="S49" s="12">
        <v>17.476835000000001</v>
      </c>
      <c r="T49" s="12">
        <v>7</v>
      </c>
      <c r="U49" s="12">
        <v>90.538518199999999</v>
      </c>
      <c r="V49" s="12">
        <v>61.406733299999999</v>
      </c>
      <c r="W49" s="12">
        <v>-12.2556391</v>
      </c>
      <c r="X49" s="12">
        <v>-30.175834900000002</v>
      </c>
      <c r="Y49" s="12">
        <v>-11.4277932</v>
      </c>
      <c r="Z49" s="12">
        <v>-21.074938899999999</v>
      </c>
      <c r="AA49" s="12">
        <v>79.231171399999994</v>
      </c>
      <c r="AB49" s="12">
        <v>21.212532800000002</v>
      </c>
      <c r="AC49" s="12">
        <v>29.1612632</v>
      </c>
      <c r="AD49" s="12">
        <v>30.573225699999998</v>
      </c>
      <c r="AE49" s="12">
        <v>60.178193200000003</v>
      </c>
      <c r="AF49" s="12">
        <v>27.635594399999999</v>
      </c>
      <c r="AG49" s="7" t="s">
        <v>107</v>
      </c>
    </row>
    <row r="50" spans="1:33" s="11" customFormat="1" outlineLevel="1" x14ac:dyDescent="0.3">
      <c r="A50" s="11" t="s">
        <v>56</v>
      </c>
      <c r="B50" s="12">
        <v>-5.8020649999999998</v>
      </c>
      <c r="C50" s="12">
        <v>90.723333299999993</v>
      </c>
      <c r="D50" s="12">
        <v>0.90834930000000003</v>
      </c>
      <c r="E50" s="17">
        <v>1.0833333000000001</v>
      </c>
      <c r="F50" s="13">
        <v>58.696666700000002</v>
      </c>
      <c r="G50" s="12">
        <v>10.680857700000001</v>
      </c>
      <c r="H50" s="12">
        <v>0.28716589999999997</v>
      </c>
      <c r="I50" s="12">
        <v>-3.4777925000000001</v>
      </c>
      <c r="J50" s="12">
        <v>-1.6312492999999999</v>
      </c>
      <c r="K50" s="12">
        <v>-7.6778136999999997</v>
      </c>
      <c r="L50" s="12">
        <v>10.6138733</v>
      </c>
      <c r="M50" s="12">
        <v>-8.0837216999999999</v>
      </c>
      <c r="N50" s="12">
        <v>-7.2898518000000001</v>
      </c>
      <c r="O50" s="12">
        <v>-11.5416819</v>
      </c>
      <c r="P50" s="7">
        <v>636.1</v>
      </c>
      <c r="Q50" s="7">
        <v>297.7</v>
      </c>
      <c r="R50" s="7">
        <v>31.9</v>
      </c>
      <c r="S50" s="12">
        <v>17.8794477</v>
      </c>
      <c r="T50" s="12">
        <v>9</v>
      </c>
      <c r="U50" s="12">
        <v>90.547634099999996</v>
      </c>
      <c r="V50" s="12">
        <v>61.337899999999998</v>
      </c>
      <c r="W50" s="12">
        <v>-14.480692400000001</v>
      </c>
      <c r="X50" s="12">
        <v>-29.903204599999999</v>
      </c>
      <c r="Y50" s="12">
        <v>-28.9990053</v>
      </c>
      <c r="Z50" s="12">
        <v>-5.8056330999999997</v>
      </c>
      <c r="AA50" s="12">
        <v>73.507232700000003</v>
      </c>
      <c r="AB50" s="12">
        <v>19.743010900000002</v>
      </c>
      <c r="AC50" s="12">
        <v>25.6662447</v>
      </c>
      <c r="AD50" s="12">
        <v>32.582744599999998</v>
      </c>
      <c r="AE50" s="12">
        <v>51.499135699999997</v>
      </c>
      <c r="AF50" s="12">
        <v>16.273767500000002</v>
      </c>
      <c r="AG50" s="7" t="s">
        <v>107</v>
      </c>
    </row>
    <row r="51" spans="1:33" s="11" customFormat="1" outlineLevel="1" x14ac:dyDescent="0.3">
      <c r="A51" s="11" t="s">
        <v>57</v>
      </c>
      <c r="B51" s="12">
        <v>-4.1677857999999999</v>
      </c>
      <c r="C51" s="12">
        <v>90.663333300000005</v>
      </c>
      <c r="D51" s="12">
        <v>0.37642540000000002</v>
      </c>
      <c r="E51" s="17">
        <v>1</v>
      </c>
      <c r="F51" s="13">
        <v>68.2</v>
      </c>
      <c r="G51" s="12">
        <v>7.4829046000000004</v>
      </c>
      <c r="H51" s="12">
        <v>-14.263749900000001</v>
      </c>
      <c r="I51" s="12">
        <v>-1.1625155</v>
      </c>
      <c r="J51" s="12">
        <v>-3.7464396999999998</v>
      </c>
      <c r="K51" s="12">
        <v>-3.4310214999999999</v>
      </c>
      <c r="L51" s="12">
        <v>0.50772050000000002</v>
      </c>
      <c r="M51" s="12">
        <v>-34.665413299999997</v>
      </c>
      <c r="N51" s="12">
        <v>-18.369291199999999</v>
      </c>
      <c r="O51" s="12">
        <v>-23.3743716</v>
      </c>
      <c r="P51" s="7">
        <v>642.5</v>
      </c>
      <c r="Q51" s="7">
        <v>298.10000000000002</v>
      </c>
      <c r="R51" s="7">
        <v>31.7</v>
      </c>
      <c r="S51" s="12">
        <v>13.2755347</v>
      </c>
      <c r="T51" s="12">
        <v>9</v>
      </c>
      <c r="U51" s="12">
        <v>89.098215600000003</v>
      </c>
      <c r="V51" s="12">
        <v>61.177333300000001</v>
      </c>
      <c r="W51" s="12">
        <v>-13.384853100000001</v>
      </c>
      <c r="X51" s="12">
        <v>-26.897466900000001</v>
      </c>
      <c r="Y51" s="12">
        <v>-27.610827199999999</v>
      </c>
      <c r="Z51" s="12">
        <v>3.4972466</v>
      </c>
      <c r="AA51" s="12">
        <v>77.882073599999998</v>
      </c>
      <c r="AB51" s="12">
        <v>18.277633000000002</v>
      </c>
      <c r="AC51" s="12">
        <v>17.9270724</v>
      </c>
      <c r="AD51" s="12">
        <v>37.5813785</v>
      </c>
      <c r="AE51" s="12">
        <v>51.668157399999998</v>
      </c>
      <c r="AF51" s="12">
        <v>7.8766198000000003</v>
      </c>
      <c r="AG51" s="7" t="s">
        <v>107</v>
      </c>
    </row>
    <row r="52" spans="1:33" s="11" customFormat="1" outlineLevel="1" x14ac:dyDescent="0.3">
      <c r="A52" s="11" t="s">
        <v>58</v>
      </c>
      <c r="B52" s="12">
        <v>-1.8288317999999999</v>
      </c>
      <c r="C52" s="12">
        <v>91.146666699999997</v>
      </c>
      <c r="D52" s="12">
        <v>1.0159222999999999</v>
      </c>
      <c r="E52" s="17">
        <v>1</v>
      </c>
      <c r="F52" s="13">
        <v>74.63</v>
      </c>
      <c r="G52" s="12">
        <v>-22.376933000000001</v>
      </c>
      <c r="H52" s="12">
        <v>-2.5496161000000002</v>
      </c>
      <c r="I52" s="12">
        <v>-3.6572323999999998</v>
      </c>
      <c r="J52" s="12">
        <v>1.2255501</v>
      </c>
      <c r="K52" s="12">
        <v>-0.68298060000000005</v>
      </c>
      <c r="L52" s="12">
        <v>-16.932435999999999</v>
      </c>
      <c r="M52" s="12">
        <v>3.7717152</v>
      </c>
      <c r="N52" s="12">
        <v>-15.069031499999999</v>
      </c>
      <c r="O52" s="12">
        <v>-15.896959499999999</v>
      </c>
      <c r="P52" s="7">
        <v>622.70000000000005</v>
      </c>
      <c r="Q52" s="7">
        <v>298.8</v>
      </c>
      <c r="R52" s="7">
        <v>32.4</v>
      </c>
      <c r="S52" s="12">
        <v>8.3289466999999995</v>
      </c>
      <c r="T52" s="12">
        <v>8.5</v>
      </c>
      <c r="U52" s="12">
        <v>89.025288900000007</v>
      </c>
      <c r="V52" s="12">
        <v>61.171933299999999</v>
      </c>
      <c r="W52" s="12">
        <v>6.4239829000000004</v>
      </c>
      <c r="X52" s="12">
        <v>-14.0008406</v>
      </c>
      <c r="Y52" s="12">
        <v>-11.684358400000001</v>
      </c>
      <c r="Z52" s="12">
        <v>-5.4548543</v>
      </c>
      <c r="AA52" s="12">
        <v>76.603378300000003</v>
      </c>
      <c r="AB52" s="12">
        <v>17.468249700000001</v>
      </c>
      <c r="AC52" s="12">
        <v>30.249670699999999</v>
      </c>
      <c r="AD52" s="12">
        <v>30.4118824</v>
      </c>
      <c r="AE52" s="12">
        <v>54.733181100000003</v>
      </c>
      <c r="AF52" s="12">
        <v>3.4538342000000002</v>
      </c>
      <c r="AG52" s="7" t="s">
        <v>107</v>
      </c>
    </row>
    <row r="53" spans="1:33" s="11" customFormat="1" outlineLevel="1" x14ac:dyDescent="0.3">
      <c r="A53" s="11" t="s">
        <v>59</v>
      </c>
      <c r="B53" s="12">
        <v>1.1991562</v>
      </c>
      <c r="C53" s="12">
        <v>91.416666699999993</v>
      </c>
      <c r="D53" s="12">
        <v>1.709687</v>
      </c>
      <c r="E53" s="17">
        <v>1</v>
      </c>
      <c r="F53" s="13">
        <v>76.25</v>
      </c>
      <c r="G53" s="12">
        <v>1.1856399</v>
      </c>
      <c r="H53" s="12">
        <v>-5.6776790999999998</v>
      </c>
      <c r="I53" s="12">
        <v>-4.1582359000000002</v>
      </c>
      <c r="J53" s="12">
        <v>5.5436785000000004</v>
      </c>
      <c r="K53" s="12">
        <v>5.7396598000000001</v>
      </c>
      <c r="L53" s="12">
        <v>-9.3080259999999999</v>
      </c>
      <c r="M53" s="12">
        <v>-33.620813499999997</v>
      </c>
      <c r="N53" s="12">
        <v>4.0474864000000004</v>
      </c>
      <c r="O53" s="12">
        <v>-20.134916</v>
      </c>
      <c r="P53" s="7">
        <v>615.9</v>
      </c>
      <c r="Q53" s="7">
        <v>309.60000000000002</v>
      </c>
      <c r="R53" s="7">
        <v>33.5</v>
      </c>
      <c r="S53" s="12">
        <v>1.1453267</v>
      </c>
      <c r="T53" s="12">
        <v>7.26</v>
      </c>
      <c r="U53" s="12">
        <v>90.678294399999999</v>
      </c>
      <c r="V53" s="12">
        <v>61.402166700000002</v>
      </c>
      <c r="W53" s="12">
        <v>-5.1413881999999997</v>
      </c>
      <c r="X53" s="12">
        <v>16.851746599999998</v>
      </c>
      <c r="Y53" s="12">
        <v>-9.6173698999999999</v>
      </c>
      <c r="Z53" s="12">
        <v>-2.2048507000000002</v>
      </c>
      <c r="AA53" s="12">
        <v>79.886965700000005</v>
      </c>
      <c r="AB53" s="12">
        <v>20.001985900000001</v>
      </c>
      <c r="AC53" s="12">
        <v>17.2462427</v>
      </c>
      <c r="AD53" s="12">
        <v>34.082741200000001</v>
      </c>
      <c r="AE53" s="12">
        <v>51.218036900000001</v>
      </c>
      <c r="AF53" s="12">
        <v>0.57248109999999997</v>
      </c>
      <c r="AG53" s="7" t="s">
        <v>107</v>
      </c>
    </row>
    <row r="54" spans="1:33" s="11" customFormat="1" outlineLevel="1" x14ac:dyDescent="0.3">
      <c r="A54" s="11" t="s">
        <v>60</v>
      </c>
      <c r="B54" s="12">
        <v>2.6157658000000001</v>
      </c>
      <c r="C54" s="12">
        <v>92.57</v>
      </c>
      <c r="D54" s="12">
        <v>2.0354926</v>
      </c>
      <c r="E54" s="17">
        <v>1</v>
      </c>
      <c r="F54" s="13">
        <v>78.510000000000005</v>
      </c>
      <c r="G54" s="12">
        <v>-3.0093051000000002</v>
      </c>
      <c r="H54" s="12">
        <v>1.7054750999999999</v>
      </c>
      <c r="I54" s="12">
        <v>-1.8230284000000001</v>
      </c>
      <c r="J54" s="12">
        <v>1.7408524000000001</v>
      </c>
      <c r="K54" s="12">
        <v>12.15743</v>
      </c>
      <c r="L54" s="12">
        <v>-13.4481076</v>
      </c>
      <c r="M54" s="12">
        <v>-8.5817385000000002</v>
      </c>
      <c r="N54" s="12">
        <v>13.5003022</v>
      </c>
      <c r="O54" s="12">
        <v>12.228451</v>
      </c>
      <c r="P54" s="7">
        <v>627.1</v>
      </c>
      <c r="Q54" s="7">
        <v>296.2</v>
      </c>
      <c r="R54" s="7">
        <v>32.1</v>
      </c>
      <c r="S54" s="12">
        <v>0.33624599999999999</v>
      </c>
      <c r="T54" s="12">
        <v>5.46</v>
      </c>
      <c r="U54" s="12">
        <v>91.298171499999995</v>
      </c>
      <c r="V54" s="12">
        <v>61.546666700000003</v>
      </c>
      <c r="W54" s="12">
        <v>-1.8295056000000001</v>
      </c>
      <c r="X54" s="12">
        <v>28.692088200000001</v>
      </c>
      <c r="Y54" s="12">
        <v>20.178993200000001</v>
      </c>
      <c r="Z54" s="12">
        <v>-2.3903265</v>
      </c>
      <c r="AA54" s="12">
        <v>76.9951571</v>
      </c>
      <c r="AB54" s="12">
        <v>18.087383299999999</v>
      </c>
      <c r="AC54" s="12">
        <v>24.214645600000001</v>
      </c>
      <c r="AD54" s="12">
        <v>39.733787900000003</v>
      </c>
      <c r="AE54" s="12">
        <v>59.030973899999999</v>
      </c>
      <c r="AF54" s="12">
        <v>2.8059278999999999</v>
      </c>
      <c r="AG54" s="7" t="s">
        <v>107</v>
      </c>
    </row>
    <row r="55" spans="1:33" s="11" customFormat="1" outlineLevel="1" x14ac:dyDescent="0.3">
      <c r="A55" s="11" t="s">
        <v>61</v>
      </c>
      <c r="B55" s="12">
        <v>2.4618717000000001</v>
      </c>
      <c r="C55" s="12">
        <v>92.583333300000007</v>
      </c>
      <c r="D55" s="12">
        <v>2.1177248999999998</v>
      </c>
      <c r="E55" s="17">
        <v>1</v>
      </c>
      <c r="F55" s="13">
        <v>76.819999999999993</v>
      </c>
      <c r="G55" s="12">
        <v>11.015511399999999</v>
      </c>
      <c r="H55" s="12">
        <v>13.682554700000001</v>
      </c>
      <c r="I55" s="12">
        <v>-0.44521070000000001</v>
      </c>
      <c r="J55" s="12">
        <v>8.4984962999999993</v>
      </c>
      <c r="K55" s="12">
        <v>3.9918293</v>
      </c>
      <c r="L55" s="12">
        <v>5.9819772000000002</v>
      </c>
      <c r="M55" s="12">
        <v>57.205037699999998</v>
      </c>
      <c r="N55" s="12">
        <v>37.582304200000003</v>
      </c>
      <c r="O55" s="12">
        <v>36.170454800000002</v>
      </c>
      <c r="P55" s="7">
        <v>648.79999999999995</v>
      </c>
      <c r="Q55" s="7">
        <v>300.5</v>
      </c>
      <c r="R55" s="7">
        <v>31.7</v>
      </c>
      <c r="S55" s="12">
        <v>0.89163009999999998</v>
      </c>
      <c r="T55" s="12">
        <v>4.5</v>
      </c>
      <c r="U55" s="12">
        <v>90.900113200000007</v>
      </c>
      <c r="V55" s="12">
        <v>61.553066700000002</v>
      </c>
      <c r="W55" s="12">
        <v>-6.0314060999999999</v>
      </c>
      <c r="X55" s="12">
        <v>26.447645999999999</v>
      </c>
      <c r="Y55" s="12">
        <v>21.3590047</v>
      </c>
      <c r="Z55" s="12">
        <v>3.2718327999999999</v>
      </c>
      <c r="AA55" s="12">
        <v>73.336417800000007</v>
      </c>
      <c r="AB55" s="12">
        <v>17.4835992</v>
      </c>
      <c r="AC55" s="12">
        <v>23.3153358</v>
      </c>
      <c r="AD55" s="12">
        <v>43.9033631</v>
      </c>
      <c r="AE55" s="12">
        <v>58.0387159</v>
      </c>
      <c r="AF55" s="12">
        <v>4.2736590000000003</v>
      </c>
      <c r="AG55" s="7" t="s">
        <v>107</v>
      </c>
    </row>
    <row r="56" spans="1:33" s="11" customFormat="1" outlineLevel="1" x14ac:dyDescent="0.3">
      <c r="A56" s="11" t="s">
        <v>62</v>
      </c>
      <c r="B56" s="12">
        <v>2.3931737000000002</v>
      </c>
      <c r="C56" s="12">
        <v>93.383333300000004</v>
      </c>
      <c r="D56" s="12">
        <v>2.4539203000000001</v>
      </c>
      <c r="E56" s="17">
        <v>1</v>
      </c>
      <c r="F56" s="13">
        <v>86.466666700000005</v>
      </c>
      <c r="G56" s="12">
        <v>0.87837659999999995</v>
      </c>
      <c r="H56" s="12">
        <v>1.5965511999999999</v>
      </c>
      <c r="I56" s="12">
        <v>-3.4132519000000001</v>
      </c>
      <c r="J56" s="12">
        <v>-1.7980982000000001</v>
      </c>
      <c r="K56" s="12">
        <v>-5.3368357</v>
      </c>
      <c r="L56" s="12">
        <v>4.6843371999999999</v>
      </c>
      <c r="M56" s="12">
        <v>0.16449569999999999</v>
      </c>
      <c r="N56" s="12">
        <v>39.882921899999999</v>
      </c>
      <c r="O56" s="12">
        <v>19.641500600000001</v>
      </c>
      <c r="P56" s="7">
        <v>659.5</v>
      </c>
      <c r="Q56" s="7">
        <v>295.39999999999998</v>
      </c>
      <c r="R56" s="7">
        <v>31</v>
      </c>
      <c r="S56" s="12">
        <v>1.6709001000000001</v>
      </c>
      <c r="T56" s="12">
        <v>4.1100000000000003</v>
      </c>
      <c r="U56" s="12">
        <v>91.750924900000001</v>
      </c>
      <c r="V56" s="12">
        <v>61.557600000000001</v>
      </c>
      <c r="W56" s="12">
        <v>-6.0697517999999997</v>
      </c>
      <c r="X56" s="12">
        <v>35.5887411</v>
      </c>
      <c r="Y56" s="12">
        <v>16.8566799</v>
      </c>
      <c r="Z56" s="12">
        <v>-6.7653065999999997</v>
      </c>
      <c r="AA56" s="12">
        <v>72.669142300000004</v>
      </c>
      <c r="AB56" s="12">
        <v>17.820849599999999</v>
      </c>
      <c r="AC56" s="12">
        <v>31.992529999999999</v>
      </c>
      <c r="AD56" s="12">
        <v>40.636243299999997</v>
      </c>
      <c r="AE56" s="12">
        <v>63.118765099999997</v>
      </c>
      <c r="AF56" s="12">
        <v>5.1017463999999997</v>
      </c>
      <c r="AG56" s="7" t="s">
        <v>107</v>
      </c>
    </row>
    <row r="57" spans="1:33" s="11" customFormat="1" outlineLevel="1" x14ac:dyDescent="0.3">
      <c r="A57" s="11" t="s">
        <v>63</v>
      </c>
      <c r="B57" s="12">
        <v>3.2110127999999998</v>
      </c>
      <c r="C57" s="12">
        <v>94.073333300000002</v>
      </c>
      <c r="D57" s="12">
        <v>2.9061075000000001</v>
      </c>
      <c r="E57" s="17">
        <v>1</v>
      </c>
      <c r="F57" s="13">
        <v>104.96</v>
      </c>
      <c r="G57" s="12">
        <v>4.5293679999999998</v>
      </c>
      <c r="H57" s="12">
        <v>6.4394837999999996</v>
      </c>
      <c r="I57" s="12">
        <v>-3.5953799000000002</v>
      </c>
      <c r="J57" s="12">
        <v>0.83705989999999997</v>
      </c>
      <c r="K57" s="12">
        <v>-6.6376879000000004</v>
      </c>
      <c r="L57" s="12">
        <v>1.7936027000000001</v>
      </c>
      <c r="M57" s="12">
        <v>53.418684499999998</v>
      </c>
      <c r="N57" s="12">
        <v>34.884023599999999</v>
      </c>
      <c r="O57" s="12">
        <v>35.169167899999998</v>
      </c>
      <c r="P57" s="7">
        <v>649.6</v>
      </c>
      <c r="Q57" s="7">
        <v>294.60000000000002</v>
      </c>
      <c r="R57" s="7">
        <v>31.2</v>
      </c>
      <c r="S57" s="12">
        <v>1.6890535</v>
      </c>
      <c r="T57" s="12">
        <v>4</v>
      </c>
      <c r="U57" s="12">
        <v>94.236510499999994</v>
      </c>
      <c r="V57" s="12">
        <v>61.512466699999997</v>
      </c>
      <c r="W57" s="12">
        <v>11.382113800000001</v>
      </c>
      <c r="X57" s="12">
        <v>43.969694099999998</v>
      </c>
      <c r="Y57" s="12">
        <v>47.278758600000003</v>
      </c>
      <c r="Z57" s="12">
        <v>-11.7631842</v>
      </c>
      <c r="AA57" s="12">
        <v>76.725753400000002</v>
      </c>
      <c r="AB57" s="12">
        <v>20.088485299999999</v>
      </c>
      <c r="AC57" s="12">
        <v>28.099929599999999</v>
      </c>
      <c r="AD57" s="12">
        <v>46.9693051</v>
      </c>
      <c r="AE57" s="12">
        <v>71.883569899999998</v>
      </c>
      <c r="AF57" s="12">
        <v>6.5505490999999996</v>
      </c>
      <c r="AG57" s="7" t="s">
        <v>107</v>
      </c>
    </row>
    <row r="58" spans="1:33" s="11" customFormat="1" outlineLevel="1" x14ac:dyDescent="0.3">
      <c r="A58" s="11" t="s">
        <v>64</v>
      </c>
      <c r="B58" s="12">
        <v>2.1036085</v>
      </c>
      <c r="C58" s="12">
        <v>95.516666700000002</v>
      </c>
      <c r="D58" s="12">
        <v>3.1831767000000002</v>
      </c>
      <c r="E58" s="17">
        <v>1.25</v>
      </c>
      <c r="F58" s="13">
        <v>117.36</v>
      </c>
      <c r="G58" s="12">
        <v>16.781850500000001</v>
      </c>
      <c r="H58" s="12">
        <v>11.5091888</v>
      </c>
      <c r="I58" s="12">
        <v>-3.4168992</v>
      </c>
      <c r="J58" s="12">
        <v>5.9109075000000004</v>
      </c>
      <c r="K58" s="12">
        <v>-3.4898693000000001</v>
      </c>
      <c r="L58" s="12">
        <v>5.5670102999999997</v>
      </c>
      <c r="M58" s="12">
        <v>2.8993476</v>
      </c>
      <c r="N58" s="12">
        <v>14.1329978</v>
      </c>
      <c r="O58" s="12">
        <v>-1.8950319</v>
      </c>
      <c r="P58" s="7">
        <v>642.79999999999995</v>
      </c>
      <c r="Q58" s="7">
        <v>293.39999999999998</v>
      </c>
      <c r="R58" s="7">
        <v>31.4</v>
      </c>
      <c r="S58" s="12">
        <v>1.3052010000000001</v>
      </c>
      <c r="T58" s="12">
        <v>4</v>
      </c>
      <c r="U58" s="12">
        <v>95.585654700000006</v>
      </c>
      <c r="V58" s="12">
        <v>61.553333299999998</v>
      </c>
      <c r="W58" s="12">
        <v>9.4766057999999997</v>
      </c>
      <c r="X58" s="12">
        <v>28.6082091</v>
      </c>
      <c r="Y58" s="12">
        <v>15.9719078</v>
      </c>
      <c r="Z58" s="12">
        <v>-5.4638448000000004</v>
      </c>
      <c r="AA58" s="12">
        <v>77.075983800000003</v>
      </c>
      <c r="AB58" s="12">
        <v>18.336278799999999</v>
      </c>
      <c r="AC58" s="12">
        <v>20.726572999999998</v>
      </c>
      <c r="AD58" s="12">
        <v>47.0410471</v>
      </c>
      <c r="AE58" s="12">
        <v>63.179882800000001</v>
      </c>
      <c r="AF58" s="12">
        <v>6.9759624999999996</v>
      </c>
      <c r="AG58" s="7" t="s">
        <v>107</v>
      </c>
    </row>
    <row r="59" spans="1:33" s="11" customFormat="1" outlineLevel="1" x14ac:dyDescent="0.3">
      <c r="A59" s="11" t="s">
        <v>65</v>
      </c>
      <c r="B59" s="12">
        <v>1.8176159000000001</v>
      </c>
      <c r="C59" s="12">
        <v>95.433333300000001</v>
      </c>
      <c r="D59" s="12">
        <v>3.0783078000000001</v>
      </c>
      <c r="E59" s="17">
        <v>1.5</v>
      </c>
      <c r="F59" s="13">
        <v>113.34</v>
      </c>
      <c r="G59" s="12">
        <v>-1.4763672000000001</v>
      </c>
      <c r="H59" s="12">
        <v>-4.6770354999999997</v>
      </c>
      <c r="I59" s="12">
        <v>-1.3947341</v>
      </c>
      <c r="J59" s="12">
        <v>-0.72237379999999995</v>
      </c>
      <c r="K59" s="12">
        <v>-7.1986520000000001</v>
      </c>
      <c r="L59" s="12">
        <v>-2.438933</v>
      </c>
      <c r="M59" s="12">
        <v>14.301853100000001</v>
      </c>
      <c r="N59" s="12">
        <v>6.8842938</v>
      </c>
      <c r="O59" s="12">
        <v>2.2957881000000002</v>
      </c>
      <c r="P59" s="7">
        <v>648.6</v>
      </c>
      <c r="Q59" s="7">
        <v>293.8</v>
      </c>
      <c r="R59" s="7">
        <v>31.2</v>
      </c>
      <c r="S59" s="12">
        <v>1.4241891</v>
      </c>
      <c r="T59" s="12">
        <v>4</v>
      </c>
      <c r="U59" s="12">
        <v>94.276012399999999</v>
      </c>
      <c r="V59" s="12">
        <v>61.542700000000004</v>
      </c>
      <c r="W59" s="12">
        <v>5.3171286999999996</v>
      </c>
      <c r="X59" s="12">
        <v>20.001551899999999</v>
      </c>
      <c r="Y59" s="12">
        <v>18.842139400000001</v>
      </c>
      <c r="Z59" s="12">
        <v>3.4893068</v>
      </c>
      <c r="AA59" s="12">
        <v>72.815210800000003</v>
      </c>
      <c r="AB59" s="12">
        <v>17.088813999999999</v>
      </c>
      <c r="AC59" s="12">
        <v>26.2981789</v>
      </c>
      <c r="AD59" s="12">
        <v>50.056831799999998</v>
      </c>
      <c r="AE59" s="12">
        <v>66.259035499999996</v>
      </c>
      <c r="AF59" s="12">
        <v>7.4102870000000003</v>
      </c>
      <c r="AG59" s="7" t="s">
        <v>107</v>
      </c>
    </row>
    <row r="60" spans="1:33" s="11" customFormat="1" outlineLevel="1" x14ac:dyDescent="0.3">
      <c r="A60" s="11" t="s">
        <v>66</v>
      </c>
      <c r="B60" s="12">
        <v>0.47384009999999999</v>
      </c>
      <c r="C60" s="12">
        <v>96.41</v>
      </c>
      <c r="D60" s="12">
        <v>3.2411208999999999</v>
      </c>
      <c r="E60" s="17">
        <v>1.25</v>
      </c>
      <c r="F60" s="13">
        <v>109.3966667</v>
      </c>
      <c r="G60" s="12">
        <v>-2.0430643000000002</v>
      </c>
      <c r="H60" s="12">
        <v>3.1780404999999998</v>
      </c>
      <c r="I60" s="12">
        <v>-1.6821439</v>
      </c>
      <c r="J60" s="12">
        <v>3.4679064999999998</v>
      </c>
      <c r="K60" s="12">
        <v>-4.1524084999999999</v>
      </c>
      <c r="L60" s="12">
        <v>7.7527999999999998E-3</v>
      </c>
      <c r="M60" s="12">
        <v>8.4513674000000005</v>
      </c>
      <c r="N60" s="12">
        <v>14.361067</v>
      </c>
      <c r="O60" s="12">
        <v>3.0826087000000002</v>
      </c>
      <c r="P60" s="7">
        <v>639.29999999999995</v>
      </c>
      <c r="Q60" s="7">
        <v>298</v>
      </c>
      <c r="R60" s="7">
        <v>31.8</v>
      </c>
      <c r="S60" s="12">
        <v>0.59307209999999999</v>
      </c>
      <c r="T60" s="12">
        <v>4</v>
      </c>
      <c r="U60" s="12">
        <v>94.768267800000004</v>
      </c>
      <c r="V60" s="12">
        <v>61.506700000000002</v>
      </c>
      <c r="W60" s="12">
        <v>2.6776151000000001</v>
      </c>
      <c r="X60" s="12">
        <v>17.436520399999999</v>
      </c>
      <c r="Y60" s="12">
        <v>8.419257</v>
      </c>
      <c r="Z60" s="12">
        <v>2.2532409000000002</v>
      </c>
      <c r="AA60" s="12">
        <v>69.626205400000003</v>
      </c>
      <c r="AB60" s="12">
        <v>17.262962000000002</v>
      </c>
      <c r="AC60" s="12">
        <v>32.344041900000001</v>
      </c>
      <c r="AD60" s="12">
        <v>44.527363399999999</v>
      </c>
      <c r="AE60" s="12">
        <v>63.760572699999997</v>
      </c>
      <c r="AF60" s="12">
        <v>8.0945383</v>
      </c>
      <c r="AG60" s="7" t="s">
        <v>107</v>
      </c>
    </row>
    <row r="61" spans="1:33" s="11" customFormat="1" outlineLevel="1" x14ac:dyDescent="0.3">
      <c r="A61" s="11" t="s">
        <v>67</v>
      </c>
      <c r="B61" s="12">
        <v>3.7986600000000002E-2</v>
      </c>
      <c r="C61" s="12">
        <v>96.803333300000006</v>
      </c>
      <c r="D61" s="12">
        <v>2.9019914</v>
      </c>
      <c r="E61" s="17">
        <v>1</v>
      </c>
      <c r="F61" s="13">
        <v>118.49</v>
      </c>
      <c r="G61" s="12">
        <v>3.3572323000000002</v>
      </c>
      <c r="H61" s="12">
        <v>1.2316212</v>
      </c>
      <c r="I61" s="12">
        <v>-4.3458734000000003</v>
      </c>
      <c r="J61" s="12">
        <v>-1.0095034000000001</v>
      </c>
      <c r="K61" s="12">
        <v>-1.5423051999999999</v>
      </c>
      <c r="L61" s="12">
        <v>2.2248975999999998</v>
      </c>
      <c r="M61" s="12">
        <v>-0.38614710000000002</v>
      </c>
      <c r="N61" s="12">
        <v>-1.5042788</v>
      </c>
      <c r="O61" s="12">
        <v>-1.3471508999999999</v>
      </c>
      <c r="P61" s="7">
        <v>643.6</v>
      </c>
      <c r="Q61" s="7">
        <v>297.3</v>
      </c>
      <c r="R61" s="7">
        <v>31.6</v>
      </c>
      <c r="S61" s="12">
        <v>0.8239166</v>
      </c>
      <c r="T61" s="12">
        <v>4</v>
      </c>
      <c r="U61" s="12">
        <v>96.551933700000006</v>
      </c>
      <c r="V61" s="12">
        <v>61.502966700000002</v>
      </c>
      <c r="W61" s="12">
        <v>-6.0421735999999999</v>
      </c>
      <c r="X61" s="12">
        <v>-1.5592718000000001</v>
      </c>
      <c r="Y61" s="12">
        <v>-4.1639853000000002</v>
      </c>
      <c r="Z61" s="12">
        <v>-6.5493183000000004</v>
      </c>
      <c r="AA61" s="12">
        <v>77.202388499999998</v>
      </c>
      <c r="AB61" s="12">
        <v>20.653333199999999</v>
      </c>
      <c r="AC61" s="12">
        <v>25.351088699999998</v>
      </c>
      <c r="AD61" s="12">
        <v>45.505401300000003</v>
      </c>
      <c r="AE61" s="12">
        <v>68.712019299999994</v>
      </c>
      <c r="AF61" s="12">
        <v>7.3596310000000003</v>
      </c>
      <c r="AG61" s="7" t="s">
        <v>107</v>
      </c>
    </row>
    <row r="62" spans="1:33" s="11" customFormat="1" outlineLevel="1" x14ac:dyDescent="0.3">
      <c r="A62" s="11" t="s">
        <v>68</v>
      </c>
      <c r="B62" s="12">
        <v>-0.91019320000000004</v>
      </c>
      <c r="C62" s="12">
        <v>97.993333300000003</v>
      </c>
      <c r="D62" s="12">
        <v>2.5929156999999998</v>
      </c>
      <c r="E62" s="17">
        <v>1</v>
      </c>
      <c r="F62" s="13">
        <v>108.41666669999999</v>
      </c>
      <c r="G62" s="12">
        <v>-3.4908109999999999</v>
      </c>
      <c r="H62" s="12">
        <v>-2.4943122</v>
      </c>
      <c r="I62" s="12">
        <v>-3.0373393000000002</v>
      </c>
      <c r="J62" s="12">
        <v>0.455515</v>
      </c>
      <c r="K62" s="12">
        <v>1.4224991</v>
      </c>
      <c r="L62" s="12">
        <v>0.77257960000000003</v>
      </c>
      <c r="M62" s="12">
        <v>27.744464499999999</v>
      </c>
      <c r="N62" s="12">
        <v>-0.1018751</v>
      </c>
      <c r="O62" s="12">
        <v>12.104990300000001</v>
      </c>
      <c r="P62" s="7">
        <v>648.20000000000005</v>
      </c>
      <c r="Q62" s="7">
        <v>294.2</v>
      </c>
      <c r="R62" s="7">
        <v>31.3</v>
      </c>
      <c r="S62" s="12">
        <v>-0.53864069999999997</v>
      </c>
      <c r="T62" s="12">
        <v>3.73</v>
      </c>
      <c r="U62" s="12">
        <v>97.718761099999995</v>
      </c>
      <c r="V62" s="12">
        <v>61.5923333</v>
      </c>
      <c r="W62" s="12">
        <v>-1.0503439999999999</v>
      </c>
      <c r="X62" s="12">
        <v>-6.8979483000000004</v>
      </c>
      <c r="Y62" s="12">
        <v>2.8202359000000001</v>
      </c>
      <c r="Z62" s="12">
        <v>-3.7852782</v>
      </c>
      <c r="AA62" s="12">
        <v>77.859814700000001</v>
      </c>
      <c r="AB62" s="12">
        <v>18.843888400000001</v>
      </c>
      <c r="AC62" s="12">
        <v>24.809700800000002</v>
      </c>
      <c r="AD62" s="12">
        <v>44.415478899999997</v>
      </c>
      <c r="AE62" s="12">
        <v>65.928709600000005</v>
      </c>
      <c r="AF62" s="12">
        <v>6.7964567999999996</v>
      </c>
      <c r="AG62" s="7" t="s">
        <v>107</v>
      </c>
    </row>
    <row r="63" spans="1:33" s="11" customFormat="1" outlineLevel="1" x14ac:dyDescent="0.3">
      <c r="A63" s="11" t="s">
        <v>69</v>
      </c>
      <c r="B63" s="12">
        <v>-1.0352741000000001</v>
      </c>
      <c r="C63" s="12">
        <v>97.9566667</v>
      </c>
      <c r="D63" s="12">
        <v>2.6440796999999998</v>
      </c>
      <c r="E63" s="17">
        <v>0.75</v>
      </c>
      <c r="F63" s="13">
        <v>109.61333329999999</v>
      </c>
      <c r="G63" s="12">
        <v>9.1986816000000005</v>
      </c>
      <c r="H63" s="12">
        <v>2.9410056999999998</v>
      </c>
      <c r="I63" s="12">
        <v>-3.2120209000000002</v>
      </c>
      <c r="J63" s="12">
        <v>0.30369620000000003</v>
      </c>
      <c r="K63" s="12">
        <v>3.1245514000000001</v>
      </c>
      <c r="L63" s="12">
        <v>3.6905858999999999</v>
      </c>
      <c r="M63" s="12">
        <v>8.9019776999999998</v>
      </c>
      <c r="N63" s="12">
        <v>3.7062124000000001</v>
      </c>
      <c r="O63" s="12">
        <v>10.3797614</v>
      </c>
      <c r="P63" s="7">
        <v>652.5</v>
      </c>
      <c r="Q63" s="7">
        <v>288.2</v>
      </c>
      <c r="R63" s="7">
        <v>30.7</v>
      </c>
      <c r="S63" s="12">
        <v>0.23912729999999999</v>
      </c>
      <c r="T63" s="12">
        <v>3.73</v>
      </c>
      <c r="U63" s="12">
        <v>97.785610599999998</v>
      </c>
      <c r="V63" s="12">
        <v>61.525266700000003</v>
      </c>
      <c r="W63" s="12">
        <v>-3.3898305</v>
      </c>
      <c r="X63" s="12">
        <v>1.390236</v>
      </c>
      <c r="Y63" s="12">
        <v>0.84625349999999999</v>
      </c>
      <c r="Z63" s="12">
        <v>3.2524926999999999</v>
      </c>
      <c r="AA63" s="12">
        <v>70.684621199999995</v>
      </c>
      <c r="AB63" s="12">
        <v>17.3081532</v>
      </c>
      <c r="AC63" s="12">
        <v>29.529702499999999</v>
      </c>
      <c r="AD63" s="12">
        <v>46.867166300000001</v>
      </c>
      <c r="AE63" s="12">
        <v>64.389481200000006</v>
      </c>
      <c r="AF63" s="12">
        <v>6.6547394000000004</v>
      </c>
      <c r="AG63" s="7" t="s">
        <v>107</v>
      </c>
    </row>
    <row r="64" spans="1:33" s="11" customFormat="1" outlineLevel="1" x14ac:dyDescent="0.3">
      <c r="A64" s="11" t="s">
        <v>70</v>
      </c>
      <c r="B64" s="12">
        <v>-0.98067590000000004</v>
      </c>
      <c r="C64" s="12">
        <v>98.773333300000004</v>
      </c>
      <c r="D64" s="12">
        <v>2.4513362999999999</v>
      </c>
      <c r="E64" s="17">
        <v>0.75</v>
      </c>
      <c r="F64" s="13">
        <v>110.08666669999999</v>
      </c>
      <c r="G64" s="12">
        <v>10.9451138</v>
      </c>
      <c r="H64" s="12">
        <v>1.2706336</v>
      </c>
      <c r="I64" s="12">
        <v>-4.6318668000000001</v>
      </c>
      <c r="J64" s="12">
        <v>-1.5722430000000001</v>
      </c>
      <c r="K64" s="12">
        <v>1.6662444999999999</v>
      </c>
      <c r="L64" s="12">
        <v>3.1072582999999998</v>
      </c>
      <c r="M64" s="12">
        <v>8.7107191999999998</v>
      </c>
      <c r="N64" s="12">
        <v>5.1884550000000003</v>
      </c>
      <c r="O64" s="12">
        <v>11.8321016</v>
      </c>
      <c r="P64" s="7">
        <v>657.8</v>
      </c>
      <c r="Q64" s="7">
        <v>290.3</v>
      </c>
      <c r="R64" s="7">
        <v>30.6</v>
      </c>
      <c r="S64" s="12">
        <v>0.35309740000000001</v>
      </c>
      <c r="T64" s="12">
        <v>3.73</v>
      </c>
      <c r="U64" s="12">
        <v>99.377843999999996</v>
      </c>
      <c r="V64" s="12">
        <v>61.500599999999999</v>
      </c>
      <c r="W64" s="12">
        <v>-1.008345</v>
      </c>
      <c r="X64" s="12">
        <v>-0.9765026</v>
      </c>
      <c r="Y64" s="12">
        <v>7.0655711999999999</v>
      </c>
      <c r="Z64" s="12">
        <v>-6.1405479999999999</v>
      </c>
      <c r="AA64" s="12">
        <v>70.605827500000004</v>
      </c>
      <c r="AB64" s="12">
        <v>18.117532400000002</v>
      </c>
      <c r="AC64" s="12">
        <v>35.171965700000001</v>
      </c>
      <c r="AD64" s="12">
        <v>44.669636099999998</v>
      </c>
      <c r="AE64" s="12">
        <v>68.565446499999993</v>
      </c>
      <c r="AF64" s="12">
        <v>6.4566555000000001</v>
      </c>
      <c r="AG64" s="7" t="s">
        <v>107</v>
      </c>
    </row>
    <row r="65" spans="1:33" s="11" customFormat="1" outlineLevel="1" x14ac:dyDescent="0.3">
      <c r="A65" s="11" t="s">
        <v>71</v>
      </c>
      <c r="B65" s="12">
        <v>-1.6415721999999999</v>
      </c>
      <c r="C65" s="12">
        <v>98.726666699999996</v>
      </c>
      <c r="D65" s="12">
        <v>1.9868463000000001</v>
      </c>
      <c r="E65" s="17">
        <v>0.75</v>
      </c>
      <c r="F65" s="13">
        <v>112.4933333</v>
      </c>
      <c r="G65" s="12">
        <v>13.813036800000001</v>
      </c>
      <c r="H65" s="12">
        <v>-5.9008456999999996</v>
      </c>
      <c r="I65" s="12">
        <v>-10.463659099999999</v>
      </c>
      <c r="J65" s="12">
        <v>3.2010497999999998</v>
      </c>
      <c r="K65" s="12">
        <v>5.2608243999999997</v>
      </c>
      <c r="L65" s="12">
        <v>-4.9130415000000003</v>
      </c>
      <c r="M65" s="12">
        <v>-22.2385065</v>
      </c>
      <c r="N65" s="12">
        <v>-1.7732968</v>
      </c>
      <c r="O65" s="12">
        <v>-8.7826176</v>
      </c>
      <c r="P65" s="7">
        <v>668.9</v>
      </c>
      <c r="Q65" s="7">
        <v>284.8</v>
      </c>
      <c r="R65" s="7">
        <v>29.9</v>
      </c>
      <c r="S65" s="12">
        <v>1.1077136999999999</v>
      </c>
      <c r="T65" s="12">
        <v>3.42</v>
      </c>
      <c r="U65" s="12">
        <v>99.891369600000004</v>
      </c>
      <c r="V65" s="12">
        <v>61.586366699999999</v>
      </c>
      <c r="W65" s="12">
        <v>5.9128182999999996</v>
      </c>
      <c r="X65" s="12">
        <v>-0.20591609999999999</v>
      </c>
      <c r="Y65" s="12">
        <v>-3.4995135999999998</v>
      </c>
      <c r="Z65" s="12">
        <v>-6.1178565999999996</v>
      </c>
      <c r="AA65" s="12">
        <v>80.639572099999995</v>
      </c>
      <c r="AB65" s="12">
        <v>20.291284699999999</v>
      </c>
      <c r="AC65" s="12">
        <v>19.3989309</v>
      </c>
      <c r="AD65" s="12">
        <v>42.902102399999997</v>
      </c>
      <c r="AE65" s="12">
        <v>63.231981699999999</v>
      </c>
      <c r="AF65" s="12">
        <v>6.7472383999999996</v>
      </c>
      <c r="AG65" s="7" t="s">
        <v>107</v>
      </c>
    </row>
    <row r="66" spans="1:33" s="11" customFormat="1" outlineLevel="1" x14ac:dyDescent="0.3">
      <c r="A66" s="11" t="s">
        <v>72</v>
      </c>
      <c r="B66" s="12">
        <v>-0.1331087</v>
      </c>
      <c r="C66" s="12">
        <v>99.533333299999995</v>
      </c>
      <c r="D66" s="12">
        <v>1.5715355</v>
      </c>
      <c r="E66" s="17">
        <v>0.58333330000000005</v>
      </c>
      <c r="F66" s="13">
        <v>102.5766667</v>
      </c>
      <c r="G66" s="12">
        <v>-0.36998710000000001</v>
      </c>
      <c r="H66" s="12">
        <v>2.7658423999999999</v>
      </c>
      <c r="I66" s="12">
        <v>-1.8732473000000001</v>
      </c>
      <c r="J66" s="12">
        <v>2.8205884000000001</v>
      </c>
      <c r="K66" s="12">
        <v>3.7469043000000002</v>
      </c>
      <c r="L66" s="12">
        <v>-1.4232731999999999</v>
      </c>
      <c r="M66" s="12">
        <v>8.4818587000000001</v>
      </c>
      <c r="N66" s="12">
        <v>8.4218340999999999</v>
      </c>
      <c r="O66" s="12">
        <v>9.6299174000000001</v>
      </c>
      <c r="P66" s="7">
        <v>678.4</v>
      </c>
      <c r="Q66" s="7">
        <v>273.89999999999998</v>
      </c>
      <c r="R66" s="7">
        <v>28.8</v>
      </c>
      <c r="S66" s="12">
        <v>1.7504896000000001</v>
      </c>
      <c r="T66" s="12">
        <v>3.21</v>
      </c>
      <c r="U66" s="12">
        <v>101.27393859999999</v>
      </c>
      <c r="V66" s="12">
        <v>61.657533299999997</v>
      </c>
      <c r="W66" s="12">
        <v>3.7701316999999999</v>
      </c>
      <c r="X66" s="12">
        <v>6.1027145000000003</v>
      </c>
      <c r="Y66" s="12">
        <v>4.3651787999999998</v>
      </c>
      <c r="Z66" s="12">
        <v>-5.3293116999999999</v>
      </c>
      <c r="AA66" s="12">
        <v>75.435792300000003</v>
      </c>
      <c r="AB66" s="12">
        <v>16.8622795</v>
      </c>
      <c r="AC66" s="12">
        <v>28.1720881</v>
      </c>
      <c r="AD66" s="12">
        <v>41.781793299999997</v>
      </c>
      <c r="AE66" s="12">
        <v>62.251953299999997</v>
      </c>
      <c r="AF66" s="12">
        <v>7.4652129</v>
      </c>
      <c r="AG66" s="7" t="s">
        <v>107</v>
      </c>
    </row>
    <row r="67" spans="1:33" s="11" customFormat="1" outlineLevel="1" x14ac:dyDescent="0.3">
      <c r="A67" s="11" t="s">
        <v>73</v>
      </c>
      <c r="B67" s="12">
        <v>0.53477319999999995</v>
      </c>
      <c r="C67" s="12">
        <v>99.423333299999996</v>
      </c>
      <c r="D67" s="12">
        <v>1.4972605999999999</v>
      </c>
      <c r="E67" s="17">
        <v>0.5</v>
      </c>
      <c r="F67" s="13">
        <v>110.27</v>
      </c>
      <c r="G67" s="12">
        <v>-1.2175324999999999</v>
      </c>
      <c r="H67" s="12">
        <v>4.2981639999999999</v>
      </c>
      <c r="I67" s="12">
        <v>-1.4976501</v>
      </c>
      <c r="J67" s="12">
        <v>4.8902307</v>
      </c>
      <c r="K67" s="12">
        <v>-0.93482399999999999</v>
      </c>
      <c r="L67" s="12">
        <v>3.9605106000000001</v>
      </c>
      <c r="M67" s="12">
        <v>7.9792519999999998</v>
      </c>
      <c r="N67" s="12">
        <v>7.7600859</v>
      </c>
      <c r="O67" s="12">
        <v>2.3357787999999999</v>
      </c>
      <c r="P67" s="7">
        <v>682.4</v>
      </c>
      <c r="Q67" s="7">
        <v>275</v>
      </c>
      <c r="R67" s="7">
        <v>28.7</v>
      </c>
      <c r="S67" s="12">
        <v>1.039193</v>
      </c>
      <c r="T67" s="12">
        <v>3.25</v>
      </c>
      <c r="U67" s="12">
        <v>100.51732389999999</v>
      </c>
      <c r="V67" s="12">
        <v>61.548833299999998</v>
      </c>
      <c r="W67" s="12">
        <v>2.0530048000000001</v>
      </c>
      <c r="X67" s="12">
        <v>3.1930272</v>
      </c>
      <c r="Y67" s="12">
        <v>-2.6335753999999998</v>
      </c>
      <c r="Z67" s="12">
        <v>6.2181828000000001</v>
      </c>
      <c r="AA67" s="12">
        <v>67.062301599999998</v>
      </c>
      <c r="AB67" s="12">
        <v>16.2016296</v>
      </c>
      <c r="AC67" s="12">
        <v>30.0321198</v>
      </c>
      <c r="AD67" s="12">
        <v>45.679626499999998</v>
      </c>
      <c r="AE67" s="12">
        <v>58.975677500000003</v>
      </c>
      <c r="AF67" s="12">
        <v>8.0556636000000008</v>
      </c>
      <c r="AG67" s="7" t="s">
        <v>107</v>
      </c>
    </row>
    <row r="68" spans="1:33" s="11" customFormat="1" outlineLevel="1" x14ac:dyDescent="0.3">
      <c r="A68" s="11" t="s">
        <v>74</v>
      </c>
      <c r="B68" s="12">
        <v>0.83200640000000003</v>
      </c>
      <c r="C68" s="12">
        <v>99.72</v>
      </c>
      <c r="D68" s="12">
        <v>0.95842340000000004</v>
      </c>
      <c r="E68" s="17">
        <v>0.3333333</v>
      </c>
      <c r="F68" s="13">
        <v>109.21</v>
      </c>
      <c r="G68" s="12">
        <v>-1.761668</v>
      </c>
      <c r="H68" s="12">
        <v>4.2401837000000002</v>
      </c>
      <c r="I68" s="12">
        <v>-2.6021306000000002</v>
      </c>
      <c r="J68" s="12">
        <v>0.82343849999999996</v>
      </c>
      <c r="K68" s="12">
        <v>-0.38921109999999998</v>
      </c>
      <c r="L68" s="12">
        <v>4.2652372999999999</v>
      </c>
      <c r="M68" s="12">
        <v>7.2891602000000004</v>
      </c>
      <c r="N68" s="12">
        <v>8.8359162999999992</v>
      </c>
      <c r="O68" s="12">
        <v>4.4915291000000002</v>
      </c>
      <c r="P68" s="7">
        <v>685.5</v>
      </c>
      <c r="Q68" s="7">
        <v>275.2</v>
      </c>
      <c r="R68" s="7">
        <v>28.7</v>
      </c>
      <c r="S68" s="12">
        <v>0.74459839999999999</v>
      </c>
      <c r="T68" s="12">
        <v>3.25</v>
      </c>
      <c r="U68" s="12">
        <v>100.6540615</v>
      </c>
      <c r="V68" s="12">
        <v>61.5411</v>
      </c>
      <c r="W68" s="12">
        <v>1.6508605999999999</v>
      </c>
      <c r="X68" s="12">
        <v>8.9658814000000007</v>
      </c>
      <c r="Y68" s="12">
        <v>-2.4454161000000001</v>
      </c>
      <c r="Z68" s="12">
        <v>-2.1963878999999999</v>
      </c>
      <c r="AA68" s="12">
        <v>65.594580899999997</v>
      </c>
      <c r="AB68" s="12">
        <v>17.123556399999998</v>
      </c>
      <c r="AC68" s="12">
        <v>35.873220699999997</v>
      </c>
      <c r="AD68" s="12">
        <v>43.104204600000003</v>
      </c>
      <c r="AE68" s="12">
        <v>61.695637300000001</v>
      </c>
      <c r="AF68" s="12">
        <v>10.160038399999999</v>
      </c>
      <c r="AG68" s="7" t="s">
        <v>107</v>
      </c>
    </row>
    <row r="69" spans="1:33" s="11" customFormat="1" outlineLevel="1" x14ac:dyDescent="0.3">
      <c r="A69" s="11" t="s">
        <v>75</v>
      </c>
      <c r="B69" s="12">
        <v>1.8456245</v>
      </c>
      <c r="C69" s="12">
        <v>99.49</v>
      </c>
      <c r="D69" s="12">
        <v>0.77317840000000004</v>
      </c>
      <c r="E69" s="17">
        <v>0.25</v>
      </c>
      <c r="F69" s="13">
        <v>108.16666669999999</v>
      </c>
      <c r="G69" s="12">
        <v>5.0355536000000001</v>
      </c>
      <c r="H69" s="12">
        <v>7.8811973999999996</v>
      </c>
      <c r="I69" s="12">
        <v>-9.2277965999999996</v>
      </c>
      <c r="J69" s="12">
        <v>3.3425541999999999</v>
      </c>
      <c r="K69" s="12">
        <v>0.17067389999999999</v>
      </c>
      <c r="L69" s="12">
        <v>10.2905807</v>
      </c>
      <c r="M69" s="12">
        <v>39.208936600000001</v>
      </c>
      <c r="N69" s="12">
        <v>19.6351297</v>
      </c>
      <c r="O69" s="12">
        <v>23.659900700000001</v>
      </c>
      <c r="P69" s="7">
        <v>686.3</v>
      </c>
      <c r="Q69" s="7">
        <v>272.10000000000002</v>
      </c>
      <c r="R69" s="7">
        <v>28.4</v>
      </c>
      <c r="S69" s="12">
        <v>-0.28519460000000002</v>
      </c>
      <c r="T69" s="12">
        <v>3.25</v>
      </c>
      <c r="U69" s="12">
        <v>100.4626289</v>
      </c>
      <c r="V69" s="12">
        <v>61.649266699999998</v>
      </c>
      <c r="W69" s="12">
        <v>3.4229829000000001</v>
      </c>
      <c r="X69" s="12">
        <v>15.335370299999999</v>
      </c>
      <c r="Y69" s="12">
        <v>10.400199799999999</v>
      </c>
      <c r="Z69" s="12">
        <v>-5.4932293999999997</v>
      </c>
      <c r="AA69" s="12">
        <v>70.642150900000004</v>
      </c>
      <c r="AB69" s="12">
        <v>18.690741599999999</v>
      </c>
      <c r="AC69" s="12">
        <v>29.341277699999999</v>
      </c>
      <c r="AD69" s="12">
        <v>44.549866299999998</v>
      </c>
      <c r="AE69" s="12">
        <v>63.224119399999999</v>
      </c>
      <c r="AF69" s="12">
        <v>11.2738034</v>
      </c>
      <c r="AG69" s="7" t="s">
        <v>107</v>
      </c>
    </row>
    <row r="70" spans="1:33" s="11" customFormat="1" outlineLevel="1" x14ac:dyDescent="0.3">
      <c r="A70" s="11" t="s">
        <v>76</v>
      </c>
      <c r="B70" s="12">
        <v>1.1953549000000001</v>
      </c>
      <c r="C70" s="12">
        <v>100.22333329999999</v>
      </c>
      <c r="D70" s="12">
        <v>0.69323509999999999</v>
      </c>
      <c r="E70" s="17">
        <v>0.21666669999999999</v>
      </c>
      <c r="F70" s="13">
        <v>109.7</v>
      </c>
      <c r="G70" s="12">
        <v>3.5603916</v>
      </c>
      <c r="H70" s="12">
        <v>0.39318839999999999</v>
      </c>
      <c r="I70" s="12">
        <v>-2.6969615999999998</v>
      </c>
      <c r="J70" s="12">
        <v>4.3919781999999996</v>
      </c>
      <c r="K70" s="12">
        <v>2.2199727</v>
      </c>
      <c r="L70" s="12">
        <v>3.6217304000000001</v>
      </c>
      <c r="M70" s="12">
        <v>11.659588100000001</v>
      </c>
      <c r="N70" s="12">
        <v>15.164535000000001</v>
      </c>
      <c r="O70" s="12">
        <v>11.5377495</v>
      </c>
      <c r="P70" s="7">
        <v>687.4</v>
      </c>
      <c r="Q70" s="7">
        <v>270.3</v>
      </c>
      <c r="R70" s="7">
        <v>28.2</v>
      </c>
      <c r="S70" s="12">
        <v>0.55267029999999995</v>
      </c>
      <c r="T70" s="12">
        <v>3.25</v>
      </c>
      <c r="U70" s="12">
        <v>100.3532388</v>
      </c>
      <c r="V70" s="12">
        <v>61.654400000000003</v>
      </c>
      <c r="W70" s="12">
        <v>5.5026454999999999</v>
      </c>
      <c r="X70" s="12">
        <v>17.851369399999999</v>
      </c>
      <c r="Y70" s="12">
        <v>11.4857019</v>
      </c>
      <c r="Z70" s="12">
        <v>-3.6433635999999998</v>
      </c>
      <c r="AA70" s="12">
        <v>72.980630399999995</v>
      </c>
      <c r="AB70" s="12">
        <v>16.589702800000001</v>
      </c>
      <c r="AC70" s="12">
        <v>29.935678100000001</v>
      </c>
      <c r="AD70" s="12">
        <v>46.603437200000002</v>
      </c>
      <c r="AE70" s="12">
        <v>66.109522999999996</v>
      </c>
      <c r="AF70" s="12">
        <v>11.803001399999999</v>
      </c>
      <c r="AG70" s="7" t="s">
        <v>107</v>
      </c>
    </row>
    <row r="71" spans="1:33" s="11" customFormat="1" outlineLevel="1" x14ac:dyDescent="0.3">
      <c r="A71" s="11" t="s">
        <v>77</v>
      </c>
      <c r="B71" s="12">
        <v>1.5779679</v>
      </c>
      <c r="C71" s="12">
        <v>99.91</v>
      </c>
      <c r="D71" s="12">
        <v>0.48948940000000002</v>
      </c>
      <c r="E71" s="17">
        <v>0.1166667</v>
      </c>
      <c r="F71" s="13">
        <v>101.8233333</v>
      </c>
      <c r="G71" s="12">
        <v>-0.59572720000000001</v>
      </c>
      <c r="H71" s="12">
        <v>-2.6094480999999998</v>
      </c>
      <c r="I71" s="12">
        <v>-2.010329</v>
      </c>
      <c r="J71" s="12">
        <v>1.8581913000000001</v>
      </c>
      <c r="K71" s="12">
        <v>2.4280265000000001</v>
      </c>
      <c r="L71" s="12">
        <v>-5.4942902</v>
      </c>
      <c r="M71" s="12">
        <v>8.3110385999999998</v>
      </c>
      <c r="N71" s="12">
        <v>12.2920537</v>
      </c>
      <c r="O71" s="12">
        <v>10.0291367</v>
      </c>
      <c r="P71" s="7">
        <v>690.9</v>
      </c>
      <c r="Q71" s="7">
        <v>267.39999999999998</v>
      </c>
      <c r="R71" s="7">
        <v>27.9</v>
      </c>
      <c r="S71" s="12">
        <v>0.79563589999999995</v>
      </c>
      <c r="T71" s="12">
        <v>3.25</v>
      </c>
      <c r="U71" s="12">
        <v>100.1618062</v>
      </c>
      <c r="V71" s="12">
        <v>61.541733299999997</v>
      </c>
      <c r="W71" s="12">
        <v>5.4133139000000003</v>
      </c>
      <c r="X71" s="12">
        <v>14.493634399999999</v>
      </c>
      <c r="Y71" s="12">
        <v>11.193709500000001</v>
      </c>
      <c r="Z71" s="12">
        <v>6.4713918000000001</v>
      </c>
      <c r="AA71" s="12">
        <v>68.658776500000002</v>
      </c>
      <c r="AB71" s="12">
        <v>15.556188499999999</v>
      </c>
      <c r="AC71" s="12">
        <v>29.084152</v>
      </c>
      <c r="AD71" s="12">
        <v>50.856999700000003</v>
      </c>
      <c r="AE71" s="12">
        <v>64.156116699999998</v>
      </c>
      <c r="AF71" s="12">
        <v>12.2824446</v>
      </c>
      <c r="AG71" s="7" t="s">
        <v>107</v>
      </c>
    </row>
    <row r="72" spans="1:33" s="11" customFormat="1" outlineLevel="1" x14ac:dyDescent="0.3">
      <c r="A72" s="11" t="s">
        <v>78</v>
      </c>
      <c r="B72" s="12">
        <v>1.7505474000000001</v>
      </c>
      <c r="C72" s="12">
        <v>99.97</v>
      </c>
      <c r="D72" s="12">
        <v>0.25070199999999998</v>
      </c>
      <c r="E72" s="17">
        <v>0.05</v>
      </c>
      <c r="F72" s="13">
        <v>76.4033333</v>
      </c>
      <c r="G72" s="12">
        <v>13.1104451</v>
      </c>
      <c r="H72" s="12">
        <v>11.136485800000001</v>
      </c>
      <c r="I72" s="12">
        <v>-3.377313</v>
      </c>
      <c r="J72" s="12">
        <v>4.9557848</v>
      </c>
      <c r="K72" s="12">
        <v>3.8629859</v>
      </c>
      <c r="L72" s="12">
        <v>4.1641393000000004</v>
      </c>
      <c r="M72" s="12">
        <v>-5.8835154000000003</v>
      </c>
      <c r="N72" s="12">
        <v>19.667172000000001</v>
      </c>
      <c r="O72" s="12">
        <v>13.4716059</v>
      </c>
      <c r="P72" s="7">
        <v>696</v>
      </c>
      <c r="Q72" s="7">
        <v>265.39999999999998</v>
      </c>
      <c r="R72" s="7">
        <v>27.6</v>
      </c>
      <c r="S72" s="12">
        <v>2.7812193000000001</v>
      </c>
      <c r="T72" s="12">
        <v>3.25</v>
      </c>
      <c r="U72" s="12">
        <v>100.225617</v>
      </c>
      <c r="V72" s="12">
        <v>61.648699999999998</v>
      </c>
      <c r="W72" s="12">
        <v>4.6302694999999998</v>
      </c>
      <c r="X72" s="12">
        <v>15.7209381</v>
      </c>
      <c r="Y72" s="12">
        <v>10.0936494</v>
      </c>
      <c r="Z72" s="12">
        <v>0.68334589999999995</v>
      </c>
      <c r="AA72" s="12">
        <v>67.107280900000006</v>
      </c>
      <c r="AB72" s="12">
        <v>17.749728099999999</v>
      </c>
      <c r="AC72" s="12">
        <v>32.646781400000002</v>
      </c>
      <c r="AD72" s="12">
        <v>48.309503300000003</v>
      </c>
      <c r="AE72" s="12">
        <v>65.813077300000003</v>
      </c>
      <c r="AF72" s="12">
        <v>11.836136099999999</v>
      </c>
      <c r="AG72" s="7" t="s">
        <v>107</v>
      </c>
    </row>
    <row r="73" spans="1:33" s="11" customFormat="1" outlineLevel="1" x14ac:dyDescent="0.3">
      <c r="A73" s="11" t="s">
        <v>79</v>
      </c>
      <c r="B73" s="12">
        <v>2.0633189000000001</v>
      </c>
      <c r="C73" s="12">
        <v>99.203333299999997</v>
      </c>
      <c r="D73" s="12">
        <v>-0.28813620000000001</v>
      </c>
      <c r="E73" s="17">
        <v>0.05</v>
      </c>
      <c r="F73" s="13">
        <v>53.9166667</v>
      </c>
      <c r="G73" s="12">
        <v>1.5013354999999999</v>
      </c>
      <c r="H73" s="12">
        <v>16.995447599999999</v>
      </c>
      <c r="I73" s="12">
        <v>-4.9058155000000001</v>
      </c>
      <c r="J73" s="12">
        <v>3.0318044</v>
      </c>
      <c r="K73" s="12">
        <v>3.2674610999999998</v>
      </c>
      <c r="L73" s="12">
        <v>-0.46094980000000002</v>
      </c>
      <c r="M73" s="12">
        <v>5.6355630000000003</v>
      </c>
      <c r="N73" s="12">
        <v>9.7489019999999993</v>
      </c>
      <c r="O73" s="12">
        <v>8.1255126000000004</v>
      </c>
      <c r="P73" s="7">
        <v>697.2</v>
      </c>
      <c r="Q73" s="7">
        <v>262.10000000000002</v>
      </c>
      <c r="R73" s="7">
        <v>27.4</v>
      </c>
      <c r="S73" s="12">
        <v>2.1348242000000002</v>
      </c>
      <c r="T73" s="12">
        <v>3.25</v>
      </c>
      <c r="U73" s="12">
        <v>99.590546900000007</v>
      </c>
      <c r="V73" s="12">
        <v>61.550166699999998</v>
      </c>
      <c r="W73" s="12">
        <v>1.536643</v>
      </c>
      <c r="X73" s="12">
        <v>13.0944872</v>
      </c>
      <c r="Y73" s="12">
        <v>5.5554658000000003</v>
      </c>
      <c r="Z73" s="12">
        <v>-2.8594795999999998</v>
      </c>
      <c r="AA73" s="12">
        <v>70.597807200000005</v>
      </c>
      <c r="AB73" s="12">
        <v>17.876757399999999</v>
      </c>
      <c r="AC73" s="12">
        <v>26.916273400000001</v>
      </c>
      <c r="AD73" s="12">
        <v>47.116694699999996</v>
      </c>
      <c r="AE73" s="12">
        <v>62.507454899999999</v>
      </c>
      <c r="AF73" s="12">
        <v>12.1329242</v>
      </c>
      <c r="AG73" s="7" t="s">
        <v>107</v>
      </c>
    </row>
    <row r="74" spans="1:33" s="11" customFormat="1" outlineLevel="1" x14ac:dyDescent="0.3">
      <c r="A74" s="11" t="s">
        <v>80</v>
      </c>
      <c r="B74" s="12">
        <v>2.2703967</v>
      </c>
      <c r="C74" s="12">
        <v>100.5233333</v>
      </c>
      <c r="D74" s="12">
        <v>0.29933149999999997</v>
      </c>
      <c r="E74" s="17">
        <v>0.05</v>
      </c>
      <c r="F74" s="13">
        <v>61.693333299999999</v>
      </c>
      <c r="G74" s="12">
        <v>9.2632528999999995</v>
      </c>
      <c r="H74" s="12">
        <v>11.2943707</v>
      </c>
      <c r="I74" s="12">
        <v>-2.3196523999999998</v>
      </c>
      <c r="J74" s="12">
        <v>0.90913449999999996</v>
      </c>
      <c r="K74" s="12">
        <v>4.3869864999999999</v>
      </c>
      <c r="L74" s="12">
        <v>4.7772309999999996</v>
      </c>
      <c r="M74" s="12">
        <v>-9.5849018000000008</v>
      </c>
      <c r="N74" s="12">
        <v>11.475624099999999</v>
      </c>
      <c r="O74" s="12">
        <v>8.2602057000000002</v>
      </c>
      <c r="P74" s="7">
        <v>699.6</v>
      </c>
      <c r="Q74" s="7">
        <v>256.60000000000002</v>
      </c>
      <c r="R74" s="7">
        <v>26.9</v>
      </c>
      <c r="S74" s="12">
        <v>3.3405691000000002</v>
      </c>
      <c r="T74" s="12">
        <v>3.25</v>
      </c>
      <c r="U74" s="12">
        <v>100.6024051</v>
      </c>
      <c r="V74" s="12">
        <v>61.6287333</v>
      </c>
      <c r="W74" s="12">
        <v>0.13373450000000001</v>
      </c>
      <c r="X74" s="12">
        <v>9.2152478000000002</v>
      </c>
      <c r="Y74" s="12">
        <v>2.983717</v>
      </c>
      <c r="Z74" s="12">
        <v>-3.9686173</v>
      </c>
      <c r="AA74" s="12">
        <v>74.348966500000003</v>
      </c>
      <c r="AB74" s="12">
        <v>17.095694300000002</v>
      </c>
      <c r="AC74" s="12">
        <v>25.508756699999999</v>
      </c>
      <c r="AD74" s="12">
        <v>48.854761699999997</v>
      </c>
      <c r="AE74" s="12">
        <v>65.808179199999998</v>
      </c>
      <c r="AF74" s="12">
        <v>12.3858215</v>
      </c>
      <c r="AG74" s="7" t="s">
        <v>107</v>
      </c>
    </row>
    <row r="75" spans="1:33" s="11" customFormat="1" outlineLevel="1" x14ac:dyDescent="0.3">
      <c r="A75" s="11" t="s">
        <v>81</v>
      </c>
      <c r="B75" s="12">
        <v>2.2457793000000001</v>
      </c>
      <c r="C75" s="12">
        <v>100.1533333</v>
      </c>
      <c r="D75" s="12">
        <v>0.24355250000000001</v>
      </c>
      <c r="E75" s="17">
        <v>0.05</v>
      </c>
      <c r="F75" s="13">
        <v>50.233333299999998</v>
      </c>
      <c r="G75" s="12">
        <v>12.799648700000001</v>
      </c>
      <c r="H75" s="12">
        <v>9.1570412999999995</v>
      </c>
      <c r="I75" s="12">
        <v>-3.0316198999999999</v>
      </c>
      <c r="J75" s="12">
        <v>4.7912502999999997</v>
      </c>
      <c r="K75" s="12">
        <v>4.9738401000000003</v>
      </c>
      <c r="L75" s="12">
        <v>11.1516248</v>
      </c>
      <c r="M75" s="12">
        <v>1.3121171</v>
      </c>
      <c r="N75" s="12">
        <v>8.1985899</v>
      </c>
      <c r="O75" s="12">
        <v>7.5984150000000001</v>
      </c>
      <c r="P75" s="7">
        <v>711.4</v>
      </c>
      <c r="Q75" s="7">
        <v>243.2</v>
      </c>
      <c r="R75" s="7">
        <v>25.5</v>
      </c>
      <c r="S75" s="12">
        <v>3.3392517000000002</v>
      </c>
      <c r="T75" s="12">
        <v>3.25</v>
      </c>
      <c r="U75" s="12">
        <v>99.949103199999996</v>
      </c>
      <c r="V75" s="12">
        <v>61.611600000000003</v>
      </c>
      <c r="W75" s="12">
        <v>5.7945869999999999</v>
      </c>
      <c r="X75" s="12">
        <v>4.5378075999999998</v>
      </c>
      <c r="Y75" s="12">
        <v>2.9423330999999999</v>
      </c>
      <c r="Z75" s="12">
        <v>5.2014312</v>
      </c>
      <c r="AA75" s="12">
        <v>66.163764599999993</v>
      </c>
      <c r="AB75" s="12">
        <v>16.360301</v>
      </c>
      <c r="AC75" s="12">
        <v>28.9924687</v>
      </c>
      <c r="AD75" s="12">
        <v>50.253157299999998</v>
      </c>
      <c r="AE75" s="12">
        <v>61.769761199999998</v>
      </c>
      <c r="AF75" s="12">
        <v>12.791516400000001</v>
      </c>
      <c r="AG75" s="7" t="s">
        <v>107</v>
      </c>
    </row>
    <row r="76" spans="1:33" s="11" customFormat="1" outlineLevel="1" x14ac:dyDescent="0.3">
      <c r="A76" s="11" t="s">
        <v>82</v>
      </c>
      <c r="B76" s="12">
        <v>2.5478125</v>
      </c>
      <c r="C76" s="12">
        <v>100.1233333</v>
      </c>
      <c r="D76" s="12">
        <v>0.1533793</v>
      </c>
      <c r="E76" s="17">
        <v>0.05</v>
      </c>
      <c r="F76" s="13">
        <v>43.57</v>
      </c>
      <c r="G76" s="12">
        <v>7.0974047000000002</v>
      </c>
      <c r="H76" s="12">
        <v>5.7947540000000002</v>
      </c>
      <c r="I76" s="12">
        <v>-3.7477965000000002</v>
      </c>
      <c r="J76" s="12">
        <v>6.6664612999999999</v>
      </c>
      <c r="K76" s="12">
        <v>5.0281047000000001</v>
      </c>
      <c r="L76" s="12">
        <v>0.95981559999999999</v>
      </c>
      <c r="M76" s="12">
        <v>34.810707600000001</v>
      </c>
      <c r="N76" s="12">
        <v>5.1198877999999999</v>
      </c>
      <c r="O76" s="12">
        <v>15.0756826</v>
      </c>
      <c r="P76" s="7">
        <v>715.7</v>
      </c>
      <c r="Q76" s="7">
        <v>233.8</v>
      </c>
      <c r="R76" s="7">
        <v>24.7</v>
      </c>
      <c r="S76" s="12">
        <v>2.0076482000000002</v>
      </c>
      <c r="T76" s="12">
        <v>3.25</v>
      </c>
      <c r="U76" s="12">
        <v>99.857944900000007</v>
      </c>
      <c r="V76" s="12">
        <v>61.646500000000003</v>
      </c>
      <c r="W76" s="12">
        <v>11.690885099999999</v>
      </c>
      <c r="X76" s="12">
        <v>7.2168609000000004</v>
      </c>
      <c r="Y76" s="12">
        <v>12.5296576</v>
      </c>
      <c r="Z76" s="12">
        <v>-5.4544405999999999</v>
      </c>
      <c r="AA76" s="12">
        <v>64.756737599999994</v>
      </c>
      <c r="AB76" s="12">
        <v>16.680968700000001</v>
      </c>
      <c r="AC76" s="12">
        <v>39.382987499999999</v>
      </c>
      <c r="AD76" s="12">
        <v>48.565932799999999</v>
      </c>
      <c r="AE76" s="12">
        <v>69.3866266</v>
      </c>
      <c r="AF76" s="12">
        <v>12.8513412</v>
      </c>
      <c r="AG76" s="7" t="s">
        <v>107</v>
      </c>
    </row>
    <row r="77" spans="1:33" s="11" customFormat="1" outlineLevel="1" x14ac:dyDescent="0.3">
      <c r="A77" s="11" t="s">
        <v>83</v>
      </c>
      <c r="B77" s="12">
        <v>1.9366078</v>
      </c>
      <c r="C77" s="12">
        <v>99.246666700000006</v>
      </c>
      <c r="D77" s="12">
        <v>4.3681400000000002E-2</v>
      </c>
      <c r="E77" s="17">
        <v>3.3333300000000003E-2</v>
      </c>
      <c r="F77" s="13">
        <v>33.696666700000002</v>
      </c>
      <c r="G77" s="12">
        <v>4.8502722</v>
      </c>
      <c r="H77" s="12">
        <v>7.4221127999999998</v>
      </c>
      <c r="I77" s="12">
        <v>-4.1523250999999997</v>
      </c>
      <c r="J77" s="12">
        <v>1.4251084999999999</v>
      </c>
      <c r="K77" s="12">
        <v>2.6174493999999999</v>
      </c>
      <c r="L77" s="12">
        <v>-0.98607690000000003</v>
      </c>
      <c r="M77" s="12">
        <v>8.9905279</v>
      </c>
      <c r="N77" s="12">
        <v>13.234336900000001</v>
      </c>
      <c r="O77" s="12">
        <v>14.299312799999999</v>
      </c>
      <c r="P77" s="7">
        <v>714.4</v>
      </c>
      <c r="Q77" s="7">
        <v>231.4</v>
      </c>
      <c r="R77" s="7">
        <v>24.5</v>
      </c>
      <c r="S77" s="12">
        <v>2.6164510999999999</v>
      </c>
      <c r="T77" s="12">
        <v>4</v>
      </c>
      <c r="U77" s="12">
        <v>99.554083500000004</v>
      </c>
      <c r="V77" s="12">
        <v>61.676466699999999</v>
      </c>
      <c r="W77" s="12">
        <v>10.671323299999999</v>
      </c>
      <c r="X77" s="12">
        <v>13.5101151</v>
      </c>
      <c r="Y77" s="12">
        <v>8.1284880000000008</v>
      </c>
      <c r="Z77" s="12">
        <v>-1.8620137000000001</v>
      </c>
      <c r="AA77" s="12">
        <v>71.528903099999994</v>
      </c>
      <c r="AB77" s="12">
        <v>16.7692774</v>
      </c>
      <c r="AC77" s="12">
        <v>24.7663534</v>
      </c>
      <c r="AD77" s="12">
        <v>50.780614999999997</v>
      </c>
      <c r="AE77" s="12">
        <v>63.845222499999998</v>
      </c>
      <c r="AF77" s="12">
        <v>13.033082</v>
      </c>
      <c r="AG77" s="7" t="s">
        <v>107</v>
      </c>
    </row>
    <row r="78" spans="1:33" s="11" customFormat="1" outlineLevel="1" x14ac:dyDescent="0.3">
      <c r="A78" s="11" t="s">
        <v>84</v>
      </c>
      <c r="B78" s="12">
        <v>2.4666936000000002</v>
      </c>
      <c r="C78" s="12">
        <v>100.42</v>
      </c>
      <c r="D78" s="12">
        <v>-0.10279530000000001</v>
      </c>
      <c r="E78" s="17">
        <v>0</v>
      </c>
      <c r="F78" s="13">
        <v>45.523333299999997</v>
      </c>
      <c r="G78" s="12">
        <v>-1.9347287</v>
      </c>
      <c r="H78" s="12">
        <v>2.6516652999999999</v>
      </c>
      <c r="I78" s="12">
        <v>-0.89502459999999995</v>
      </c>
      <c r="J78" s="12">
        <v>2.5337152000000001</v>
      </c>
      <c r="K78" s="12">
        <v>0.62890979999999996</v>
      </c>
      <c r="L78" s="12">
        <v>-7.4471325999999998</v>
      </c>
      <c r="M78" s="12">
        <v>31.376026100000001</v>
      </c>
      <c r="N78" s="12">
        <v>5.4535384000000002</v>
      </c>
      <c r="O78" s="12">
        <v>11.7482153</v>
      </c>
      <c r="P78" s="7">
        <v>720.7</v>
      </c>
      <c r="Q78" s="7">
        <v>227.7</v>
      </c>
      <c r="R78" s="7">
        <v>24</v>
      </c>
      <c r="S78" s="12">
        <v>1.6204303</v>
      </c>
      <c r="T78" s="12">
        <v>4</v>
      </c>
      <c r="U78" s="12">
        <v>99.970373499999994</v>
      </c>
      <c r="V78" s="12">
        <v>61.689166700000001</v>
      </c>
      <c r="W78" s="12">
        <v>1.3021703</v>
      </c>
      <c r="X78" s="12">
        <v>6.2807164000000002</v>
      </c>
      <c r="Y78" s="12">
        <v>8.2259022000000002</v>
      </c>
      <c r="Z78" s="12">
        <v>-8.5164545999999994</v>
      </c>
      <c r="AA78" s="12">
        <v>70.068719000000002</v>
      </c>
      <c r="AB78" s="12">
        <v>15.2384279</v>
      </c>
      <c r="AC78" s="12">
        <v>32.669494899999997</v>
      </c>
      <c r="AD78" s="12">
        <v>49.3976902</v>
      </c>
      <c r="AE78" s="12">
        <v>67.374331900000001</v>
      </c>
      <c r="AF78" s="12">
        <v>8.7877098</v>
      </c>
      <c r="AG78" s="7" t="s">
        <v>107</v>
      </c>
    </row>
    <row r="79" spans="1:33" s="11" customFormat="1" outlineLevel="1" x14ac:dyDescent="0.3">
      <c r="A79" s="11" t="s">
        <v>85</v>
      </c>
      <c r="B79" s="12">
        <v>1.6225508</v>
      </c>
      <c r="C79" s="12">
        <v>100.42</v>
      </c>
      <c r="D79" s="12">
        <v>0.26625840000000001</v>
      </c>
      <c r="E79" s="17">
        <v>0</v>
      </c>
      <c r="F79" s="13">
        <v>45.786666699999998</v>
      </c>
      <c r="G79" s="12">
        <v>5.2350744999999996</v>
      </c>
      <c r="H79" s="12">
        <v>11.431042400000001</v>
      </c>
      <c r="I79" s="12">
        <v>-1.3921448000000001</v>
      </c>
      <c r="J79" s="12">
        <v>3.2172022</v>
      </c>
      <c r="K79" s="12">
        <v>6.0839881</v>
      </c>
      <c r="L79" s="12">
        <v>-7.0299984000000002</v>
      </c>
      <c r="M79" s="12">
        <v>16.792466099999999</v>
      </c>
      <c r="N79" s="12">
        <v>11.556942599999999</v>
      </c>
      <c r="O79" s="12">
        <v>16.335694100000001</v>
      </c>
      <c r="P79" s="7">
        <v>728</v>
      </c>
      <c r="Q79" s="7">
        <v>222</v>
      </c>
      <c r="R79" s="7">
        <v>23.4</v>
      </c>
      <c r="S79" s="12">
        <v>1.7077917</v>
      </c>
      <c r="T79" s="12">
        <v>4</v>
      </c>
      <c r="U79" s="12">
        <v>99.800211200000007</v>
      </c>
      <c r="V79" s="12">
        <v>61.521099999999997</v>
      </c>
      <c r="W79" s="12">
        <v>4.8868482000000002</v>
      </c>
      <c r="X79" s="12">
        <v>16.3598654</v>
      </c>
      <c r="Y79" s="12">
        <v>13.6507606</v>
      </c>
      <c r="Z79" s="12">
        <v>4.4959306000000003</v>
      </c>
      <c r="AA79" s="12">
        <v>63.610957499999998</v>
      </c>
      <c r="AB79" s="12">
        <v>14.523866999999999</v>
      </c>
      <c r="AC79" s="12">
        <v>32.968130600000002</v>
      </c>
      <c r="AD79" s="12">
        <v>53.443757400000003</v>
      </c>
      <c r="AE79" s="12">
        <v>64.5466476</v>
      </c>
      <c r="AF79" s="12">
        <v>7.2768169</v>
      </c>
      <c r="AG79" s="7" t="s">
        <v>107</v>
      </c>
    </row>
    <row r="80" spans="1:33" s="11" customFormat="1" outlineLevel="1" x14ac:dyDescent="0.3">
      <c r="A80" s="11" t="s">
        <v>86</v>
      </c>
      <c r="B80" s="12">
        <v>1.866331</v>
      </c>
      <c r="C80" s="12">
        <v>100.89333329999999</v>
      </c>
      <c r="D80" s="12">
        <v>0.7690515</v>
      </c>
      <c r="E80" s="17">
        <v>0</v>
      </c>
      <c r="F80" s="13">
        <v>49.186666700000004</v>
      </c>
      <c r="G80" s="12">
        <v>2.4212682000000001</v>
      </c>
      <c r="H80" s="12">
        <v>-0.50043420000000005</v>
      </c>
      <c r="I80" s="12">
        <v>-4.380439</v>
      </c>
      <c r="J80" s="12">
        <v>4.0745401000000001</v>
      </c>
      <c r="K80" s="12">
        <v>6.2644723999999998</v>
      </c>
      <c r="L80" s="12">
        <v>-4.0161338999999998</v>
      </c>
      <c r="M80" s="12">
        <v>-0.4149197</v>
      </c>
      <c r="N80" s="12">
        <v>6.6724630999999999</v>
      </c>
      <c r="O80" s="12">
        <v>3.8088285000000002</v>
      </c>
      <c r="P80" s="7">
        <v>731.1</v>
      </c>
      <c r="Q80" s="7">
        <v>219.1</v>
      </c>
      <c r="R80" s="7">
        <v>23.1</v>
      </c>
      <c r="S80" s="12">
        <v>2.1494642000000002</v>
      </c>
      <c r="T80" s="12">
        <v>3.75</v>
      </c>
      <c r="U80" s="12">
        <v>99.718168599999998</v>
      </c>
      <c r="V80" s="12">
        <v>61.4945667</v>
      </c>
      <c r="W80" s="12">
        <v>-1.8036664</v>
      </c>
      <c r="X80" s="12">
        <v>8.6756051999999997</v>
      </c>
      <c r="Y80" s="12">
        <v>4.0725011999999996</v>
      </c>
      <c r="Z80" s="12">
        <v>-4.7391734999999997</v>
      </c>
      <c r="AA80" s="12">
        <v>63.293757999999997</v>
      </c>
      <c r="AB80" s="12">
        <v>15.341097400000001</v>
      </c>
      <c r="AC80" s="12">
        <v>38.528112100000001</v>
      </c>
      <c r="AD80" s="12">
        <v>49.033051399999998</v>
      </c>
      <c r="AE80" s="12">
        <v>66.196081899999996</v>
      </c>
      <c r="AF80" s="12">
        <v>7.0262804000000001</v>
      </c>
      <c r="AG80" s="7" t="s">
        <v>107</v>
      </c>
    </row>
    <row r="81" spans="1:33" s="11" customFormat="1" outlineLevel="1" x14ac:dyDescent="0.3">
      <c r="A81" s="11" t="s">
        <v>87</v>
      </c>
      <c r="B81" s="12">
        <v>3.0351661999999999</v>
      </c>
      <c r="C81" s="12">
        <v>101</v>
      </c>
      <c r="D81" s="12">
        <v>1.766642</v>
      </c>
      <c r="E81" s="17">
        <v>0</v>
      </c>
      <c r="F81" s="13">
        <v>53.68</v>
      </c>
      <c r="G81" s="12">
        <v>0.1774201</v>
      </c>
      <c r="H81" s="12">
        <v>5.3002488999999997</v>
      </c>
      <c r="I81" s="12">
        <v>-2.4861244999999998</v>
      </c>
      <c r="J81" s="12">
        <v>3.9406029999999999</v>
      </c>
      <c r="K81" s="12">
        <v>1.0414515</v>
      </c>
      <c r="L81" s="12">
        <v>-2.0178511000000001</v>
      </c>
      <c r="M81" s="12">
        <v>21.131026899999998</v>
      </c>
      <c r="N81" s="12">
        <v>5.8258673999999999</v>
      </c>
      <c r="O81" s="12">
        <v>9.1862955999999993</v>
      </c>
      <c r="P81" s="7">
        <v>734</v>
      </c>
      <c r="Q81" s="7">
        <v>218.6</v>
      </c>
      <c r="R81" s="7">
        <v>23</v>
      </c>
      <c r="S81" s="12">
        <v>2.2665486000000001</v>
      </c>
      <c r="T81" s="12">
        <v>3.25</v>
      </c>
      <c r="U81" s="12">
        <v>100.0341844</v>
      </c>
      <c r="V81" s="12">
        <v>61.560600000000001</v>
      </c>
      <c r="W81" s="12">
        <v>-1.5778401</v>
      </c>
      <c r="X81" s="12">
        <v>11.679679800000001</v>
      </c>
      <c r="Y81" s="12">
        <v>14.178909000000001</v>
      </c>
      <c r="Z81" s="12">
        <v>-5.4789737000000001</v>
      </c>
      <c r="AA81" s="12">
        <v>64.834375699999995</v>
      </c>
      <c r="AB81" s="12">
        <v>16.074475</v>
      </c>
      <c r="AC81" s="12">
        <v>34.658917799999998</v>
      </c>
      <c r="AD81" s="12">
        <v>53.757317700000002</v>
      </c>
      <c r="AE81" s="12">
        <v>69.325155899999999</v>
      </c>
      <c r="AF81" s="12">
        <v>6.6133141000000002</v>
      </c>
      <c r="AG81" s="12">
        <v>38.814256299999997</v>
      </c>
    </row>
    <row r="82" spans="1:33" s="11" customFormat="1" outlineLevel="1" x14ac:dyDescent="0.3">
      <c r="A82" s="11" t="s">
        <v>88</v>
      </c>
      <c r="B82" s="12">
        <v>2.3084487</v>
      </c>
      <c r="C82" s="12">
        <v>102.11333329999999</v>
      </c>
      <c r="D82" s="12">
        <v>1.6862509999999999</v>
      </c>
      <c r="E82" s="17">
        <v>0</v>
      </c>
      <c r="F82" s="13">
        <v>49.67</v>
      </c>
      <c r="G82" s="12">
        <v>13.2181891</v>
      </c>
      <c r="H82" s="12">
        <v>5.3449857999999999</v>
      </c>
      <c r="I82" s="12">
        <v>-3.1465784000000001</v>
      </c>
      <c r="J82" s="12">
        <v>6.8109299999999998E-2</v>
      </c>
      <c r="K82" s="12">
        <v>3.4521223000000001</v>
      </c>
      <c r="L82" s="12">
        <v>-0.83887630000000002</v>
      </c>
      <c r="M82" s="12">
        <v>-13.7056196</v>
      </c>
      <c r="N82" s="12">
        <v>8.3555887999999996</v>
      </c>
      <c r="O82" s="12">
        <v>2.7332798</v>
      </c>
      <c r="P82" s="7">
        <v>739.9</v>
      </c>
      <c r="Q82" s="7">
        <v>215.8</v>
      </c>
      <c r="R82" s="7">
        <v>22.6</v>
      </c>
      <c r="S82" s="12">
        <v>2.2788599999999999</v>
      </c>
      <c r="T82" s="12">
        <v>3.25</v>
      </c>
      <c r="U82" s="12">
        <v>101.20405049999999</v>
      </c>
      <c r="V82" s="12">
        <v>61.643333300000002</v>
      </c>
      <c r="W82" s="12">
        <v>3.7244562000000001</v>
      </c>
      <c r="X82" s="12">
        <v>15.610950799999999</v>
      </c>
      <c r="Y82" s="12">
        <v>7.4910287000000002</v>
      </c>
      <c r="Z82" s="12">
        <v>-3.4202746999999998</v>
      </c>
      <c r="AA82" s="12">
        <v>70.963472899999999</v>
      </c>
      <c r="AB82" s="12">
        <v>15.1125361</v>
      </c>
      <c r="AC82" s="12">
        <v>28.563445300000001</v>
      </c>
      <c r="AD82" s="12">
        <v>56.035311200000002</v>
      </c>
      <c r="AE82" s="12">
        <v>70.674765500000007</v>
      </c>
      <c r="AF82" s="12">
        <v>9.5349181000000005</v>
      </c>
      <c r="AG82" s="12">
        <v>38.787490400000003</v>
      </c>
    </row>
    <row r="83" spans="1:33" s="11" customFormat="1" outlineLevel="1" x14ac:dyDescent="0.3">
      <c r="A83" s="11" t="s">
        <v>89</v>
      </c>
      <c r="B83" s="12">
        <v>3.0333996999999999</v>
      </c>
      <c r="C83" s="12">
        <v>102.1166667</v>
      </c>
      <c r="D83" s="12">
        <v>1.6895705000000001</v>
      </c>
      <c r="E83" s="17">
        <v>0</v>
      </c>
      <c r="F83" s="13">
        <v>52.11</v>
      </c>
      <c r="G83" s="12">
        <v>3.0313580999999998</v>
      </c>
      <c r="H83" s="12">
        <v>1.8078890000000001</v>
      </c>
      <c r="I83" s="12">
        <v>-1.7203714000000001</v>
      </c>
      <c r="J83" s="12">
        <v>0.18883269999999999</v>
      </c>
      <c r="K83" s="12">
        <v>1.7603375000000001</v>
      </c>
      <c r="L83" s="12">
        <v>-4.5974862999999999</v>
      </c>
      <c r="M83" s="12">
        <v>-13.879162600000001</v>
      </c>
      <c r="N83" s="12">
        <v>7.3699190999999997</v>
      </c>
      <c r="O83" s="12">
        <v>0.28232659999999998</v>
      </c>
      <c r="P83" s="7">
        <v>743.4</v>
      </c>
      <c r="Q83" s="7">
        <v>211.4</v>
      </c>
      <c r="R83" s="7">
        <v>22.1</v>
      </c>
      <c r="S83" s="12">
        <v>2.9145381000000001</v>
      </c>
      <c r="T83" s="12">
        <v>3.25</v>
      </c>
      <c r="U83" s="12">
        <v>101.33774940000001</v>
      </c>
      <c r="V83" s="12">
        <v>61.578833299999999</v>
      </c>
      <c r="W83" s="12">
        <v>-2.3764853000000001</v>
      </c>
      <c r="X83" s="12">
        <v>8.0061239000000004</v>
      </c>
      <c r="Y83" s="12">
        <v>2.9244055000000002</v>
      </c>
      <c r="Z83" s="12">
        <v>7.4870637999999996</v>
      </c>
      <c r="AA83" s="12">
        <v>65.1785809</v>
      </c>
      <c r="AB83" s="12">
        <v>13.745930100000001</v>
      </c>
      <c r="AC83" s="12">
        <v>29.565577999999999</v>
      </c>
      <c r="AD83" s="12">
        <v>56.462575700000002</v>
      </c>
      <c r="AE83" s="12">
        <v>64.9526647</v>
      </c>
      <c r="AF83" s="12">
        <v>9.8387297999999994</v>
      </c>
      <c r="AG83" s="12">
        <v>38.542886199999998</v>
      </c>
    </row>
    <row r="84" spans="1:33" s="11" customFormat="1" outlineLevel="1" x14ac:dyDescent="0.3">
      <c r="A84" s="11" t="s">
        <v>90</v>
      </c>
      <c r="B84" s="12">
        <v>2.9900169999999999</v>
      </c>
      <c r="C84" s="12">
        <v>102.6233333</v>
      </c>
      <c r="D84" s="12">
        <v>1.7146821999999999</v>
      </c>
      <c r="E84" s="17">
        <v>0</v>
      </c>
      <c r="F84" s="13">
        <v>61.53</v>
      </c>
      <c r="G84" s="12">
        <v>8.0266102000000004</v>
      </c>
      <c r="H84" s="12">
        <v>11.8848035</v>
      </c>
      <c r="I84" s="12">
        <v>-3.5545448999999998</v>
      </c>
      <c r="J84" s="12">
        <v>0.3834149</v>
      </c>
      <c r="K84" s="12">
        <v>1.9869891</v>
      </c>
      <c r="L84" s="12">
        <v>-2.7911315999999999</v>
      </c>
      <c r="M84" s="12">
        <v>-0.87785340000000001</v>
      </c>
      <c r="N84" s="12">
        <v>11.505395999999999</v>
      </c>
      <c r="O84" s="12">
        <v>9.0149904000000003</v>
      </c>
      <c r="P84" s="7">
        <v>745.2</v>
      </c>
      <c r="Q84" s="7">
        <v>208.5</v>
      </c>
      <c r="R84" s="7">
        <v>21.9</v>
      </c>
      <c r="S84" s="12">
        <v>3.0795620000000001</v>
      </c>
      <c r="T84" s="12">
        <v>3.25</v>
      </c>
      <c r="U84" s="12">
        <v>101.8603909</v>
      </c>
      <c r="V84" s="12">
        <v>61.5157667</v>
      </c>
      <c r="W84" s="12">
        <v>0.93345370000000005</v>
      </c>
      <c r="X84" s="12">
        <v>13.169615</v>
      </c>
      <c r="Y84" s="12">
        <v>9.3157907000000009</v>
      </c>
      <c r="Z84" s="12">
        <v>-2.2857756</v>
      </c>
      <c r="AA84" s="12">
        <v>65.717409099999998</v>
      </c>
      <c r="AB84" s="12">
        <v>14.878657</v>
      </c>
      <c r="AC84" s="12">
        <v>36.219796600000002</v>
      </c>
      <c r="AD84" s="12">
        <v>54.2637809</v>
      </c>
      <c r="AE84" s="12">
        <v>71.079643599999997</v>
      </c>
      <c r="AF84" s="12">
        <v>9.2103034000000008</v>
      </c>
      <c r="AG84" s="12">
        <v>39.379765399999997</v>
      </c>
    </row>
    <row r="85" spans="1:33" s="11" customFormat="1" outlineLevel="1" x14ac:dyDescent="0.3">
      <c r="A85" s="11" t="s">
        <v>91</v>
      </c>
      <c r="B85" s="12">
        <v>2.2828298</v>
      </c>
      <c r="C85" s="12">
        <v>102.5466667</v>
      </c>
      <c r="D85" s="12">
        <v>1.5313532000000001</v>
      </c>
      <c r="E85" s="17">
        <v>0</v>
      </c>
      <c r="F85" s="13">
        <v>66.806666699999994</v>
      </c>
      <c r="G85" s="12">
        <v>0.43628509999999998</v>
      </c>
      <c r="H85" s="12">
        <v>1.4859363000000001</v>
      </c>
      <c r="I85" s="12">
        <v>-2.0733872</v>
      </c>
      <c r="J85" s="12">
        <v>0.67201630000000001</v>
      </c>
      <c r="K85" s="12">
        <v>2.7638926000000001</v>
      </c>
      <c r="L85" s="12">
        <v>-1.3499504</v>
      </c>
      <c r="M85" s="12">
        <v>-5.6043611000000002</v>
      </c>
      <c r="N85" s="12">
        <v>11.281152799999999</v>
      </c>
      <c r="O85" s="12">
        <v>6.7463943000000004</v>
      </c>
      <c r="P85" s="7">
        <v>749.9</v>
      </c>
      <c r="Q85" s="7">
        <v>206.7</v>
      </c>
      <c r="R85" s="7">
        <v>21.6</v>
      </c>
      <c r="S85" s="12">
        <v>4.7065220999999999</v>
      </c>
      <c r="T85" s="12">
        <v>3</v>
      </c>
      <c r="U85" s="12">
        <v>101.7084603</v>
      </c>
      <c r="V85" s="12">
        <v>61.560699999999997</v>
      </c>
      <c r="W85" s="12">
        <v>5.2369076999999997</v>
      </c>
      <c r="X85" s="12">
        <v>12.5739929</v>
      </c>
      <c r="Y85" s="12">
        <v>9.5459844</v>
      </c>
      <c r="Z85" s="12">
        <v>-5.5117468000000001</v>
      </c>
      <c r="AA85" s="12">
        <v>65.422281400000003</v>
      </c>
      <c r="AB85" s="12">
        <v>15.1367853</v>
      </c>
      <c r="AC85" s="12">
        <v>34.047360300000001</v>
      </c>
      <c r="AD85" s="12">
        <v>57.400595899999999</v>
      </c>
      <c r="AE85" s="12">
        <v>72.007022899999996</v>
      </c>
      <c r="AF85" s="12">
        <v>9.3966791000000001</v>
      </c>
      <c r="AG85" s="12">
        <v>39.739044499999999</v>
      </c>
    </row>
    <row r="86" spans="1:33" s="11" customFormat="1" outlineLevel="1" x14ac:dyDescent="0.3">
      <c r="A86" s="11" t="s">
        <v>92</v>
      </c>
      <c r="B86" s="12">
        <v>2.5023559999999998</v>
      </c>
      <c r="C86" s="12">
        <v>104.0133333</v>
      </c>
      <c r="D86" s="12">
        <v>1.8606777000000001</v>
      </c>
      <c r="E86" s="17">
        <v>0</v>
      </c>
      <c r="F86" s="13">
        <v>74.5</v>
      </c>
      <c r="G86" s="12">
        <v>0.62633070000000002</v>
      </c>
      <c r="H86" s="12">
        <v>8.3394445000000008</v>
      </c>
      <c r="I86" s="12">
        <v>-0.86246429999999996</v>
      </c>
      <c r="J86" s="12">
        <v>2.8068605</v>
      </c>
      <c r="K86" s="12">
        <v>2.4084781</v>
      </c>
      <c r="L86" s="12">
        <v>3.1082016000000001</v>
      </c>
      <c r="M86" s="12">
        <v>-7.1450230000000001</v>
      </c>
      <c r="N86" s="12">
        <v>11.948854000000001</v>
      </c>
      <c r="O86" s="12">
        <v>5.2272569000000004</v>
      </c>
      <c r="P86" s="7">
        <v>755</v>
      </c>
      <c r="Q86" s="7">
        <v>202.4</v>
      </c>
      <c r="R86" s="7">
        <v>21.2</v>
      </c>
      <c r="S86" s="12">
        <v>6.1575987000000003</v>
      </c>
      <c r="T86" s="12">
        <v>3</v>
      </c>
      <c r="U86" s="12">
        <v>102.6990481</v>
      </c>
      <c r="V86" s="12">
        <v>61.5009333</v>
      </c>
      <c r="W86" s="12">
        <v>4.8935494000000004</v>
      </c>
      <c r="X86" s="12">
        <v>16.062130100000001</v>
      </c>
      <c r="Y86" s="12">
        <v>7.3422358000000001</v>
      </c>
      <c r="Z86" s="12">
        <v>1.4783904999999999</v>
      </c>
      <c r="AA86" s="12">
        <v>69.110704200000001</v>
      </c>
      <c r="AB86" s="12">
        <v>14.5002035</v>
      </c>
      <c r="AC86" s="12">
        <v>26.871133100000002</v>
      </c>
      <c r="AD86" s="12">
        <v>59.391499199999998</v>
      </c>
      <c r="AE86" s="12">
        <v>69.873601399999998</v>
      </c>
      <c r="AF86" s="12">
        <v>9.7178126000000002</v>
      </c>
      <c r="AG86" s="12">
        <v>40.014745900000001</v>
      </c>
    </row>
    <row r="87" spans="1:33" s="11" customFormat="1" outlineLevel="1" x14ac:dyDescent="0.3">
      <c r="A87" s="11" t="s">
        <v>93</v>
      </c>
      <c r="B87" s="12">
        <v>1.7229988000000001</v>
      </c>
      <c r="C87" s="12">
        <v>104.3666667</v>
      </c>
      <c r="D87" s="12">
        <v>2.2033621999999999</v>
      </c>
      <c r="E87" s="17">
        <v>0</v>
      </c>
      <c r="F87" s="13">
        <v>75.223333299999993</v>
      </c>
      <c r="G87" s="12">
        <v>2.3571157</v>
      </c>
      <c r="H87" s="12">
        <v>3.1210762000000001</v>
      </c>
      <c r="I87" s="12">
        <v>-1.4748778</v>
      </c>
      <c r="J87" s="12">
        <v>2.6929789999999998</v>
      </c>
      <c r="K87" s="12">
        <v>4.3477166</v>
      </c>
      <c r="L87" s="12">
        <v>4.8687367000000004</v>
      </c>
      <c r="M87" s="12">
        <v>1.9154268999999999</v>
      </c>
      <c r="N87" s="12">
        <v>9.1904547000000001</v>
      </c>
      <c r="O87" s="12">
        <v>10.2796898</v>
      </c>
      <c r="P87" s="7">
        <v>759.4</v>
      </c>
      <c r="Q87" s="7">
        <v>199.3</v>
      </c>
      <c r="R87" s="7">
        <v>20.8</v>
      </c>
      <c r="S87" s="12">
        <v>5.4968852000000004</v>
      </c>
      <c r="T87" s="12">
        <v>2.75</v>
      </c>
      <c r="U87" s="12">
        <v>102.8752877</v>
      </c>
      <c r="V87" s="12">
        <v>61.492933299999997</v>
      </c>
      <c r="W87" s="12">
        <v>5.0928892000000001</v>
      </c>
      <c r="X87" s="12">
        <v>16.213347599999999</v>
      </c>
      <c r="Y87" s="12">
        <v>12.7832407</v>
      </c>
      <c r="Z87" s="12">
        <v>7.8390212000000004</v>
      </c>
      <c r="AA87" s="12">
        <v>65.578202899999994</v>
      </c>
      <c r="AB87" s="12">
        <v>13.85173</v>
      </c>
      <c r="AC87" s="12">
        <v>27.4514171</v>
      </c>
      <c r="AD87" s="12">
        <v>62.861322700000002</v>
      </c>
      <c r="AE87" s="12">
        <v>69.7427323</v>
      </c>
      <c r="AF87" s="12">
        <v>10.103058799999999</v>
      </c>
      <c r="AG87" s="12">
        <v>40.032800399999999</v>
      </c>
    </row>
    <row r="88" spans="1:33" s="11" customFormat="1" outlineLevel="1" x14ac:dyDescent="0.3">
      <c r="A88" s="11" t="s">
        <v>94</v>
      </c>
      <c r="B88" s="12">
        <v>1.7730376000000001</v>
      </c>
      <c r="C88" s="12">
        <v>104.64</v>
      </c>
      <c r="D88" s="12">
        <v>1.9651152000000001</v>
      </c>
      <c r="E88" s="17">
        <v>0</v>
      </c>
      <c r="F88" s="13">
        <v>67.713333300000002</v>
      </c>
      <c r="G88" s="12">
        <v>3.4420190000000002</v>
      </c>
      <c r="H88" s="12">
        <v>6.4226774000000004</v>
      </c>
      <c r="I88" s="12">
        <v>-2.5597002999999998</v>
      </c>
      <c r="J88" s="12">
        <v>5.1501111999999996</v>
      </c>
      <c r="K88" s="12">
        <v>5.1251607000000003</v>
      </c>
      <c r="L88" s="12">
        <v>-0.20360880000000001</v>
      </c>
      <c r="M88" s="12">
        <v>15.196583</v>
      </c>
      <c r="N88" s="12">
        <v>18.483798799999999</v>
      </c>
      <c r="O88" s="12">
        <v>19.292595599999999</v>
      </c>
      <c r="P88" s="7">
        <v>771.8</v>
      </c>
      <c r="Q88" s="7">
        <v>185.8</v>
      </c>
      <c r="R88" s="7">
        <v>19.399999999999999</v>
      </c>
      <c r="S88" s="12">
        <v>6.6242913000000003</v>
      </c>
      <c r="T88" s="12">
        <v>2.5</v>
      </c>
      <c r="U88" s="12">
        <v>103.0515273</v>
      </c>
      <c r="V88" s="12">
        <v>61.493533300000003</v>
      </c>
      <c r="W88" s="12">
        <v>6.3842483000000003</v>
      </c>
      <c r="X88" s="12">
        <v>23.694585</v>
      </c>
      <c r="Y88" s="12">
        <v>21.630145200000001</v>
      </c>
      <c r="Z88" s="12">
        <v>-3.2560763000000001</v>
      </c>
      <c r="AA88" s="12">
        <v>63.512174199999997</v>
      </c>
      <c r="AB88" s="12">
        <v>13.771600299999999</v>
      </c>
      <c r="AC88" s="12">
        <v>40.390309700000003</v>
      </c>
      <c r="AD88" s="12">
        <v>61.452819499999997</v>
      </c>
      <c r="AE88" s="12">
        <v>79.126959400000004</v>
      </c>
      <c r="AF88" s="12">
        <v>10.268115099999999</v>
      </c>
      <c r="AG88" s="12">
        <v>40.425017199999999</v>
      </c>
    </row>
    <row r="89" spans="1:33" s="11" customFormat="1" outlineLevel="1" x14ac:dyDescent="0.3">
      <c r="A89" s="11" t="s">
        <v>95</v>
      </c>
      <c r="B89" s="12">
        <v>1.9308453999999999</v>
      </c>
      <c r="C89" s="12">
        <v>104.17</v>
      </c>
      <c r="D89" s="12">
        <v>1.5830191</v>
      </c>
      <c r="E89" s="17">
        <v>0</v>
      </c>
      <c r="F89" s="13">
        <v>63.17</v>
      </c>
      <c r="G89" s="12">
        <v>5.8965205999999997</v>
      </c>
      <c r="H89" s="12">
        <v>6.1564712000000004</v>
      </c>
      <c r="I89" s="12">
        <v>-2.0311819999999998</v>
      </c>
      <c r="J89" s="12">
        <v>2.795525</v>
      </c>
      <c r="K89" s="12">
        <v>3.7726446</v>
      </c>
      <c r="L89" s="12">
        <v>1.7782651</v>
      </c>
      <c r="M89" s="12">
        <v>-0.38175599999999998</v>
      </c>
      <c r="N89" s="12">
        <v>19.134801899999999</v>
      </c>
      <c r="O89" s="12">
        <v>14.7825057</v>
      </c>
      <c r="P89" s="7">
        <v>789.4</v>
      </c>
      <c r="Q89" s="7">
        <v>171.3</v>
      </c>
      <c r="R89" s="7">
        <v>17.899999999999999</v>
      </c>
      <c r="S89" s="12">
        <v>4.5969053000000004</v>
      </c>
      <c r="T89" s="12">
        <v>2.25</v>
      </c>
      <c r="U89" s="12">
        <v>102.9178283</v>
      </c>
      <c r="V89" s="12">
        <v>61.523333299999997</v>
      </c>
      <c r="W89" s="12">
        <v>8.8016248000000008</v>
      </c>
      <c r="X89" s="12">
        <v>15.3960393</v>
      </c>
      <c r="Y89" s="12">
        <v>13.0228056</v>
      </c>
      <c r="Z89" s="12">
        <v>-6.566808</v>
      </c>
      <c r="AA89" s="12">
        <v>64.682276900000005</v>
      </c>
      <c r="AB89" s="12">
        <v>14.7634925</v>
      </c>
      <c r="AC89" s="12">
        <v>34.499673299999998</v>
      </c>
      <c r="AD89" s="12">
        <v>63.868219699999997</v>
      </c>
      <c r="AE89" s="12">
        <v>77.813662300000004</v>
      </c>
      <c r="AF89" s="12">
        <v>9.7300375999999993</v>
      </c>
      <c r="AG89" s="12">
        <v>38.602712799999999</v>
      </c>
    </row>
    <row r="90" spans="1:33" s="11" customFormat="1" outlineLevel="1" x14ac:dyDescent="0.3">
      <c r="A90" s="11" t="s">
        <v>96</v>
      </c>
      <c r="B90" s="12">
        <v>1.5959346999999999</v>
      </c>
      <c r="C90" s="12">
        <v>105.7566667</v>
      </c>
      <c r="D90" s="12">
        <v>1.6760672000000001</v>
      </c>
      <c r="E90" s="17">
        <v>0</v>
      </c>
      <c r="F90" s="13">
        <v>68.923333299999996</v>
      </c>
      <c r="G90" s="12">
        <v>10.7580115</v>
      </c>
      <c r="H90" s="12">
        <v>5.9227922</v>
      </c>
      <c r="I90" s="12">
        <v>-2.2180027999999998</v>
      </c>
      <c r="J90" s="12">
        <v>6.0961550999999998</v>
      </c>
      <c r="K90" s="12">
        <v>3.5515642000000001</v>
      </c>
      <c r="L90" s="12">
        <v>2.8280542999999998</v>
      </c>
      <c r="M90" s="12">
        <v>14.308409599999999</v>
      </c>
      <c r="N90" s="12">
        <v>12.860473000000001</v>
      </c>
      <c r="O90" s="12">
        <v>11.481837000000001</v>
      </c>
      <c r="P90" s="7">
        <v>794.3</v>
      </c>
      <c r="Q90" s="7">
        <v>168.2</v>
      </c>
      <c r="R90" s="7">
        <v>17.5</v>
      </c>
      <c r="S90" s="12">
        <v>4.8072774999999996</v>
      </c>
      <c r="T90" s="12">
        <v>2.25</v>
      </c>
      <c r="U90" s="12">
        <v>103.9327251</v>
      </c>
      <c r="V90" s="12">
        <v>61.4983</v>
      </c>
      <c r="W90" s="12">
        <v>1.1208724999999999</v>
      </c>
      <c r="X90" s="12">
        <v>8.7987900000000003</v>
      </c>
      <c r="Y90" s="12">
        <v>10.564026699999999</v>
      </c>
      <c r="Z90" s="12">
        <v>-1.8877066</v>
      </c>
      <c r="AA90" s="12">
        <v>67.490787699999998</v>
      </c>
      <c r="AB90" s="12">
        <v>14.0540091</v>
      </c>
      <c r="AC90" s="12">
        <v>29.706746800000001</v>
      </c>
      <c r="AD90" s="12">
        <v>61.392319200000003</v>
      </c>
      <c r="AE90" s="12">
        <v>72.643805</v>
      </c>
      <c r="AF90" s="12">
        <v>9.8553429000000001</v>
      </c>
      <c r="AG90" s="12">
        <v>38.884597100000001</v>
      </c>
    </row>
    <row r="91" spans="1:33" s="11" customFormat="1" outlineLevel="1" x14ac:dyDescent="0.3">
      <c r="A91" s="11" t="s">
        <v>97</v>
      </c>
      <c r="B91" s="12">
        <v>2.3612953000000001</v>
      </c>
      <c r="C91" s="12">
        <v>105.74</v>
      </c>
      <c r="D91" s="12">
        <v>1.3158734999999999</v>
      </c>
      <c r="E91" s="17">
        <v>0</v>
      </c>
      <c r="F91" s="13">
        <v>61.93</v>
      </c>
      <c r="G91" s="12">
        <v>7.5708802999999998</v>
      </c>
      <c r="H91" s="12">
        <v>10.967124699999999</v>
      </c>
      <c r="I91" s="12">
        <v>-0.61570780000000003</v>
      </c>
      <c r="J91" s="12">
        <v>4.3362673000000003</v>
      </c>
      <c r="K91" s="12">
        <v>3.4465827</v>
      </c>
      <c r="L91" s="12">
        <v>4.5566000000000001E-3</v>
      </c>
      <c r="M91" s="12">
        <v>21.1734519</v>
      </c>
      <c r="N91" s="12">
        <v>7.8642985000000003</v>
      </c>
      <c r="O91" s="12">
        <v>12.034618699999999</v>
      </c>
      <c r="P91" s="7">
        <v>799.5</v>
      </c>
      <c r="Q91" s="7">
        <v>164.7</v>
      </c>
      <c r="R91" s="7">
        <v>17.100000000000001</v>
      </c>
      <c r="S91" s="12">
        <v>5.3407568000000003</v>
      </c>
      <c r="T91" s="12">
        <v>2.25</v>
      </c>
      <c r="U91" s="12">
        <v>103.5103579</v>
      </c>
      <c r="V91" s="12">
        <v>61.492933299999997</v>
      </c>
      <c r="W91" s="12">
        <v>7.1624504</v>
      </c>
      <c r="X91" s="12">
        <v>9.2286298000000002</v>
      </c>
      <c r="Y91" s="12">
        <v>11.1774492</v>
      </c>
      <c r="Z91" s="12">
        <v>6.0042745000000002</v>
      </c>
      <c r="AA91" s="12">
        <v>64.743615300000002</v>
      </c>
      <c r="AB91" s="12">
        <v>13.0736977</v>
      </c>
      <c r="AC91" s="12">
        <v>30.631322600000001</v>
      </c>
      <c r="AD91" s="12">
        <v>64.538323199999994</v>
      </c>
      <c r="AE91" s="12">
        <v>72.986902599999993</v>
      </c>
      <c r="AF91" s="12">
        <v>9.5024575000000002</v>
      </c>
      <c r="AG91" s="12">
        <v>39.461806600000003</v>
      </c>
    </row>
    <row r="92" spans="1:33" s="11" customFormat="1" outlineLevel="1" x14ac:dyDescent="0.3">
      <c r="A92" s="11" t="s">
        <v>98</v>
      </c>
      <c r="B92" s="12">
        <v>1.3592039</v>
      </c>
      <c r="C92" s="12">
        <v>106.0066667</v>
      </c>
      <c r="D92" s="12">
        <v>1.3060653</v>
      </c>
      <c r="E92" s="17">
        <v>0</v>
      </c>
      <c r="F92" s="13">
        <v>63.41</v>
      </c>
      <c r="G92" s="12">
        <v>10.296071899999999</v>
      </c>
      <c r="H92" s="12">
        <v>9.4778868999999997</v>
      </c>
      <c r="I92" s="12">
        <v>-2.9859125</v>
      </c>
      <c r="J92" s="12">
        <v>2.4756611999999998</v>
      </c>
      <c r="K92" s="12">
        <v>4.1837910000000003</v>
      </c>
      <c r="L92" s="12">
        <v>5.0737475999999999</v>
      </c>
      <c r="M92" s="12">
        <v>7.0512085000000004</v>
      </c>
      <c r="N92" s="12">
        <v>-1.3016335999999999</v>
      </c>
      <c r="O92" s="12">
        <v>3.9435744000000001</v>
      </c>
      <c r="P92" s="7">
        <v>807.3</v>
      </c>
      <c r="Q92" s="7">
        <v>161.19999999999999</v>
      </c>
      <c r="R92" s="7">
        <v>16.600000000000001</v>
      </c>
      <c r="S92" s="12">
        <v>5.6882831999999999</v>
      </c>
      <c r="T92" s="12">
        <v>2.25</v>
      </c>
      <c r="U92" s="12">
        <v>103.11837679999999</v>
      </c>
      <c r="V92" s="12">
        <v>61.505166699999997</v>
      </c>
      <c r="W92" s="12">
        <v>-1.2899608</v>
      </c>
      <c r="X92" s="12">
        <v>-0.1133078</v>
      </c>
      <c r="Y92" s="12">
        <v>5.1468074000000001</v>
      </c>
      <c r="Z92" s="12">
        <v>-9.5943161000000003</v>
      </c>
      <c r="AA92" s="12">
        <v>65.067815400000001</v>
      </c>
      <c r="AB92" s="12">
        <v>14.180282999999999</v>
      </c>
      <c r="AC92" s="12">
        <v>41.855650300000001</v>
      </c>
      <c r="AD92" s="12">
        <v>60.050786100000003</v>
      </c>
      <c r="AE92" s="12">
        <v>81.154480300000003</v>
      </c>
      <c r="AF92" s="12">
        <v>10.4535293</v>
      </c>
      <c r="AG92" s="12">
        <v>40.448464700000002</v>
      </c>
    </row>
    <row r="93" spans="1:33" s="11" customFormat="1" outlineLevel="1" x14ac:dyDescent="0.3">
      <c r="A93" s="11" t="s">
        <v>99</v>
      </c>
      <c r="B93" s="12">
        <v>-2.2061226999999999</v>
      </c>
      <c r="C93" s="12">
        <v>105.74666670000001</v>
      </c>
      <c r="D93" s="12">
        <v>1.5135516</v>
      </c>
      <c r="E93" s="17">
        <v>0</v>
      </c>
      <c r="F93" s="13">
        <v>50.44</v>
      </c>
      <c r="G93" s="12">
        <v>9.4448054999999993</v>
      </c>
      <c r="H93" s="12">
        <v>0.96657179999999998</v>
      </c>
      <c r="I93" s="12">
        <v>-4.5711218999999996</v>
      </c>
      <c r="J93" s="12">
        <v>-0.31647199999999998</v>
      </c>
      <c r="K93" s="12">
        <v>2.8925323999999999</v>
      </c>
      <c r="L93" s="12">
        <v>10.4423206</v>
      </c>
      <c r="M93" s="12">
        <v>-8.7692399000000005</v>
      </c>
      <c r="N93" s="12">
        <v>-6.1035395000000001</v>
      </c>
      <c r="O93" s="12">
        <v>-4.1676792000000003</v>
      </c>
      <c r="P93" s="7">
        <v>811.1</v>
      </c>
      <c r="Q93" s="7">
        <v>156.6</v>
      </c>
      <c r="R93" s="7">
        <v>16.2</v>
      </c>
      <c r="S93" s="12">
        <v>11.354044999999999</v>
      </c>
      <c r="T93" s="12">
        <v>2</v>
      </c>
      <c r="U93" s="12">
        <v>103.5620143</v>
      </c>
      <c r="V93" s="12">
        <v>61.612933300000002</v>
      </c>
      <c r="W93" s="12">
        <v>-3.7025513000000001</v>
      </c>
      <c r="X93" s="12">
        <v>-6.6965110000000001</v>
      </c>
      <c r="Y93" s="12">
        <v>-4.9555775999999998</v>
      </c>
      <c r="Z93" s="12">
        <v>-5.6024022000000002</v>
      </c>
      <c r="AA93" s="12">
        <v>64.883655700000006</v>
      </c>
      <c r="AB93" s="12">
        <v>16.669514199999998</v>
      </c>
      <c r="AC93" s="12">
        <v>32.919664599999997</v>
      </c>
      <c r="AD93" s="12">
        <v>57.747314600000003</v>
      </c>
      <c r="AE93" s="12">
        <v>72.2201491</v>
      </c>
      <c r="AF93" s="12">
        <v>10.1440021</v>
      </c>
      <c r="AG93" s="12">
        <v>42.213816199999997</v>
      </c>
    </row>
    <row r="94" spans="1:33" s="11" customFormat="1" outlineLevel="1" x14ac:dyDescent="0.3">
      <c r="A94" s="11" t="s">
        <v>100</v>
      </c>
      <c r="B94" s="12">
        <v>-13.380244299999999</v>
      </c>
      <c r="C94" s="12">
        <v>106.50333329999999</v>
      </c>
      <c r="D94" s="12">
        <v>0.70602319999999996</v>
      </c>
      <c r="E94" s="17">
        <v>0</v>
      </c>
      <c r="F94" s="13">
        <v>29.343333300000001</v>
      </c>
      <c r="G94" s="12">
        <v>10.276907100000001</v>
      </c>
      <c r="H94" s="12">
        <v>-18.276585099999998</v>
      </c>
      <c r="I94" s="12">
        <v>-12.8267943</v>
      </c>
      <c r="J94" s="12">
        <v>-15.416369899999999</v>
      </c>
      <c r="K94" s="12">
        <v>-10.035111499999999</v>
      </c>
      <c r="L94" s="12">
        <v>9.5179083000000002</v>
      </c>
      <c r="M94" s="12">
        <v>-40.823049599999997</v>
      </c>
      <c r="N94" s="12">
        <v>-31.5693907</v>
      </c>
      <c r="O94" s="12">
        <v>-29.740863000000001</v>
      </c>
      <c r="P94" s="7">
        <v>793.4</v>
      </c>
      <c r="Q94" s="7">
        <v>159.6</v>
      </c>
      <c r="R94" s="7">
        <v>16.8</v>
      </c>
      <c r="S94" s="12">
        <v>5.6515981000000002</v>
      </c>
      <c r="T94" s="12">
        <v>1.5</v>
      </c>
      <c r="U94" s="12">
        <v>104.412826</v>
      </c>
      <c r="V94" s="12">
        <v>61.692999999999998</v>
      </c>
      <c r="W94" s="12">
        <v>-25.014979100000001</v>
      </c>
      <c r="X94" s="12">
        <v>-31.058957400000001</v>
      </c>
      <c r="Y94" s="12">
        <v>-30.556871399999999</v>
      </c>
      <c r="Z94" s="12">
        <v>-3.2562308</v>
      </c>
      <c r="AA94" s="12">
        <v>73.562547800000004</v>
      </c>
      <c r="AB94" s="12">
        <v>19.354791800000001</v>
      </c>
      <c r="AC94" s="12">
        <v>17.6198701</v>
      </c>
      <c r="AD94" s="12">
        <v>50.176121899999998</v>
      </c>
      <c r="AE94" s="12">
        <v>60.713400900000003</v>
      </c>
      <c r="AF94" s="12">
        <v>8.7954355999999994</v>
      </c>
      <c r="AG94" s="12">
        <v>51.265160199999997</v>
      </c>
    </row>
    <row r="95" spans="1:33" s="11" customFormat="1" outlineLevel="1" x14ac:dyDescent="0.3">
      <c r="A95" s="11" t="s">
        <v>101</v>
      </c>
      <c r="B95" s="12">
        <v>-3.6984297000000002</v>
      </c>
      <c r="C95" s="12">
        <v>106.27</v>
      </c>
      <c r="D95" s="12">
        <v>0.50122940000000005</v>
      </c>
      <c r="E95" s="17">
        <v>0</v>
      </c>
      <c r="F95" s="13">
        <v>42.963333300000002</v>
      </c>
      <c r="G95" s="12">
        <v>12.2383994</v>
      </c>
      <c r="H95" s="12">
        <v>-4.8024924000000002</v>
      </c>
      <c r="I95" s="12">
        <v>-5.7306689999999998</v>
      </c>
      <c r="J95" s="12">
        <v>-4.3484929000000001</v>
      </c>
      <c r="K95" s="12">
        <v>-3.6034378999999999</v>
      </c>
      <c r="L95" s="12">
        <v>13.1751969</v>
      </c>
      <c r="M95" s="12">
        <v>-1.8568377</v>
      </c>
      <c r="N95" s="12">
        <v>-7.9730093000000002</v>
      </c>
      <c r="O95" s="12">
        <v>-2.764602</v>
      </c>
      <c r="P95" s="7">
        <v>785.5</v>
      </c>
      <c r="Q95" s="7">
        <v>155.6</v>
      </c>
      <c r="R95" s="7">
        <v>16.5</v>
      </c>
      <c r="S95" s="12">
        <v>9.1078150000000004</v>
      </c>
      <c r="T95" s="12">
        <v>1.5</v>
      </c>
      <c r="U95" s="12">
        <v>105.1086684</v>
      </c>
      <c r="V95" s="12">
        <v>61.6952</v>
      </c>
      <c r="W95" s="12">
        <v>-7.5085324</v>
      </c>
      <c r="X95" s="12">
        <v>-7.2836929000000001</v>
      </c>
      <c r="Y95" s="12">
        <v>-3.3812261000000001</v>
      </c>
      <c r="Z95" s="12">
        <v>-1.3025888999999999</v>
      </c>
      <c r="AA95" s="12">
        <v>65.182346800000005</v>
      </c>
      <c r="AB95" s="12">
        <v>16.125084000000001</v>
      </c>
      <c r="AC95" s="12">
        <v>30.1763656</v>
      </c>
      <c r="AD95" s="12">
        <v>61.2379654</v>
      </c>
      <c r="AE95" s="12">
        <v>72.721761799999996</v>
      </c>
      <c r="AF95" s="12">
        <v>9.4929521000000001</v>
      </c>
      <c r="AG95" s="12">
        <v>51.373868000000002</v>
      </c>
    </row>
    <row r="96" spans="1:33" s="11" customFormat="1" outlineLevel="1" x14ac:dyDescent="0.3">
      <c r="A96" s="11" t="s">
        <v>102</v>
      </c>
      <c r="B96" s="12">
        <v>-3.2236577</v>
      </c>
      <c r="C96" s="12">
        <v>106.2833333</v>
      </c>
      <c r="D96" s="12">
        <v>0.26098979999999999</v>
      </c>
      <c r="E96" s="17">
        <v>0</v>
      </c>
      <c r="F96" s="13">
        <v>44.29</v>
      </c>
      <c r="G96" s="12">
        <v>14.951003999999999</v>
      </c>
      <c r="H96" s="12">
        <v>-5.6359120000000003</v>
      </c>
      <c r="I96" s="12">
        <v>-9.4988893999999995</v>
      </c>
      <c r="J96" s="12">
        <v>1.3343081999999999</v>
      </c>
      <c r="K96" s="12">
        <v>-2.7546331999999998</v>
      </c>
      <c r="L96" s="12">
        <v>6.3474984000000001</v>
      </c>
      <c r="M96" s="12">
        <v>-12.29766</v>
      </c>
      <c r="N96" s="12">
        <v>1.7480473999999999</v>
      </c>
      <c r="O96" s="12">
        <v>-7.5578536999999999</v>
      </c>
      <c r="P96" s="7">
        <v>789.6</v>
      </c>
      <c r="Q96" s="7">
        <v>152</v>
      </c>
      <c r="R96" s="7">
        <v>16.100000000000001</v>
      </c>
      <c r="S96" s="12">
        <v>7.3352908000000001</v>
      </c>
      <c r="T96" s="12">
        <v>1.5</v>
      </c>
      <c r="U96" s="12">
        <v>105.3578347</v>
      </c>
      <c r="V96" s="12">
        <v>61.694966700000002</v>
      </c>
      <c r="W96" s="12">
        <v>-2.3295454000000002</v>
      </c>
      <c r="X96" s="12">
        <v>3.6858428000000001</v>
      </c>
      <c r="Y96" s="12">
        <v>-5.9483670999999996</v>
      </c>
      <c r="Z96" s="12">
        <v>-1.8797368000000001</v>
      </c>
      <c r="AA96" s="12">
        <v>62.0829357</v>
      </c>
      <c r="AB96" s="12">
        <v>15.363708000000001</v>
      </c>
      <c r="AC96" s="12">
        <v>36.491782200000003</v>
      </c>
      <c r="AD96" s="12">
        <v>60.416262000000003</v>
      </c>
      <c r="AE96" s="12">
        <v>74.354687799999994</v>
      </c>
      <c r="AF96" s="12">
        <v>8.0226492999999994</v>
      </c>
      <c r="AG96" s="12">
        <v>50.845913600000003</v>
      </c>
    </row>
    <row r="97" spans="1:33" s="11" customFormat="1" outlineLevel="1" x14ac:dyDescent="0.3">
      <c r="A97" s="11" t="s">
        <v>103</v>
      </c>
      <c r="B97" s="12">
        <v>-0.1765746</v>
      </c>
      <c r="C97" s="12">
        <v>107.21</v>
      </c>
      <c r="D97" s="12">
        <v>1.3838102999999999</v>
      </c>
      <c r="E97" s="17">
        <v>0</v>
      </c>
      <c r="F97" s="13">
        <v>60.82</v>
      </c>
      <c r="G97" s="12">
        <v>6.2658874000000004</v>
      </c>
      <c r="H97" s="12">
        <v>5.1888822000000001</v>
      </c>
      <c r="I97" s="12">
        <v>-5.0398234000000004</v>
      </c>
      <c r="J97" s="12">
        <v>0.77891809999999995</v>
      </c>
      <c r="K97" s="12">
        <v>3.8760867999999999</v>
      </c>
      <c r="L97" s="12">
        <v>-3.2493557000000002</v>
      </c>
      <c r="M97" s="12">
        <v>-14.528264399999999</v>
      </c>
      <c r="N97" s="12">
        <v>10.0503699</v>
      </c>
      <c r="O97" s="12">
        <v>3.5100243</v>
      </c>
      <c r="P97" s="7">
        <v>793.1</v>
      </c>
      <c r="Q97" s="7">
        <v>150.80000000000001</v>
      </c>
      <c r="R97" s="7">
        <v>16</v>
      </c>
      <c r="S97" s="12">
        <v>4.0400621000000001</v>
      </c>
      <c r="T97" s="12">
        <v>1.25</v>
      </c>
      <c r="U97" s="12">
        <v>105.6009237</v>
      </c>
      <c r="V97" s="12">
        <v>61.659066699999997</v>
      </c>
      <c r="W97" s="12">
        <v>-6.0743134000000003</v>
      </c>
      <c r="X97" s="12">
        <v>19.895989400000001</v>
      </c>
      <c r="Y97" s="12">
        <v>11.293662599999999</v>
      </c>
      <c r="Z97" s="12">
        <v>-0.9100665</v>
      </c>
      <c r="AA97" s="12">
        <v>66.665924599999997</v>
      </c>
      <c r="AB97" s="12">
        <v>16.083871899999998</v>
      </c>
      <c r="AC97" s="12">
        <v>28.815563300000001</v>
      </c>
      <c r="AD97" s="12">
        <v>66.785722699999994</v>
      </c>
      <c r="AE97" s="12">
        <v>78.351082399999996</v>
      </c>
      <c r="AF97" s="12">
        <v>8.0528683000000001</v>
      </c>
      <c r="AG97" s="12">
        <v>52.463161700000001</v>
      </c>
    </row>
    <row r="98" spans="1:33" s="11" customFormat="1" outlineLevel="1" x14ac:dyDescent="0.3">
      <c r="A98" s="11" t="s">
        <v>104</v>
      </c>
      <c r="B98" s="12">
        <v>14.630134099999999</v>
      </c>
      <c r="C98" s="12">
        <v>108.82</v>
      </c>
      <c r="D98" s="12">
        <v>2.1752058000000001</v>
      </c>
      <c r="E98" s="17">
        <v>0</v>
      </c>
      <c r="F98" s="13">
        <v>68.833333300000007</v>
      </c>
      <c r="G98" s="12">
        <v>2.9415722</v>
      </c>
      <c r="H98" s="12">
        <v>28.062458800000002</v>
      </c>
      <c r="I98" s="12">
        <v>-4.9060300000000003</v>
      </c>
      <c r="J98" s="12">
        <v>15.4125102</v>
      </c>
      <c r="K98" s="12">
        <v>15.2609695</v>
      </c>
      <c r="L98" s="12">
        <v>1.870042</v>
      </c>
      <c r="M98" s="12">
        <v>43.124784499999997</v>
      </c>
      <c r="N98" s="12">
        <v>48.642719800000002</v>
      </c>
      <c r="O98" s="12">
        <v>48.468039099999999</v>
      </c>
      <c r="P98" s="7">
        <v>795.3</v>
      </c>
      <c r="Q98" s="7">
        <v>150.1</v>
      </c>
      <c r="R98" s="7">
        <v>15.9</v>
      </c>
      <c r="S98" s="12">
        <v>8.6692865000000001</v>
      </c>
      <c r="T98" s="12">
        <v>1.25</v>
      </c>
      <c r="U98" s="12">
        <v>107.32685600000001</v>
      </c>
      <c r="V98" s="12">
        <v>61.614033300000003</v>
      </c>
      <c r="W98" s="12">
        <v>22.2532961</v>
      </c>
      <c r="X98" s="12">
        <v>64.288266800000002</v>
      </c>
      <c r="Y98" s="12">
        <v>64.638743199999993</v>
      </c>
      <c r="Z98" s="12">
        <v>-2.6528531000000002</v>
      </c>
      <c r="AA98" s="12">
        <v>69.718588999999994</v>
      </c>
      <c r="AB98" s="12">
        <v>16.319630100000001</v>
      </c>
      <c r="AC98" s="12">
        <v>28.9347058</v>
      </c>
      <c r="AD98" s="12">
        <v>65.471193499999998</v>
      </c>
      <c r="AE98" s="12">
        <v>80.444118399999994</v>
      </c>
      <c r="AF98" s="12">
        <v>8.7012889999999992</v>
      </c>
      <c r="AG98" s="12">
        <v>54.224320300000002</v>
      </c>
    </row>
    <row r="99" spans="1:33" s="11" customFormat="1" outlineLevel="1" x14ac:dyDescent="0.3">
      <c r="A99" s="11" t="s">
        <v>105</v>
      </c>
      <c r="B99" s="12">
        <v>4.8925850000000004</v>
      </c>
      <c r="C99" s="12">
        <v>109.55666669999999</v>
      </c>
      <c r="D99" s="12">
        <v>3.0927511999999999</v>
      </c>
      <c r="E99" s="17">
        <v>0</v>
      </c>
      <c r="F99" s="13">
        <v>73.47</v>
      </c>
      <c r="G99" s="12">
        <v>11.714036699999999</v>
      </c>
      <c r="H99" s="12">
        <v>16.235463599999999</v>
      </c>
      <c r="I99" s="12">
        <v>-4.8330710000000003</v>
      </c>
      <c r="J99" s="12">
        <v>1.8780325</v>
      </c>
      <c r="K99" s="12">
        <v>6.2629960999999996</v>
      </c>
      <c r="L99" s="12">
        <v>1.6224551</v>
      </c>
      <c r="M99" s="12">
        <v>-9.7380040000000001</v>
      </c>
      <c r="N99" s="12">
        <v>6.4453477000000001</v>
      </c>
      <c r="O99" s="12">
        <v>4.5603615</v>
      </c>
      <c r="P99" s="7">
        <v>796.7</v>
      </c>
      <c r="Q99" s="7">
        <v>148.5</v>
      </c>
      <c r="R99" s="7">
        <v>15.7</v>
      </c>
      <c r="S99" s="12">
        <v>4.8253589999999997</v>
      </c>
      <c r="T99" s="12">
        <v>1.25</v>
      </c>
      <c r="U99" s="12">
        <v>108.843124</v>
      </c>
      <c r="V99" s="12">
        <v>61.554633299999999</v>
      </c>
      <c r="W99" s="12">
        <v>-3.5055350999999999</v>
      </c>
      <c r="X99" s="12">
        <v>16.4943475</v>
      </c>
      <c r="Y99" s="12">
        <v>15.939145</v>
      </c>
      <c r="Z99" s="12">
        <v>3.6953041</v>
      </c>
      <c r="AA99" s="12">
        <v>66.938902900000002</v>
      </c>
      <c r="AB99" s="12">
        <v>15.7815639</v>
      </c>
      <c r="AC99" s="12">
        <v>29.405638799999998</v>
      </c>
      <c r="AD99" s="12">
        <v>66.989016300000003</v>
      </c>
      <c r="AE99" s="12">
        <v>79.115121900000005</v>
      </c>
      <c r="AF99" s="12">
        <v>7.4668134000000004</v>
      </c>
      <c r="AG99" s="12">
        <v>50.637321399999998</v>
      </c>
    </row>
    <row r="100" spans="1:33" s="11" customFormat="1" outlineLevel="1" x14ac:dyDescent="0.3">
      <c r="A100" s="11" t="s">
        <v>106</v>
      </c>
      <c r="B100" s="12">
        <v>5.3916862999999999</v>
      </c>
      <c r="C100" s="12">
        <v>111.5333333</v>
      </c>
      <c r="D100" s="12">
        <v>4.9396268000000001</v>
      </c>
      <c r="E100" s="17">
        <v>0</v>
      </c>
      <c r="F100" s="13">
        <v>79.586666699999995</v>
      </c>
      <c r="G100" s="12">
        <v>2.1032183999999998</v>
      </c>
      <c r="H100" s="12">
        <v>12.4771293</v>
      </c>
      <c r="I100" s="12">
        <v>-6.4118759000000001</v>
      </c>
      <c r="J100" s="12">
        <v>1.4958887000000001</v>
      </c>
      <c r="K100" s="12">
        <v>9.0673586999999998</v>
      </c>
      <c r="L100" s="12">
        <v>3.1170895000000001</v>
      </c>
      <c r="M100" s="12">
        <v>8.4578077</v>
      </c>
      <c r="N100" s="12">
        <v>2.5791620000000002</v>
      </c>
      <c r="O100" s="12">
        <v>12.285425699999999</v>
      </c>
      <c r="P100" s="7">
        <v>795.3</v>
      </c>
      <c r="Q100" s="7">
        <v>142.19999999999999</v>
      </c>
      <c r="R100" s="7">
        <v>15.2</v>
      </c>
      <c r="S100" s="12">
        <v>5.4030490999999996</v>
      </c>
      <c r="T100" s="12">
        <v>1.25</v>
      </c>
      <c r="U100" s="12">
        <v>110.1892296</v>
      </c>
      <c r="V100" s="12">
        <v>61.6852667</v>
      </c>
      <c r="W100" s="12">
        <v>-2.2687609000000002</v>
      </c>
      <c r="X100" s="12">
        <v>9.7800604999999994</v>
      </c>
      <c r="Y100" s="12">
        <v>22.8680983</v>
      </c>
      <c r="Z100" s="12">
        <v>-10.421044</v>
      </c>
      <c r="AA100" s="12">
        <v>67.748719699999995</v>
      </c>
      <c r="AB100" s="12">
        <v>15.2266168</v>
      </c>
      <c r="AC100" s="12">
        <v>40.591921599999999</v>
      </c>
      <c r="AD100" s="12">
        <v>62.881907300000002</v>
      </c>
      <c r="AE100" s="12">
        <v>86.449165500000007</v>
      </c>
      <c r="AF100" s="12">
        <v>7.7685770999999999</v>
      </c>
      <c r="AG100" s="12">
        <v>51.3687635</v>
      </c>
    </row>
    <row r="101" spans="1:33" outlineLevel="1" x14ac:dyDescent="0.3">
      <c r="A101" t="s">
        <v>108</v>
      </c>
      <c r="B101" s="12">
        <v>5.7284746999999996</v>
      </c>
      <c r="C101" s="12">
        <v>114.2266667</v>
      </c>
      <c r="D101" s="12">
        <v>6.5447875</v>
      </c>
      <c r="E101" s="17">
        <v>0</v>
      </c>
      <c r="F101" s="12">
        <v>100.2966667</v>
      </c>
      <c r="G101" s="12">
        <v>11.3580807</v>
      </c>
      <c r="H101" s="12">
        <v>16.790739500000001</v>
      </c>
      <c r="I101" s="12">
        <v>-3.5592106000000001</v>
      </c>
      <c r="J101" s="12">
        <v>1.7487413000000001</v>
      </c>
      <c r="K101" s="12">
        <v>4.4490467000000002</v>
      </c>
      <c r="L101" s="12">
        <v>0.1214163</v>
      </c>
      <c r="M101" s="12">
        <v>19.757667600000001</v>
      </c>
      <c r="N101" s="12">
        <v>9.0574268999999994</v>
      </c>
      <c r="O101" s="12">
        <v>16.4535372</v>
      </c>
      <c r="P101" s="7">
        <v>691.8</v>
      </c>
      <c r="Q101" s="7">
        <v>119.4</v>
      </c>
      <c r="R101" s="7">
        <v>14.7</v>
      </c>
      <c r="S101" s="12">
        <v>7.7123923999999997</v>
      </c>
      <c r="T101" s="12">
        <v>1.25</v>
      </c>
      <c r="U101" s="12">
        <v>113.7383298</v>
      </c>
      <c r="V101" s="12">
        <v>61.693433300000002</v>
      </c>
      <c r="W101" s="12">
        <v>3.4399723999999998</v>
      </c>
      <c r="X101" s="12">
        <v>17.719491399999999</v>
      </c>
      <c r="Y101" s="12">
        <v>33.571956100000001</v>
      </c>
      <c r="Z101" s="12">
        <v>-12.8963295</v>
      </c>
      <c r="AA101" s="12">
        <v>64.0232685</v>
      </c>
      <c r="AB101" s="12">
        <v>15.4348949</v>
      </c>
      <c r="AC101" s="12">
        <v>43.027607199999998</v>
      </c>
      <c r="AD101" s="12">
        <v>70.412401099999997</v>
      </c>
      <c r="AE101" s="12">
        <v>92.898171700000006</v>
      </c>
      <c r="AF101" s="12">
        <v>7.8569098999999998</v>
      </c>
      <c r="AG101" s="12">
        <v>46.961406400000001</v>
      </c>
    </row>
    <row r="102" spans="1:33" outlineLevel="1" x14ac:dyDescent="0.3">
      <c r="A102" t="s">
        <v>109</v>
      </c>
      <c r="B102" s="12">
        <v>4.2015890999999996</v>
      </c>
      <c r="C102" s="12">
        <v>118.4333333</v>
      </c>
      <c r="D102" s="12">
        <v>8.8341604</v>
      </c>
      <c r="E102" s="17">
        <v>0</v>
      </c>
      <c r="F102" s="12">
        <v>113.5433333</v>
      </c>
      <c r="G102" s="12">
        <v>2.7382488999999999</v>
      </c>
      <c r="H102" s="12">
        <v>12.9753659</v>
      </c>
      <c r="I102" s="12">
        <v>-1.8759676999999999</v>
      </c>
      <c r="J102" s="12">
        <v>3.9618419</v>
      </c>
      <c r="K102" s="12">
        <v>1.8543095000000001</v>
      </c>
      <c r="L102" s="12">
        <v>-7.5700767000000004</v>
      </c>
      <c r="M102" s="12">
        <v>31.3049763</v>
      </c>
      <c r="N102" s="12">
        <v>12.211065400000001</v>
      </c>
      <c r="O102" s="12">
        <v>15.2641741</v>
      </c>
      <c r="P102" s="7">
        <v>693.2</v>
      </c>
      <c r="Q102" s="7">
        <v>117.3</v>
      </c>
      <c r="R102" s="7">
        <v>14.5</v>
      </c>
      <c r="S102" s="12">
        <v>10.4358263</v>
      </c>
      <c r="T102" s="12">
        <v>2</v>
      </c>
      <c r="U102" s="12">
        <v>120.51139860000001</v>
      </c>
      <c r="V102" s="12">
        <v>61.664099999999998</v>
      </c>
      <c r="W102" s="12">
        <v>1.3071895</v>
      </c>
      <c r="X102" s="12">
        <v>25.5013258</v>
      </c>
      <c r="Y102" s="12">
        <v>34.862224699999999</v>
      </c>
      <c r="Z102" s="12">
        <v>-7.4559382999999997</v>
      </c>
      <c r="AA102" s="12">
        <v>70.474687200000005</v>
      </c>
      <c r="AB102" s="12">
        <v>15.255148999999999</v>
      </c>
      <c r="AC102" s="12">
        <v>37.2858789</v>
      </c>
      <c r="AD102" s="12">
        <v>76.245584399999998</v>
      </c>
      <c r="AE102" s="12">
        <v>99.261299399999999</v>
      </c>
      <c r="AF102" s="12">
        <v>7.6994321000000001</v>
      </c>
      <c r="AG102" s="12">
        <v>46.833293300000001</v>
      </c>
    </row>
    <row r="103" spans="1:33" outlineLevel="1" x14ac:dyDescent="0.3">
      <c r="A103" t="s">
        <v>110</v>
      </c>
      <c r="B103" s="12">
        <v>2.5907767000000002</v>
      </c>
      <c r="C103" s="12">
        <v>120.83</v>
      </c>
      <c r="D103" s="12">
        <v>10.289956500000001</v>
      </c>
      <c r="E103" s="17">
        <v>0.75</v>
      </c>
      <c r="F103" s="12">
        <v>100.7133333</v>
      </c>
      <c r="G103" s="12">
        <v>4.0449782000000001</v>
      </c>
      <c r="H103" s="12">
        <v>10.268117500000001</v>
      </c>
      <c r="I103" s="12">
        <v>-2.8360566999999999</v>
      </c>
      <c r="J103" s="12">
        <v>1.7770235999999999</v>
      </c>
      <c r="K103" s="12">
        <v>5.3259112999999996</v>
      </c>
      <c r="L103" s="12">
        <v>-7.0046233000000004</v>
      </c>
      <c r="M103" s="12">
        <v>0.70530219999999999</v>
      </c>
      <c r="N103" s="12">
        <v>16.3413994</v>
      </c>
      <c r="O103" s="12">
        <v>14.6475451</v>
      </c>
      <c r="P103" s="7">
        <v>693.1</v>
      </c>
      <c r="Q103" s="7">
        <v>115.3</v>
      </c>
      <c r="R103" s="7">
        <v>14.3</v>
      </c>
      <c r="S103" s="12">
        <v>12.046833700000001</v>
      </c>
      <c r="T103" s="12">
        <v>3</v>
      </c>
      <c r="U103" s="12">
        <v>127.54882670000001</v>
      </c>
      <c r="V103" s="12">
        <v>61.514133299999997</v>
      </c>
      <c r="W103" s="12">
        <v>-1.8164435999999999</v>
      </c>
      <c r="X103" s="12">
        <v>27.817400899999999</v>
      </c>
      <c r="Y103" s="12">
        <v>31.184632199999999</v>
      </c>
      <c r="Z103" s="12">
        <v>3.2207816999999999</v>
      </c>
      <c r="AA103" s="12">
        <v>71.1790527</v>
      </c>
      <c r="AB103" s="12">
        <v>15.1053891</v>
      </c>
      <c r="AC103" s="12">
        <v>30.2375209</v>
      </c>
      <c r="AD103" s="12">
        <v>77.804081100000005</v>
      </c>
      <c r="AE103" s="12">
        <v>94.325994300000005</v>
      </c>
      <c r="AF103" s="12">
        <v>7.5531800999999996</v>
      </c>
      <c r="AG103" s="12">
        <v>49.7496522</v>
      </c>
    </row>
    <row r="104" spans="1:33" outlineLevel="1" x14ac:dyDescent="0.3">
      <c r="A104" t="s">
        <v>111</v>
      </c>
      <c r="B104" s="12">
        <v>1.4006327999999999</v>
      </c>
      <c r="C104" s="12">
        <v>123.8</v>
      </c>
      <c r="D104" s="12">
        <v>10.9982068</v>
      </c>
      <c r="E104" s="17">
        <v>1.9166666999999999</v>
      </c>
      <c r="F104" s="12">
        <v>88.556666699999994</v>
      </c>
      <c r="G104" s="12">
        <v>14.870931499999999</v>
      </c>
      <c r="H104" s="12">
        <v>7.0628267999999998</v>
      </c>
      <c r="I104" s="12">
        <v>-8.9335518</v>
      </c>
      <c r="J104" s="12">
        <v>1.4656457000000001</v>
      </c>
      <c r="K104" s="12">
        <v>3.7958987</v>
      </c>
      <c r="L104" s="12">
        <v>-5.1626655000000001</v>
      </c>
      <c r="M104" s="12">
        <v>-3.8824656000000002</v>
      </c>
      <c r="N104" s="12">
        <v>8.0185505999999993</v>
      </c>
      <c r="O104" s="12">
        <v>4.9195677</v>
      </c>
      <c r="P104" s="7">
        <v>690.053</v>
      </c>
      <c r="Q104" s="7">
        <v>112.227</v>
      </c>
      <c r="R104" s="7">
        <v>14</v>
      </c>
      <c r="S104" s="12">
        <v>14.108683600000001</v>
      </c>
      <c r="T104" s="12">
        <v>4.75</v>
      </c>
      <c r="U104" s="12">
        <v>131.5172555</v>
      </c>
      <c r="V104" s="12">
        <v>61.618566700000002</v>
      </c>
      <c r="W104" s="12">
        <v>-3.3630952999999999</v>
      </c>
      <c r="X104" s="12">
        <v>23.653644100000001</v>
      </c>
      <c r="Y104" s="12">
        <v>17.111741299999998</v>
      </c>
      <c r="Z104" s="12">
        <v>-7.7800627000000002</v>
      </c>
      <c r="AA104" s="12">
        <v>71.881959600000002</v>
      </c>
      <c r="AB104" s="12">
        <v>15.618931399999999</v>
      </c>
      <c r="AC104" s="12">
        <v>34.228466599999997</v>
      </c>
      <c r="AD104" s="12">
        <v>71.376443899999998</v>
      </c>
      <c r="AE104" s="12">
        <v>93.105847400000002</v>
      </c>
      <c r="AF104" s="12">
        <v>7.3486039999999999</v>
      </c>
      <c r="AG104" s="12">
        <v>50.388512800000001</v>
      </c>
    </row>
    <row r="105" spans="1:33" x14ac:dyDescent="0.3">
      <c r="A105" t="s">
        <v>112</v>
      </c>
      <c r="B105" s="12">
        <v>1.3448477999999999</v>
      </c>
      <c r="C105" s="12">
        <v>124.9666667</v>
      </c>
      <c r="D105" s="12">
        <v>9.4023579000000002</v>
      </c>
      <c r="E105" s="17">
        <v>3</v>
      </c>
      <c r="F105" s="12">
        <v>81.173333299999996</v>
      </c>
      <c r="G105" s="12">
        <v>9.0251971999999991</v>
      </c>
      <c r="H105" s="12">
        <v>15.5903057</v>
      </c>
      <c r="I105" s="12">
        <v>-1.8313096</v>
      </c>
      <c r="J105" s="12">
        <v>1.5217489</v>
      </c>
      <c r="K105" s="12">
        <v>0.68684730000000005</v>
      </c>
      <c r="L105" s="12">
        <v>-4.3493221000000002</v>
      </c>
      <c r="M105" s="12">
        <v>-21.849910399999999</v>
      </c>
      <c r="N105" s="12">
        <v>6.5695499999999996</v>
      </c>
      <c r="O105" s="12">
        <v>-4.9668127000000002</v>
      </c>
      <c r="P105" s="7">
        <v>683.24199999999996</v>
      </c>
      <c r="Q105" s="7">
        <v>104.40300000000001</v>
      </c>
      <c r="R105" s="7">
        <v>13.3</v>
      </c>
      <c r="S105" s="12">
        <v>13.201889100000001</v>
      </c>
      <c r="T105" s="12">
        <v>5.5</v>
      </c>
      <c r="U105" s="12">
        <v>132.0763604</v>
      </c>
      <c r="V105" s="12">
        <v>61.667933300000001</v>
      </c>
      <c r="W105" s="12">
        <v>0.133023</v>
      </c>
      <c r="X105" s="12">
        <v>13.7177887</v>
      </c>
      <c r="Y105" s="12">
        <v>-1.4731320000000001</v>
      </c>
      <c r="Z105" s="12">
        <v>3.2027614999999998</v>
      </c>
      <c r="AA105" s="12">
        <v>71.316776000000004</v>
      </c>
      <c r="AB105" s="12">
        <v>16.559008800000001</v>
      </c>
      <c r="AC105" s="12">
        <v>23.289279400000002</v>
      </c>
      <c r="AD105" s="12">
        <v>78.033743099999995</v>
      </c>
      <c r="AE105" s="12">
        <v>89.198755300000002</v>
      </c>
      <c r="AF105" s="12">
        <v>6.8492207000000001</v>
      </c>
      <c r="AG105" s="12">
        <v>49.772800400000001</v>
      </c>
    </row>
    <row r="106" spans="1:33" x14ac:dyDescent="0.3">
      <c r="A106" t="s">
        <v>113</v>
      </c>
      <c r="B106" s="12">
        <v>0.20197219999999999</v>
      </c>
      <c r="C106" s="12">
        <v>126.9766667</v>
      </c>
      <c r="D106" s="12">
        <v>7.2136222999999999</v>
      </c>
      <c r="E106" s="17">
        <v>3.75</v>
      </c>
      <c r="F106" s="12">
        <v>78.316666699999999</v>
      </c>
      <c r="G106" s="12">
        <v>35.488128699999997</v>
      </c>
      <c r="H106" s="12">
        <v>10.0202679</v>
      </c>
      <c r="I106" s="12">
        <v>-9.9955253000000006</v>
      </c>
      <c r="J106" s="12">
        <v>1.0521704999999999</v>
      </c>
      <c r="K106" s="12">
        <v>2.7570627999999999</v>
      </c>
      <c r="L106" s="12">
        <v>-1.0933870000000001</v>
      </c>
      <c r="M106" s="12">
        <v>-4.4131077999999997</v>
      </c>
      <c r="N106" s="12">
        <v>-1.356366</v>
      </c>
      <c r="O106" s="12">
        <v>-1.9858480000000001</v>
      </c>
      <c r="P106" s="7">
        <v>689.71400000000006</v>
      </c>
      <c r="Q106" s="7">
        <v>103.88800000000001</v>
      </c>
      <c r="R106" s="7">
        <v>13.1</v>
      </c>
      <c r="S106" s="12">
        <v>15.4370563</v>
      </c>
      <c r="T106" s="12">
        <v>6</v>
      </c>
      <c r="U106" s="12">
        <v>133.9694164</v>
      </c>
      <c r="V106" s="12">
        <v>61.558666700000003</v>
      </c>
      <c r="W106" s="12">
        <v>2.7419354999999999</v>
      </c>
      <c r="X106" s="12">
        <v>2.6451750999999999</v>
      </c>
      <c r="Y106" s="12">
        <v>-2.9594906999999999</v>
      </c>
      <c r="Z106" s="12">
        <v>-3.6045734</v>
      </c>
      <c r="AA106" s="12">
        <v>76.228555700000001</v>
      </c>
      <c r="AB106" s="12">
        <v>16.979332599999999</v>
      </c>
      <c r="AC106" s="12">
        <v>24.5301042</v>
      </c>
      <c r="AD106" s="12">
        <v>76.294331200000002</v>
      </c>
      <c r="AE106" s="12">
        <v>94.032323599999998</v>
      </c>
      <c r="AF106" s="12">
        <v>6.4488415000000003</v>
      </c>
      <c r="AG106" s="12">
        <v>50.0828129</v>
      </c>
    </row>
    <row r="107" spans="1:33" x14ac:dyDescent="0.3">
      <c r="A107" t="s">
        <v>114</v>
      </c>
      <c r="B107" s="12">
        <v>-0.19771859999999999</v>
      </c>
      <c r="C107" s="12">
        <v>127.6866667</v>
      </c>
      <c r="D107" s="12">
        <v>5.6746392999999999</v>
      </c>
      <c r="E107" s="17">
        <v>4.25</v>
      </c>
      <c r="F107" s="12">
        <v>86.66</v>
      </c>
      <c r="G107" s="12">
        <v>3.3877869</v>
      </c>
      <c r="H107" s="12">
        <v>6.5109594</v>
      </c>
      <c r="I107" s="12">
        <v>-1.8510445</v>
      </c>
      <c r="J107" s="12">
        <v>1.1780196000000001</v>
      </c>
      <c r="K107" s="12">
        <v>2.8308084999999998</v>
      </c>
      <c r="L107" s="12">
        <v>-3.0446711</v>
      </c>
      <c r="M107" s="12">
        <v>-18.221843199999999</v>
      </c>
      <c r="N107" s="12">
        <v>-5.0424167999999998</v>
      </c>
      <c r="O107" s="12">
        <v>-9.8035546</v>
      </c>
      <c r="P107" s="7">
        <v>692.76800000000003</v>
      </c>
      <c r="Q107" s="7">
        <v>102.134</v>
      </c>
      <c r="R107" s="7">
        <v>12.8</v>
      </c>
      <c r="S107" s="12">
        <v>15.205693500000001</v>
      </c>
      <c r="T107" s="12">
        <v>6.3</v>
      </c>
      <c r="U107" s="12">
        <v>137.4212809</v>
      </c>
      <c r="V107" s="12">
        <v>61.507199999999997</v>
      </c>
      <c r="W107" s="12">
        <v>-0.64913989999999999</v>
      </c>
      <c r="X107" s="12">
        <v>-2.6981510000000002</v>
      </c>
      <c r="Y107" s="12">
        <v>-9.2039624999999994</v>
      </c>
      <c r="Z107" s="12">
        <v>7.3920779000000003</v>
      </c>
      <c r="AA107" s="12">
        <v>72.911550700000006</v>
      </c>
      <c r="AB107" s="12">
        <v>15.709177800000001</v>
      </c>
      <c r="AC107" s="12">
        <v>20.751170800000001</v>
      </c>
      <c r="AD107" s="12">
        <v>71.132610999999997</v>
      </c>
      <c r="AE107" s="12">
        <v>80.504556800000003</v>
      </c>
      <c r="AF107" s="12">
        <v>6.3770549000000001</v>
      </c>
      <c r="AG107" s="12">
        <v>47.787376199999997</v>
      </c>
    </row>
    <row r="108" spans="1:33" x14ac:dyDescent="0.3">
      <c r="A108" t="s">
        <v>115</v>
      </c>
      <c r="B108" s="7" t="s">
        <v>107</v>
      </c>
      <c r="C108" s="12">
        <v>127.9933333</v>
      </c>
      <c r="D108" s="12">
        <v>3.3871836000000002</v>
      </c>
      <c r="E108" s="17">
        <v>4.5</v>
      </c>
      <c r="F108" s="12">
        <v>83.723333299999993</v>
      </c>
      <c r="G108" s="12">
        <v>11.431362999999999</v>
      </c>
      <c r="H108" s="12">
        <v>23.5184496</v>
      </c>
      <c r="I108" s="7" t="s">
        <v>107</v>
      </c>
      <c r="J108" s="7" t="s">
        <v>107</v>
      </c>
      <c r="K108" s="7" t="s">
        <v>107</v>
      </c>
      <c r="L108" s="7" t="s">
        <v>107</v>
      </c>
      <c r="M108" s="7" t="s">
        <v>107</v>
      </c>
      <c r="N108" s="7" t="s">
        <v>107</v>
      </c>
      <c r="O108" s="7" t="s">
        <v>107</v>
      </c>
      <c r="P108" s="7" t="s">
        <v>107</v>
      </c>
      <c r="Q108" s="7" t="s">
        <v>107</v>
      </c>
      <c r="R108" s="7" t="s">
        <v>107</v>
      </c>
      <c r="S108" s="7" t="s">
        <v>107</v>
      </c>
      <c r="T108" s="12">
        <v>6.3</v>
      </c>
      <c r="U108" s="12">
        <v>136.03263469999999</v>
      </c>
      <c r="V108" s="12">
        <v>61.498399999999997</v>
      </c>
      <c r="W108" s="7" t="s">
        <v>107</v>
      </c>
      <c r="X108" s="7" t="s">
        <v>107</v>
      </c>
      <c r="Y108" s="7" t="s">
        <v>107</v>
      </c>
      <c r="Z108" s="7" t="s">
        <v>107</v>
      </c>
      <c r="AA108" s="7" t="s">
        <v>107</v>
      </c>
      <c r="AB108" s="7" t="s">
        <v>107</v>
      </c>
      <c r="AC108" s="7" t="s">
        <v>107</v>
      </c>
      <c r="AD108" s="7" t="s">
        <v>107</v>
      </c>
      <c r="AE108" s="7" t="s">
        <v>107</v>
      </c>
      <c r="AF108" s="12">
        <v>6.7168653000000003</v>
      </c>
      <c r="AG108" s="7" t="s">
        <v>107</v>
      </c>
    </row>
  </sheetData>
  <pageMargins left="0.7" right="0.7" top="0.75" bottom="0.75" header="0.3" footer="0.3"/>
  <pageSetup paperSize="9" orientation="portrait" horizontalDpi="90" verticalDpi="90"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67ADC-871F-4C3A-AE7E-AFC32E8B9C4B}">
  <sheetPr codeName="Tabelle20">
    <tabColor rgb="FF00B050"/>
  </sheetPr>
  <dimension ref="A1:AH108"/>
  <sheetViews>
    <sheetView workbookViewId="0">
      <pane xSplit="1" ySplit="12" topLeftCell="T13" activePane="bottomRight" state="frozen"/>
      <selection activeCell="E12" sqref="E12"/>
      <selection pane="topRight" activeCell="E12" sqref="E12"/>
      <selection pane="bottomLeft" activeCell="E12" sqref="E12"/>
      <selection pane="bottomRight" activeCell="AG1" sqref="AG1"/>
    </sheetView>
  </sheetViews>
  <sheetFormatPr defaultColWidth="9.109375" defaultRowHeight="14.4" outlineLevelRow="1" x14ac:dyDescent="0.3"/>
  <cols>
    <col min="2" max="2" width="11.5546875" bestFit="1" customWidth="1"/>
    <col min="4" max="4" width="12.44140625" customWidth="1"/>
    <col min="7" max="7" width="12.44140625" bestFit="1" customWidth="1"/>
    <col min="8" max="8" width="12.33203125" customWidth="1"/>
    <col min="14" max="14" width="12.44140625" customWidth="1"/>
    <col min="15" max="15" width="13.109375" customWidth="1"/>
    <col min="18" max="18" width="11.109375" bestFit="1" customWidth="1"/>
    <col min="19" max="19" width="12.44140625" bestFit="1" customWidth="1"/>
    <col min="24" max="24" width="12.5546875" bestFit="1" customWidth="1"/>
    <col min="25" max="25" width="12.6640625" bestFit="1" customWidth="1"/>
    <col min="27" max="27" width="13.6640625" customWidth="1"/>
    <col min="30" max="30" width="14" customWidth="1"/>
    <col min="31" max="31" width="13.21875" customWidth="1"/>
  </cols>
  <sheetData>
    <row r="1" spans="1:34" s="8" customFormat="1" x14ac:dyDescent="0.3">
      <c r="A1" s="8" t="s">
        <v>0</v>
      </c>
      <c r="B1" s="8" t="s">
        <v>1</v>
      </c>
      <c r="C1" s="8" t="s">
        <v>2</v>
      </c>
      <c r="D1" s="8" t="s">
        <v>3</v>
      </c>
      <c r="E1" s="14" t="s">
        <v>4</v>
      </c>
      <c r="F1" s="8" t="s">
        <v>5</v>
      </c>
      <c r="G1" s="8" t="s">
        <v>6</v>
      </c>
      <c r="H1" s="8" t="s">
        <v>254</v>
      </c>
      <c r="I1" s="8" t="s">
        <v>7</v>
      </c>
      <c r="J1" s="8" t="s">
        <v>230</v>
      </c>
      <c r="K1" s="8" t="s">
        <v>231</v>
      </c>
      <c r="L1" s="8" t="s">
        <v>232</v>
      </c>
      <c r="M1" s="8" t="s">
        <v>233</v>
      </c>
      <c r="N1" s="8" t="s">
        <v>234</v>
      </c>
      <c r="O1" s="8" t="s">
        <v>235</v>
      </c>
      <c r="P1" s="8" t="s">
        <v>8</v>
      </c>
      <c r="Q1" s="8" t="s">
        <v>9</v>
      </c>
      <c r="R1" s="8" t="s">
        <v>10</v>
      </c>
      <c r="S1" s="8" t="s">
        <v>11</v>
      </c>
      <c r="T1" s="14" t="s">
        <v>12</v>
      </c>
      <c r="U1" s="8" t="s">
        <v>13</v>
      </c>
      <c r="V1" s="8" t="s">
        <v>14</v>
      </c>
      <c r="W1" s="8" t="s">
        <v>15</v>
      </c>
      <c r="X1" s="8" t="s">
        <v>16</v>
      </c>
      <c r="Y1" s="8" t="s">
        <v>17</v>
      </c>
      <c r="Z1" s="8" t="s">
        <v>18</v>
      </c>
      <c r="AA1" s="8" t="s">
        <v>248</v>
      </c>
      <c r="AB1" s="8" t="s">
        <v>236</v>
      </c>
      <c r="AC1" s="8" t="s">
        <v>237</v>
      </c>
      <c r="AD1" s="8" t="s">
        <v>238</v>
      </c>
      <c r="AE1" s="8" t="s">
        <v>239</v>
      </c>
      <c r="AF1" s="14" t="s">
        <v>255</v>
      </c>
      <c r="AG1" s="14" t="s">
        <v>1317</v>
      </c>
      <c r="AH1" s="9"/>
    </row>
    <row r="2" spans="1:34" s="10" customFormat="1" outlineLevel="1" x14ac:dyDescent="0.3">
      <c r="A2" s="16" t="s">
        <v>1292</v>
      </c>
      <c r="B2" s="26"/>
      <c r="C2" s="26"/>
      <c r="D2" s="26" t="s">
        <v>198</v>
      </c>
      <c r="E2" s="26"/>
      <c r="F2" s="26"/>
      <c r="G2" s="26" t="s">
        <v>193</v>
      </c>
      <c r="H2" s="26" t="s">
        <v>302</v>
      </c>
      <c r="I2" s="26"/>
      <c r="J2" s="26" t="s">
        <v>240</v>
      </c>
      <c r="K2" s="26" t="s">
        <v>241</v>
      </c>
      <c r="L2" s="26" t="s">
        <v>242</v>
      </c>
      <c r="M2" s="26" t="s">
        <v>243</v>
      </c>
      <c r="N2" s="26" t="s">
        <v>244</v>
      </c>
      <c r="O2" s="26" t="s">
        <v>245</v>
      </c>
      <c r="P2" s="26"/>
      <c r="Q2" s="26"/>
      <c r="R2" s="26"/>
      <c r="S2" s="26" t="s">
        <v>192</v>
      </c>
      <c r="T2" s="26"/>
      <c r="U2" s="26"/>
      <c r="V2" s="26"/>
      <c r="W2" s="26" t="s">
        <v>215</v>
      </c>
      <c r="X2" s="26" t="s">
        <v>228</v>
      </c>
      <c r="Y2" s="26" t="s">
        <v>229</v>
      </c>
      <c r="Z2" s="26"/>
      <c r="AA2" s="26" t="s">
        <v>246</v>
      </c>
      <c r="AB2" s="26"/>
      <c r="AC2" s="26"/>
      <c r="AD2" s="26"/>
      <c r="AE2" s="26"/>
      <c r="AF2" s="26" t="s">
        <v>890</v>
      </c>
      <c r="AG2" s="26"/>
    </row>
    <row r="3" spans="1:34" outlineLevel="1" x14ac:dyDescent="0.3">
      <c r="A3" s="16" t="s">
        <v>1293</v>
      </c>
      <c r="B3" s="27" t="s">
        <v>123</v>
      </c>
      <c r="C3" s="27" t="s">
        <v>195</v>
      </c>
      <c r="D3" s="27" t="s">
        <v>195</v>
      </c>
      <c r="E3" s="27" t="s">
        <v>186</v>
      </c>
      <c r="F3" s="27" t="s">
        <v>125</v>
      </c>
      <c r="G3" s="27" t="s">
        <v>178</v>
      </c>
      <c r="H3" s="27" t="s">
        <v>125</v>
      </c>
      <c r="I3" s="27" t="s">
        <v>178</v>
      </c>
      <c r="J3" s="27" t="s">
        <v>123</v>
      </c>
      <c r="K3" s="27" t="s">
        <v>125</v>
      </c>
      <c r="L3" s="27" t="s">
        <v>125</v>
      </c>
      <c r="M3" s="27" t="s">
        <v>125</v>
      </c>
      <c r="N3" s="27" t="s">
        <v>125</v>
      </c>
      <c r="O3" s="27" t="s">
        <v>125</v>
      </c>
      <c r="P3" s="27" t="s">
        <v>1267</v>
      </c>
      <c r="Q3" s="27" t="s">
        <v>1267</v>
      </c>
      <c r="R3" s="27" t="s">
        <v>1267</v>
      </c>
      <c r="S3" s="27" t="s">
        <v>1271</v>
      </c>
      <c r="T3" s="27" t="s">
        <v>158</v>
      </c>
      <c r="U3" s="27" t="s">
        <v>162</v>
      </c>
      <c r="V3" s="27" t="s">
        <v>125</v>
      </c>
      <c r="W3" s="27" t="s">
        <v>125</v>
      </c>
      <c r="X3" s="27" t="s">
        <v>207</v>
      </c>
      <c r="Y3" s="27" t="s">
        <v>207</v>
      </c>
      <c r="Z3" s="27" t="s">
        <v>203</v>
      </c>
      <c r="AA3" s="27" t="s">
        <v>125</v>
      </c>
      <c r="AB3" s="27" t="s">
        <v>125</v>
      </c>
      <c r="AC3" s="27" t="s">
        <v>125</v>
      </c>
      <c r="AD3" s="27" t="s">
        <v>125</v>
      </c>
      <c r="AE3" s="27" t="s">
        <v>125</v>
      </c>
      <c r="AF3" s="27" t="s">
        <v>125</v>
      </c>
      <c r="AG3" s="27" t="s">
        <v>125</v>
      </c>
    </row>
    <row r="4" spans="1:34" outlineLevel="1" x14ac:dyDescent="0.3">
      <c r="A4" s="16" t="s">
        <v>1288</v>
      </c>
      <c r="B4" s="2">
        <v>144396</v>
      </c>
      <c r="C4" s="2">
        <v>77811</v>
      </c>
      <c r="D4" s="2">
        <v>77812</v>
      </c>
      <c r="E4" s="2">
        <v>144399</v>
      </c>
      <c r="F4" s="27">
        <v>101874</v>
      </c>
      <c r="G4" s="2">
        <v>53399</v>
      </c>
      <c r="H4" s="27">
        <v>53396</v>
      </c>
      <c r="I4" s="2">
        <v>89225</v>
      </c>
      <c r="J4" s="2">
        <v>88676</v>
      </c>
      <c r="K4" s="27">
        <v>90877</v>
      </c>
      <c r="L4" s="27">
        <v>90921</v>
      </c>
      <c r="M4" s="27">
        <v>90943</v>
      </c>
      <c r="N4" s="27">
        <v>90987</v>
      </c>
      <c r="O4" s="27">
        <v>91009</v>
      </c>
      <c r="P4" s="2">
        <v>53357</v>
      </c>
      <c r="Q4" s="2">
        <v>53361</v>
      </c>
      <c r="R4" s="2">
        <v>53362</v>
      </c>
      <c r="S4" s="2">
        <v>322</v>
      </c>
      <c r="T4" s="2">
        <v>55348</v>
      </c>
      <c r="U4" s="2">
        <v>57423</v>
      </c>
      <c r="V4" s="27">
        <v>32948</v>
      </c>
      <c r="W4" s="27">
        <v>56742</v>
      </c>
      <c r="X4" s="2">
        <v>87277</v>
      </c>
      <c r="Y4" s="2">
        <v>87314</v>
      </c>
      <c r="Z4" s="2">
        <v>88747</v>
      </c>
      <c r="AA4" s="27">
        <v>90349</v>
      </c>
      <c r="AB4" s="27">
        <v>90393</v>
      </c>
      <c r="AC4" s="27">
        <v>90415</v>
      </c>
      <c r="AD4" s="27">
        <v>90503</v>
      </c>
      <c r="AE4" s="27">
        <v>90525</v>
      </c>
      <c r="AF4" s="27">
        <v>89623</v>
      </c>
      <c r="AG4" s="27">
        <v>144785</v>
      </c>
    </row>
    <row r="5" spans="1:34" outlineLevel="1" x14ac:dyDescent="0.3">
      <c r="A5" t="s">
        <v>1291</v>
      </c>
      <c r="B5" s="27" t="s">
        <v>221</v>
      </c>
      <c r="C5" s="27" t="s">
        <v>194</v>
      </c>
      <c r="D5" s="27" t="s">
        <v>199</v>
      </c>
      <c r="E5" s="27" t="s">
        <v>253</v>
      </c>
      <c r="F5" s="27" t="s">
        <v>189</v>
      </c>
      <c r="G5" s="27" t="s">
        <v>177</v>
      </c>
      <c r="H5" s="27" t="s">
        <v>172</v>
      </c>
      <c r="I5" s="27" t="s">
        <v>181</v>
      </c>
      <c r="J5" s="27" t="s">
        <v>116</v>
      </c>
      <c r="K5" s="27" t="s">
        <v>124</v>
      </c>
      <c r="L5" s="27" t="s">
        <v>128</v>
      </c>
      <c r="M5" s="27" t="s">
        <v>131</v>
      </c>
      <c r="N5" s="27" t="s">
        <v>134</v>
      </c>
      <c r="O5" s="27" t="s">
        <v>137</v>
      </c>
      <c r="P5" s="27" t="s">
        <v>140</v>
      </c>
      <c r="Q5" s="27" t="s">
        <v>145</v>
      </c>
      <c r="R5" s="27" t="s">
        <v>148</v>
      </c>
      <c r="S5" s="27" t="s">
        <v>153</v>
      </c>
      <c r="T5" s="27" t="s">
        <v>1309</v>
      </c>
      <c r="U5" s="27" t="s">
        <v>161</v>
      </c>
      <c r="V5" s="27" t="s">
        <v>167</v>
      </c>
      <c r="W5" s="27" t="s">
        <v>216</v>
      </c>
      <c r="X5" s="27" t="s">
        <v>206</v>
      </c>
      <c r="Y5" s="27" t="s">
        <v>212</v>
      </c>
      <c r="Z5" s="27" t="s">
        <v>202</v>
      </c>
      <c r="AA5" s="27" t="s">
        <v>247</v>
      </c>
      <c r="AB5" s="27" t="s">
        <v>249</v>
      </c>
      <c r="AC5" s="27" t="s">
        <v>250</v>
      </c>
      <c r="AD5" s="27" t="s">
        <v>251</v>
      </c>
      <c r="AE5" s="27" t="s">
        <v>252</v>
      </c>
      <c r="AF5" s="27" t="s">
        <v>891</v>
      </c>
      <c r="AG5" s="27" t="s">
        <v>910</v>
      </c>
    </row>
    <row r="6" spans="1:34" outlineLevel="1" x14ac:dyDescent="0.3">
      <c r="A6" t="s">
        <v>1289</v>
      </c>
      <c r="B6" s="27" t="s">
        <v>222</v>
      </c>
      <c r="C6" s="27" t="s">
        <v>196</v>
      </c>
      <c r="D6" s="27" t="s">
        <v>196</v>
      </c>
      <c r="E6" s="27" t="s">
        <v>187</v>
      </c>
      <c r="F6" s="27" t="s">
        <v>190</v>
      </c>
      <c r="G6" s="27" t="s">
        <v>119</v>
      </c>
      <c r="H6" s="27" t="s">
        <v>119</v>
      </c>
      <c r="I6" s="27" t="s">
        <v>119</v>
      </c>
      <c r="J6" s="27" t="s">
        <v>119</v>
      </c>
      <c r="K6" s="27" t="s">
        <v>119</v>
      </c>
      <c r="L6" s="27" t="s">
        <v>119</v>
      </c>
      <c r="M6" s="27" t="s">
        <v>119</v>
      </c>
      <c r="N6" s="27" t="s">
        <v>119</v>
      </c>
      <c r="O6" s="27" t="s">
        <v>119</v>
      </c>
      <c r="P6" s="27" t="s">
        <v>119</v>
      </c>
      <c r="Q6" s="27" t="s">
        <v>119</v>
      </c>
      <c r="R6" s="27" t="s">
        <v>119</v>
      </c>
      <c r="S6" s="27" t="s">
        <v>119</v>
      </c>
      <c r="T6" s="27" t="s">
        <v>119</v>
      </c>
      <c r="U6" s="27" t="s">
        <v>119</v>
      </c>
      <c r="V6" s="27" t="s">
        <v>119</v>
      </c>
      <c r="W6" s="27" t="s">
        <v>119</v>
      </c>
      <c r="X6" s="27" t="s">
        <v>119</v>
      </c>
      <c r="Y6" s="27" t="s">
        <v>119</v>
      </c>
      <c r="Z6" s="27" t="s">
        <v>119</v>
      </c>
      <c r="AA6" s="27" t="s">
        <v>119</v>
      </c>
      <c r="AB6" s="27" t="s">
        <v>119</v>
      </c>
      <c r="AC6" s="27" t="s">
        <v>119</v>
      </c>
      <c r="AD6" s="27" t="s">
        <v>119</v>
      </c>
      <c r="AE6" s="27" t="s">
        <v>119</v>
      </c>
      <c r="AF6" s="27" t="s">
        <v>119</v>
      </c>
      <c r="AG6" s="27" t="s">
        <v>119</v>
      </c>
    </row>
    <row r="7" spans="1:34" outlineLevel="1" x14ac:dyDescent="0.3">
      <c r="A7" t="s">
        <v>1290</v>
      </c>
      <c r="B7" s="27" t="s">
        <v>223</v>
      </c>
      <c r="C7" s="27" t="s">
        <v>197</v>
      </c>
      <c r="D7" s="27" t="s">
        <v>197</v>
      </c>
      <c r="E7" s="27" t="s">
        <v>188</v>
      </c>
      <c r="F7" s="27" t="s">
        <v>191</v>
      </c>
      <c r="G7" s="27" t="s">
        <v>117</v>
      </c>
      <c r="H7" s="27" t="s">
        <v>117</v>
      </c>
      <c r="I7" s="27" t="s">
        <v>117</v>
      </c>
      <c r="J7" s="27" t="s">
        <v>117</v>
      </c>
      <c r="K7" s="27" t="s">
        <v>117</v>
      </c>
      <c r="L7" s="27" t="s">
        <v>117</v>
      </c>
      <c r="M7" s="27" t="s">
        <v>117</v>
      </c>
      <c r="N7" s="27" t="s">
        <v>117</v>
      </c>
      <c r="O7" s="27" t="s">
        <v>117</v>
      </c>
      <c r="P7" s="27" t="s">
        <v>117</v>
      </c>
      <c r="Q7" s="27" t="s">
        <v>117</v>
      </c>
      <c r="R7" s="27" t="s">
        <v>117</v>
      </c>
      <c r="S7" s="27" t="s">
        <v>117</v>
      </c>
      <c r="T7" s="27" t="s">
        <v>117</v>
      </c>
      <c r="U7" s="27" t="s">
        <v>117</v>
      </c>
      <c r="V7" s="27" t="s">
        <v>117</v>
      </c>
      <c r="W7" s="27" t="s">
        <v>117</v>
      </c>
      <c r="X7" s="27" t="s">
        <v>117</v>
      </c>
      <c r="Y7" s="27" t="s">
        <v>117</v>
      </c>
      <c r="Z7" s="27" t="s">
        <v>117</v>
      </c>
      <c r="AA7" s="27" t="s">
        <v>117</v>
      </c>
      <c r="AB7" s="27" t="s">
        <v>117</v>
      </c>
      <c r="AC7" s="27" t="s">
        <v>117</v>
      </c>
      <c r="AD7" s="27" t="s">
        <v>117</v>
      </c>
      <c r="AE7" s="27" t="s">
        <v>117</v>
      </c>
      <c r="AF7" s="27" t="s">
        <v>117</v>
      </c>
      <c r="AG7" s="27" t="s">
        <v>117</v>
      </c>
    </row>
    <row r="8" spans="1:34" outlineLevel="1" x14ac:dyDescent="0.3">
      <c r="A8" s="16" t="s">
        <v>489</v>
      </c>
      <c r="B8" s="27" t="s">
        <v>120</v>
      </c>
      <c r="C8" s="27" t="s">
        <v>163</v>
      </c>
      <c r="D8" s="27" t="s">
        <v>163</v>
      </c>
      <c r="E8" s="27" t="s">
        <v>159</v>
      </c>
      <c r="F8" s="27"/>
      <c r="G8" s="27" t="s">
        <v>179</v>
      </c>
      <c r="H8" s="27" t="s">
        <v>173</v>
      </c>
      <c r="I8" s="27" t="s">
        <v>182</v>
      </c>
      <c r="J8" s="27" t="s">
        <v>120</v>
      </c>
      <c r="K8" s="27" t="s">
        <v>126</v>
      </c>
      <c r="L8" s="27" t="s">
        <v>129</v>
      </c>
      <c r="M8" s="27" t="s">
        <v>132</v>
      </c>
      <c r="N8" s="27" t="s">
        <v>135</v>
      </c>
      <c r="O8" s="27" t="s">
        <v>138</v>
      </c>
      <c r="P8" s="27" t="s">
        <v>141</v>
      </c>
      <c r="Q8" s="27" t="s">
        <v>146</v>
      </c>
      <c r="R8" s="27" t="s">
        <v>149</v>
      </c>
      <c r="S8" s="27" t="s">
        <v>154</v>
      </c>
      <c r="T8" s="27" t="s">
        <v>159</v>
      </c>
      <c r="U8" s="27" t="s">
        <v>163</v>
      </c>
      <c r="V8" s="27" t="s">
        <v>168</v>
      </c>
      <c r="W8" s="27" t="s">
        <v>217</v>
      </c>
      <c r="X8" s="27" t="s">
        <v>208</v>
      </c>
      <c r="Y8" s="27" t="s">
        <v>213</v>
      </c>
      <c r="Z8" s="27" t="s">
        <v>204</v>
      </c>
      <c r="AA8" s="27" t="s">
        <v>126</v>
      </c>
      <c r="AB8" s="27" t="s">
        <v>129</v>
      </c>
      <c r="AC8" s="27" t="s">
        <v>132</v>
      </c>
      <c r="AD8" s="27" t="s">
        <v>135</v>
      </c>
      <c r="AE8" s="27" t="s">
        <v>138</v>
      </c>
      <c r="AF8" s="27" t="s">
        <v>351</v>
      </c>
      <c r="AG8" s="27" t="s">
        <v>402</v>
      </c>
    </row>
    <row r="9" spans="1:34" outlineLevel="1" x14ac:dyDescent="0.3">
      <c r="A9" s="16" t="s">
        <v>490</v>
      </c>
      <c r="B9" s="27" t="s">
        <v>121</v>
      </c>
      <c r="C9" s="27" t="s">
        <v>164</v>
      </c>
      <c r="D9" s="27" t="s">
        <v>164</v>
      </c>
      <c r="E9" s="27" t="s">
        <v>160</v>
      </c>
      <c r="F9" s="27"/>
      <c r="G9" s="27" t="s">
        <v>180</v>
      </c>
      <c r="H9" s="27" t="s">
        <v>174</v>
      </c>
      <c r="I9" s="27" t="s">
        <v>183</v>
      </c>
      <c r="J9" s="27" t="s">
        <v>121</v>
      </c>
      <c r="K9" s="27" t="s">
        <v>127</v>
      </c>
      <c r="L9" s="27" t="s">
        <v>130</v>
      </c>
      <c r="M9" s="27" t="s">
        <v>133</v>
      </c>
      <c r="N9" s="27" t="s">
        <v>136</v>
      </c>
      <c r="O9" s="27" t="s">
        <v>139</v>
      </c>
      <c r="P9" s="27" t="s">
        <v>142</v>
      </c>
      <c r="Q9" s="27" t="s">
        <v>147</v>
      </c>
      <c r="R9" s="27" t="s">
        <v>150</v>
      </c>
      <c r="S9" s="27" t="s">
        <v>155</v>
      </c>
      <c r="T9" s="27" t="s">
        <v>160</v>
      </c>
      <c r="U9" s="27" t="s">
        <v>164</v>
      </c>
      <c r="V9" s="27" t="s">
        <v>169</v>
      </c>
      <c r="W9" s="27" t="s">
        <v>218</v>
      </c>
      <c r="X9" s="27" t="s">
        <v>209</v>
      </c>
      <c r="Y9" s="27" t="s">
        <v>214</v>
      </c>
      <c r="Z9" s="27" t="s">
        <v>205</v>
      </c>
      <c r="AA9" s="27" t="s">
        <v>127</v>
      </c>
      <c r="AB9" s="27" t="s">
        <v>130</v>
      </c>
      <c r="AC9" s="27" t="s">
        <v>133</v>
      </c>
      <c r="AD9" s="27" t="s">
        <v>136</v>
      </c>
      <c r="AE9" s="27" t="s">
        <v>139</v>
      </c>
      <c r="AF9" s="27" t="s">
        <v>352</v>
      </c>
      <c r="AG9" s="28" t="s">
        <v>403</v>
      </c>
    </row>
    <row r="10" spans="1:34" outlineLevel="1" x14ac:dyDescent="0.3">
      <c r="A10" s="16" t="s">
        <v>491</v>
      </c>
      <c r="B10" s="27" t="s">
        <v>224</v>
      </c>
      <c r="C10" s="27" t="s">
        <v>165</v>
      </c>
      <c r="D10" s="27" t="s">
        <v>200</v>
      </c>
      <c r="E10" s="27" t="s">
        <v>226</v>
      </c>
      <c r="F10" s="27"/>
      <c r="G10" s="27" t="s">
        <v>175</v>
      </c>
      <c r="H10" s="27" t="s">
        <v>175</v>
      </c>
      <c r="I10" s="27" t="s">
        <v>184</v>
      </c>
      <c r="J10" s="27" t="s">
        <v>122</v>
      </c>
      <c r="K10" s="27" t="s">
        <v>122</v>
      </c>
      <c r="L10" s="27" t="s">
        <v>122</v>
      </c>
      <c r="M10" s="27" t="s">
        <v>122</v>
      </c>
      <c r="N10" s="27" t="s">
        <v>122</v>
      </c>
      <c r="O10" s="27" t="s">
        <v>122</v>
      </c>
      <c r="P10" s="27" t="s">
        <v>143</v>
      </c>
      <c r="Q10" s="27" t="s">
        <v>143</v>
      </c>
      <c r="R10" s="27" t="s">
        <v>151</v>
      </c>
      <c r="S10" s="27" t="s">
        <v>156</v>
      </c>
      <c r="T10" s="27" t="s">
        <v>447</v>
      </c>
      <c r="U10" s="27" t="s">
        <v>165</v>
      </c>
      <c r="V10" s="27" t="s">
        <v>170</v>
      </c>
      <c r="W10" s="27" t="s">
        <v>219</v>
      </c>
      <c r="X10" s="27" t="s">
        <v>210</v>
      </c>
      <c r="Y10" s="27" t="s">
        <v>210</v>
      </c>
      <c r="Z10" s="27" t="s">
        <v>184</v>
      </c>
      <c r="AA10" s="27" t="s">
        <v>184</v>
      </c>
      <c r="AB10" s="27" t="s">
        <v>184</v>
      </c>
      <c r="AC10" s="27" t="s">
        <v>184</v>
      </c>
      <c r="AD10" s="27" t="s">
        <v>184</v>
      </c>
      <c r="AE10" s="27" t="s">
        <v>184</v>
      </c>
      <c r="AF10" s="27" t="s">
        <v>156</v>
      </c>
      <c r="AG10" s="27" t="s">
        <v>184</v>
      </c>
    </row>
    <row r="11" spans="1:34" outlineLevel="1" x14ac:dyDescent="0.3">
      <c r="A11" s="16" t="s">
        <v>492</v>
      </c>
      <c r="B11" s="27" t="s">
        <v>225</v>
      </c>
      <c r="C11" s="27" t="s">
        <v>166</v>
      </c>
      <c r="D11" s="27" t="s">
        <v>201</v>
      </c>
      <c r="E11" s="27" t="s">
        <v>227</v>
      </c>
      <c r="F11" s="27"/>
      <c r="G11" s="27" t="s">
        <v>176</v>
      </c>
      <c r="H11" s="27" t="s">
        <v>176</v>
      </c>
      <c r="I11" s="27" t="s">
        <v>185</v>
      </c>
      <c r="J11" s="27" t="s">
        <v>118</v>
      </c>
      <c r="K11" s="27" t="s">
        <v>118</v>
      </c>
      <c r="L11" s="27" t="s">
        <v>118</v>
      </c>
      <c r="M11" s="27" t="s">
        <v>118</v>
      </c>
      <c r="N11" s="27" t="s">
        <v>118</v>
      </c>
      <c r="O11" s="27" t="s">
        <v>118</v>
      </c>
      <c r="P11" s="27" t="s">
        <v>144</v>
      </c>
      <c r="Q11" s="27" t="s">
        <v>144</v>
      </c>
      <c r="R11" s="27" t="s">
        <v>152</v>
      </c>
      <c r="S11" s="27" t="s">
        <v>157</v>
      </c>
      <c r="T11" s="27" t="s">
        <v>448</v>
      </c>
      <c r="U11" s="27" t="s">
        <v>166</v>
      </c>
      <c r="V11" s="27" t="s">
        <v>171</v>
      </c>
      <c r="W11" s="27" t="s">
        <v>220</v>
      </c>
      <c r="X11" s="27" t="s">
        <v>211</v>
      </c>
      <c r="Y11" s="27" t="s">
        <v>211</v>
      </c>
      <c r="Z11" s="27" t="s">
        <v>185</v>
      </c>
      <c r="AA11" s="27" t="s">
        <v>185</v>
      </c>
      <c r="AB11" s="27" t="s">
        <v>185</v>
      </c>
      <c r="AC11" s="27" t="s">
        <v>185</v>
      </c>
      <c r="AD11" s="27" t="s">
        <v>185</v>
      </c>
      <c r="AE11" s="27" t="s">
        <v>185</v>
      </c>
      <c r="AF11" s="27" t="s">
        <v>157</v>
      </c>
      <c r="AG11" s="27" t="s">
        <v>185</v>
      </c>
    </row>
    <row r="12" spans="1:34" outlineLevel="1" x14ac:dyDescent="0.3">
      <c r="B12" s="4" t="str">
        <f>INDEX({"31/01/2024 @ 15:43","macro_id=DBGlobal","label_id=144396","time=Q","year_from=2000","year_to=2023","direction=V","opt_font=true","fontsize=8","opt_color=true","col_desc=Calculation:10;Footnote 1:9;ID:8;Label:7;Reporter:6:s;Reporter:5:long;Indicator:4:s;Indicator:3:l;Unit:2:s;Unit:1:long;","numberformat=0.00","auto_tr=1999|2015","com=true","comp=4"},1,1)</f>
        <v>31/01/2024 @ 15:43</v>
      </c>
      <c r="C12" s="4" t="str">
        <f>INDEX({"31/01/2024 @ 15:43","macro_id=DBGlobal","label_id=77811","time=Q","year_from=2000","year_to=2023","direction=V","opt_font=true","fontsize=8","opt_color=true","col_desc=Calculation:10;Footnote 1:9;ID:8;Label:7;Reporter:6:s;Reporter:5:long;Indicator:4:s;Indicator:3:l;Unit:2:s;Unit:1:long;","numberformat=0.00","auto_tr=1999|2015","com=true","comp=4"},1,1)</f>
        <v>31/01/2024 @ 15:43</v>
      </c>
      <c r="D12" s="6" t="str">
        <f>INDEX({"31/01/2024 @ 15:43","macro_id=DBGlobal","label_id=77812","calc=SubScal(L_77812,100)","time=Q","year_from=2000","year_to=2023","direction=V","opt_font=true","fontsize=8","opt_color=true","col_desc=Calculation:10;Footnote 1:9;ID:8;Label:7;Reporter:6:s;Reporter:5:long;Indicator:4:s;Indicator:3:l;Unit:2:s;Unit:1:long;","numberformat=0.00","auto_tr=1999|2015","com=true","comp=4"},1,1)</f>
        <v>31/01/2024 @ 15:43</v>
      </c>
      <c r="E12" s="4" t="str">
        <f>INDEX({"31/01/2024 @ 15:43","macro_id=DBGlobal","label_id=144399","time=Q","year_from=2000","year_to=2023","direction=V","opt_font=true","fontsize=8","opt_color=true","col_desc=Calculation:10;Footnote 1:9;ID:8;Label:7;Reporter:6:s;Reporter:5:long;Indicator:4:s;Indicator:3:l;Unit:2:s;Unit:1:long;","numberformat=0.00","auto_tr=1999|2015","com=true","comp=4"},1,1)</f>
        <v>31/01/2024 @ 15:43</v>
      </c>
      <c r="F12" s="4" t="str">
        <f>INDEX({"31/01/2024 @ 15:43","macro_id=DBGlobal","label_id=101874","time=Q","year_from=2000","year_to=2023","direction=V","opt_font=true","fontsize=8","opt_color=true","col_desc=Calculation:10;Footnote 1:9;ID:8;Label:7;Reporter:6:s;Reporter:5:long;Indicator:4:s;Indicator:3:l;Unit:2:s;Unit:1:long;","numberformat=0.00","auto_tr=1999|2015","com=true","comp=4"},1,1)</f>
        <v>31/01/2024 @ 15:43</v>
      </c>
      <c r="G12" s="5" t="str">
        <f>INDEX({"31/01/2024 @ 15:43","macro_id=DBGlobal","label_id=53399","calc=SubScal(CPPY=100(L_53399),100)","time=Q","year_from=2000","year_to=2023","direction=V","opt_font=true","fontsize=8","opt_color=true","col_desc=Calculation:10;Footnote 1:9;ID:8;Label:7;Reporter:6:s;Reporter:5:long;Indicator:4:s;Indicator:3:l;Unit:2:s;Unit:1:long;","numberformat=0.00","auto_tr=1999|2015","com=true","comp=4"},1,1)</f>
        <v>31/01/2024 @ 15:43</v>
      </c>
      <c r="H12" s="5" t="str">
        <f>INDEX({"31/01/2024 @ 15:43","macro_id=DBGlobal","label_id=53396","calc=SubScal(CPPY=100(L_53396),100)","time=Q","year_from=2000","year_to=2023","direction=V","opt_font=true","fontsize=8","opt_color=true","col_desc=Calculation:10;Footnote 1:9;ID:8;Label:7;Reporter:6:s;Reporter:5:long;Indicator:4:s;Indicator:3:l;Unit:2:s;Unit:1:long;","numberformat=0.00","auto_tr=1999|2015","com=true","comp=4"},1,1)</f>
        <v>31/01/2024 @ 15:43</v>
      </c>
      <c r="I12" s="1" t="str">
        <f>INDEX({"31/01/2024 @ 15:43","macro_id=DBGlobal","label_id=89225","time=Q","year_from=2000","year_to=2023","direction=V","opt_font=true","fontsize=8","opt_color=true","col_desc=Calculation:10;Footnote 1:9;ID:8;Label:7;Reporter:6:s;Reporter:5:long;Indicator:4:s;Indicator:3:l;Unit:2:s;Unit:1:long;","numberformat=0.00","auto_tr=1999|2015","com=true","comp=4"},1,1)</f>
        <v>31/01/2024 @ 15:43</v>
      </c>
      <c r="J12" s="5" t="str">
        <f>INDEX({"31/01/2024 @ 15:43","macro_id=DBGlobal","label_id=88676","calc=SubScal(CPPY=100(L_88676),100)","time=Q","year_from=2000","year_to=2023","direction=V","opt_font=true","fontsize=8","opt_color=true","col_desc=Calculation:10;Footnote 1:9;ID:8;Label:7;Reporter:6:s;Reporter:5:long;Indicator:4:s;Indicator:3:l;Unit:2:s;Unit:1:long;","numberformat=0.00","auto_tr=1999|2015","com=true","comp=4"},1,1)</f>
        <v>31/01/2024 @ 15:43</v>
      </c>
      <c r="K12" s="5" t="str">
        <f>INDEX({"31/01/2024 @ 15:43","macro_id=DBGlobal","label_id=90877","calc=SubScal(CPPY=100(L_90877),100)","time=Q","year_from=2000","year_to=2023","direction=V","opt_font=true","fontsize=8","opt_color=true","col_desc=Calculation:10;Footnote 1:9;ID:8;Label:7;Reporter:6:s;Reporter:5:long;Indicator:4:s;Indicator:3:l;Unit:2:s;Unit:1:long;","numberformat=0.00","auto_tr=1999|2015","com=true","comp=4"},1,1)</f>
        <v>31/01/2024 @ 15:43</v>
      </c>
      <c r="L12" s="5" t="str">
        <f>INDEX({"31/01/2024 @ 15:43","macro_id=DBGlobal","label_id=90921","calc=SubScal(CPPY=100(L_90921),100)","time=Q","year_from=2000","year_to=2023","direction=V","opt_font=true","fontsize=8","opt_color=true","col_desc=Calculation:10;Footnote 1:9;ID:8;Label:7;Reporter:6:s;Reporter:5:long;Indicator:4:s;Indicator:3:l;Unit:2:s;Unit:1:long;","numberformat=0.00","auto_tr=1999|2015","com=true","comp=4"},1,1)</f>
        <v>31/01/2024 @ 15:43</v>
      </c>
      <c r="M12" s="5" t="str">
        <f>INDEX({"31/01/2024 @ 15:43","macro_id=DBGlobal","label_id=90943","calc=SubScal(CPPY=100(L_90943),100)","time=Q","year_from=2000","year_to=2023","direction=V","opt_font=true","fontsize=8","opt_color=true","col_desc=Calculation:10;Footnote 1:9;ID:8;Label:7;Reporter:6:s;Reporter:5:long;Indicator:4:s;Indicator:3:l;Unit:2:s;Unit:1:long;","numberformat=0.00","auto_tr=1999|2015","com=true","comp=4"},1,1)</f>
        <v>31/01/2024 @ 15:43</v>
      </c>
      <c r="N12" s="5" t="str">
        <f>INDEX({"31/01/2024 @ 15:43","macro_id=DBGlobal","label_id=90987","calc=SubScal(CPPY=100(L_90987),100)","time=Q","year_from=2000","year_to=2023","direction=V","opt_font=true","fontsize=8","opt_color=true","col_desc=Calculation:10;Footnote 1:9;ID:8;Label:7;Reporter:6:s;Reporter:5:long;Indicator:4:s;Indicator:3:l;Unit:2:s;Unit:1:long;","numberformat=0.00","auto_tr=1999|2015","com=true","comp=4"},1,1)</f>
        <v>31/01/2024 @ 15:43</v>
      </c>
      <c r="O12" s="5" t="str">
        <f>INDEX({"31/01/2024 @ 15:43","macro_id=DBGlobal","label_id=91009","calc=SubScal(CPPY=100(L_91009),100)","time=Q","year_from=2000","year_to=2023","direction=V","opt_font=true","fontsize=8","opt_color=true","col_desc=Calculation:10;Footnote 1:9;ID:8;Label:7;Reporter:6:s;Reporter:5:long;Indicator:4:s;Indicator:3:l;Unit:2:s;Unit:1:long;","numberformat=0.00","auto_tr=1999|2015","com=true","comp=4"},1,1)</f>
        <v>31/01/2024 @ 15:43</v>
      </c>
      <c r="P12" s="1" t="str">
        <f>INDEX({"31/01/2024 @ 15:43","macro_id=DBGlobal","label_id=53357","time=Q","year_from=2000","year_to=2023","direction=V","opt_font=true","fontsize=8","opt_color=true","col_desc=Calculation:10;Footnote 1:9;ID:8;Label:7;Reporter:6:s;Reporter:5:long;Indicator:4:s;Indicator:3:l;Unit:2:s;Unit:1:long;","numberformat=0.00","auto_tr=1999|2015","com=true","comp=4"},1,1)</f>
        <v>31/01/2024 @ 15:43</v>
      </c>
      <c r="Q12" s="1" t="str">
        <f>INDEX({"31/01/2024 @ 15:43","macro_id=DBGlobal","label_id=53361","time=Q","year_from=2000","year_to=2023","direction=V","opt_font=true","fontsize=8","opt_color=true","col_desc=Calculation:10;Footnote 1:9;ID:8;Label:7;Reporter:6:s;Reporter:5:long;Indicator:4:s;Indicator:3:l;Unit:2:s;Unit:1:long;","numberformat=0.00","auto_tr=1999|2015","com=true","comp=4"},1,1)</f>
        <v>31/01/2024 @ 15:43</v>
      </c>
      <c r="R12" s="1" t="str">
        <f>INDEX({"31/01/2024 @ 15:43","macro_id=DBGlobal","label_id=53362","time=Q","year_from=2000","year_to=2023","direction=V","opt_font=true","fontsize=8","opt_color=true","col_desc=Calculation:10;Footnote 1:9;ID:8;Label:7;Reporter:6:s;Reporter:5:long;Indicator:4:s;Indicator:3:l;Unit:2:s;Unit:1:long;","numberformat=0.00","auto_tr=1999|2015","com=true","comp=4"},1,1)</f>
        <v>31/01/2024 @ 15:43</v>
      </c>
      <c r="S12" s="5" t="str">
        <f>INDEX({"31/01/2024 @ 15:43","macro_id=DBGlobal","label_id=322","calc=SubScal(L_322,100)","time=Q","year_from=2000","year_to=2023","direction=V","opt_font=true","fontsize=8","opt_color=true","col_desc=Calculation:10;Footnote 1:9;ID:8;Label:7;Reporter:6:s;Reporter:5:long;Indicator:4:s;Indicator:3:l;Unit:2:s;Unit:1:long;","numberformat=0.00","auto_tr=1999|2015","com=true","comp=4"},1,1)</f>
        <v>31/01/2024 @ 15:43</v>
      </c>
      <c r="T12" s="1" t="str">
        <f>INDEX({"31/01/2024 @ 15:43","macro_id=DBGlobal","label_id=55348","time=Q","year_from=2000","year_to=2023","direction=V","opt_font=true","fontsize=8","opt_color=true","col_desc=Calculation:10;Footnote 1:9;ID:8;Label:7;Reporter:6:s;Reporter:5:long;Indicator:4:s;Indicator:3:l;Unit:2:s;Unit:1:long;","numberformat=0.00","auto_tr=1999|2015","com=true","comp=4"},1,1)</f>
        <v>31/01/2024 @ 15:43</v>
      </c>
      <c r="U12" s="1" t="str">
        <f>INDEX({"31/01/2024 @ 15:43","macro_id=DBGlobal","label_id=57423","time=Q","year_from=2000","year_to=2023","direction=V","opt_font=true","fontsize=8","opt_color=true","col_desc=Calculation:10;Footnote 1:9;ID:8;Label:7;Reporter:6:s;Reporter:5:long;Indicator:4:s;Indicator:3:l;Unit:2:s;Unit:1:long;","numberformat=0.00","auto_tr=1999|2015","com=true","comp=4"},1,1)</f>
        <v>31/01/2024 @ 15:43</v>
      </c>
      <c r="V12" s="1" t="str">
        <f>INDEX({"31/01/2024 @ 15:43","macro_id=DBGlobal","label_id=32948","time=Q","year_from=2000","year_to=2023","direction=V","opt_font=true","fontsize=8","opt_color=true","col_desc=Calculation:10;Footnote 1:9;ID:8;Label:7;Reporter:6:s;Reporter:5:long;Indicator:4:s;Indicator:3:l;Unit:2:s;Unit:1:long;","numberformat=0.00","auto_tr=1999|2015","com=true","comp=4"},1,1)</f>
        <v>31/01/2024 @ 15:43</v>
      </c>
      <c r="W12" s="5" t="str">
        <f>INDEX({"31/01/2024 @ 15:43","macro_id=DBGlobal","label_id=56742","calc=SubScal(L_56742,100)","time=Q","year_from=2000","year_to=2023","direction=V","opt_font=true","fontsize=8","opt_color=true","col_desc=Calculation:10;Footnote 1:9;ID:8;Label:7;Reporter:6:s;Reporter:5:long;Indicator:4:s;Indicator:3:l;Unit:2:s;Unit:1:long;","numberformat=0.00","auto_tr=1999|2015","com=true","comp=4"},1,1)</f>
        <v>31/01/2024 @ 15:43</v>
      </c>
      <c r="X12" s="6" t="str">
        <f>INDEX({"31/01/2024 @ 15:43","macro_id=DBGlobal","label_id=87277","calc=SubScal(CPPY=100(AddNull(L_87277,L_87351)),100)","time=Q","year_from=2000","year_to=2023","direction=V","opt_font=true","fontsize=8","opt_color=true","col_desc=Calculation:10;Footnote 1:9;ID:8;Label:7;Reporter:6:s;Reporter:5:long;Indicator:4:s;Indicator:3:l;Unit:2:s;Unit:1:long;","numberformat=0.00","auto_tr=1999|2015","com=true","comp=4"},1,1)</f>
        <v>31/01/2024 @ 15:43</v>
      </c>
      <c r="Y12" s="6" t="str">
        <f>INDEX({"31/01/2024 @ 15:43","macro_id=DBGlobal","label_id=87314","calc=SubScal(CPPY=100(AddNull(L_87314,L_87388)),100)","time=Q","year_from=2000","year_to=2023","direction=V","opt_font=true","fontsize=8","opt_color=true","col_desc=Calculation:10;Footnote 1:9;ID:8;Label:7;Reporter:6:s;Reporter:5:long;Indicator:4:s;Indicator:3:l;Unit:2:s;Unit:1:long;","numberformat=0.00","auto_tr=1999|2015","com=true","comp=4"},1,1)</f>
        <v>31/01/2024 @ 15:43</v>
      </c>
      <c r="Z12" s="1" t="str">
        <f>INDEX({"31/01/2024 @ 15:43","macro_id=DBGlobal","label_id=88747","time=Q","year_from=2000","year_to=2023","direction=V","opt_font=true","fontsize=8","opt_color=true","col_desc=Calculation:10;Footnote 1:9;ID:8;Label:7;Reporter:6:s;Reporter:5:long;Indicator:4:s;Indicator:3:l;Unit:2:s;Unit:1:long;","numberformat=0.00","auto_tr=1999|2015","com=true","comp=4"},1,1)</f>
        <v>31/01/2024 @ 15:43</v>
      </c>
      <c r="AA12" s="5" t="str">
        <f>INDEX({"31/01/2024 @ 15:43","macro_id=DBGlobal","label_id=90349","calc=AddNull(L_90349,L_90371)","time=Q","year_from=2000","year_to=2023","direction=V","opt_font=true","fontsize=8","opt_color=true","col_desc=Calculation:10;Footnote 1:9;ID:8;Label:7;Reporter:6:s;Reporter:5:long;Indicator:4:s;Indicator:3:l;Unit:2:s;Unit:1:long;","numberformat=0.00","auto_tr=1999|2015","com=true","comp=4"},1,1)</f>
        <v>31/01/2024 @ 15:43</v>
      </c>
      <c r="AB12" s="1" t="str">
        <f>INDEX({"31/01/2024 @ 15:43","macro_id=DBGlobal","label_id=90393","time=Q","year_from=2000","year_to=2023","direction=V","opt_font=true","fontsize=8","opt_color=true","col_desc=Calculation:10;Footnote 1:9;ID:8;Label:7;Reporter:6:s;Reporter:5:long;Indicator:4:s;Indicator:3:l;Unit:2:s;Unit:1:long;","numberformat=0.00","auto_tr=1999|2015","com=true","comp=4"},1,1)</f>
        <v>31/01/2024 @ 15:43</v>
      </c>
      <c r="AC12" s="1" t="str">
        <f>INDEX({"31/01/2024 @ 15:43","macro_id=DBGlobal","label_id=90415","time=Q","year_from=2000","year_to=2023","direction=V","opt_font=true","fontsize=8","opt_color=true","col_desc=Calculation:10;Footnote 1:9;ID:8;Label:7;Reporter:6:s;Reporter:5:long;Indicator:4:s;Indicator:3:l;Unit:2:s;Unit:1:long;","numberformat=0.00","auto_tr=1999|2015","com=true","comp=4"},1,1)</f>
        <v>31/01/2024 @ 15:43</v>
      </c>
      <c r="AD12" s="1" t="str">
        <f>INDEX({"31/01/2024 @ 15:43","macro_id=DBGlobal","label_id=90503","time=Q","year_from=2000","year_to=2023","direction=V","opt_font=true","fontsize=8","opt_color=true","col_desc=Calculation:10;Footnote 1:9;ID:8;Label:7;Reporter:6:s;Reporter:5:long;Indicator:4:s;Indicator:3:l;Unit:2:s;Unit:1:long;","numberformat=0.00","auto_tr=1999|2015","com=true","comp=4"},1,1)</f>
        <v>31/01/2024 @ 15:43</v>
      </c>
      <c r="AE12" s="1" t="str">
        <f>INDEX({"31/01/2024 @ 15:43","macro_id=DBGlobal","label_id=90525","time=Q","year_from=2000","year_to=2023","direction=V","opt_font=true","fontsize=8","opt_color=true","col_desc=Calculation:10;Footnote 1:9;ID:8;Label:7;Reporter:6:s;Reporter:5:long;Indicator:4:s;Indicator:3:l;Unit:2:s;Unit:1:long;","numberformat=0.00","auto_tr=1999|2015","com=true","comp=4"},1,1)</f>
        <v>31/01/2024 @ 15:43</v>
      </c>
      <c r="AF12" s="5" t="str">
        <f>INDEX({"31/01/2024 @ 15:43","macro_id=DBGlobal","label_id=89623","calc=SubScal(L_89623,100)","time=Q","year_from=2000","year_to=2023","direction=V","opt_font=true","fontsize=8","opt_color=true","col_desc=Calculation:10;Footnote 1:9;ID:8;Label:7;Reporter:6:s;Reporter:5:long;Indicator:4:s;Indicator:3:l;Unit:2:s;Unit:1:long;","numberformat=0.00","auto_tr=1999|2015","com=true","comp=4"},1,1)</f>
        <v>31/01/2024 @ 15:43</v>
      </c>
      <c r="AG12" s="4" t="str">
        <f>INDEX({"31/01/2024 @ 15:43","macro_id=DBGlobal","label_id=144785","time=Q","year_from=2000","year_to=2023","direction=V","opt_font=true","fontsize=8","opt_color=true","col_desc=Calculation:10;Footnote 1:9;ID:8;Label:7;Reporter:6:s;Reporter:5:long;Indicator:4:s;Indicator:3:l;Unit:2:s;Unit:1:long;","numberformat=0.00","auto_tr=1999|2015","com=true","comp=4"},1,1)</f>
        <v>31/01/2024 @ 15:43</v>
      </c>
    </row>
    <row r="13" spans="1:34" s="11" customFormat="1" x14ac:dyDescent="0.3">
      <c r="A13" s="11" t="s">
        <v>19</v>
      </c>
      <c r="B13" s="12">
        <v>4.8214176000000002</v>
      </c>
      <c r="C13" s="12">
        <v>73.989999999999995</v>
      </c>
      <c r="D13" s="12">
        <v>1.7557532</v>
      </c>
      <c r="E13" s="12">
        <v>3.25</v>
      </c>
      <c r="F13" s="13">
        <v>26.926666699999998</v>
      </c>
      <c r="G13" s="7" t="s">
        <v>107</v>
      </c>
      <c r="H13" s="7" t="s">
        <v>107</v>
      </c>
      <c r="I13" s="7" t="s">
        <v>107</v>
      </c>
      <c r="J13" s="12">
        <v>-0.19074579999999999</v>
      </c>
      <c r="K13" s="12">
        <v>4.8901165000000004</v>
      </c>
      <c r="L13" s="12">
        <v>17.3683415</v>
      </c>
      <c r="M13" s="12">
        <v>-149.43494240000001</v>
      </c>
      <c r="N13" s="12">
        <v>24.8555408</v>
      </c>
      <c r="O13" s="12">
        <v>-11.200338199999999</v>
      </c>
      <c r="P13" s="7" t="s">
        <v>107</v>
      </c>
      <c r="Q13" s="7" t="s">
        <v>107</v>
      </c>
      <c r="R13" s="7" t="s">
        <v>107</v>
      </c>
      <c r="S13" s="7" t="s">
        <v>107</v>
      </c>
      <c r="T13" s="7" t="s">
        <v>107</v>
      </c>
      <c r="U13" s="7" t="s">
        <v>107</v>
      </c>
      <c r="V13" s="7" t="s">
        <v>107</v>
      </c>
      <c r="W13" s="7" t="s">
        <v>107</v>
      </c>
      <c r="X13" s="7" t="s">
        <v>107</v>
      </c>
      <c r="Y13" s="7" t="s">
        <v>107</v>
      </c>
      <c r="Z13" s="7" t="s">
        <v>107</v>
      </c>
      <c r="AA13" s="12">
        <v>80.296086700000004</v>
      </c>
      <c r="AB13" s="12">
        <v>20.298661200000002</v>
      </c>
      <c r="AC13" s="12">
        <v>5.7404729000000003</v>
      </c>
      <c r="AD13" s="12">
        <v>8.5480560000000008</v>
      </c>
      <c r="AE13" s="12">
        <v>14.883276800000001</v>
      </c>
      <c r="AF13" s="7" t="s">
        <v>107</v>
      </c>
      <c r="AG13" s="7" t="s">
        <v>107</v>
      </c>
    </row>
    <row r="14" spans="1:34" s="11" customFormat="1" hidden="1" outlineLevel="1" x14ac:dyDescent="0.3">
      <c r="A14" s="11" t="s">
        <v>20</v>
      </c>
      <c r="B14" s="12">
        <v>4.3154814000000004</v>
      </c>
      <c r="C14" s="12">
        <v>74.493333300000003</v>
      </c>
      <c r="D14" s="12">
        <v>1.6742492</v>
      </c>
      <c r="E14" s="12">
        <v>3.9166666999999999</v>
      </c>
      <c r="F14" s="13">
        <v>26.766666699999998</v>
      </c>
      <c r="G14" s="7" t="s">
        <v>107</v>
      </c>
      <c r="H14" s="7" t="s">
        <v>107</v>
      </c>
      <c r="I14" s="7" t="s">
        <v>107</v>
      </c>
      <c r="J14" s="12">
        <v>26.233517800000001</v>
      </c>
      <c r="K14" s="12">
        <v>10.0248065</v>
      </c>
      <c r="L14" s="12">
        <v>17.027290900000001</v>
      </c>
      <c r="M14" s="12">
        <v>-128.82641760000001</v>
      </c>
      <c r="N14" s="12">
        <v>108.15490610000001</v>
      </c>
      <c r="O14" s="12">
        <v>85.419457800000004</v>
      </c>
      <c r="P14" s="7" t="s">
        <v>107</v>
      </c>
      <c r="Q14" s="7" t="s">
        <v>107</v>
      </c>
      <c r="R14" s="7" t="s">
        <v>107</v>
      </c>
      <c r="S14" s="7" t="s">
        <v>107</v>
      </c>
      <c r="T14" s="7" t="s">
        <v>107</v>
      </c>
      <c r="U14" s="7" t="s">
        <v>107</v>
      </c>
      <c r="V14" s="7" t="s">
        <v>107</v>
      </c>
      <c r="W14" s="7" t="s">
        <v>107</v>
      </c>
      <c r="X14" s="7" t="s">
        <v>107</v>
      </c>
      <c r="Y14" s="7" t="s">
        <v>107</v>
      </c>
      <c r="Z14" s="7" t="s">
        <v>107</v>
      </c>
      <c r="AA14" s="12">
        <v>74.488280200000005</v>
      </c>
      <c r="AB14" s="12">
        <v>19.384091399999999</v>
      </c>
      <c r="AC14" s="12">
        <v>11.613094500000001</v>
      </c>
      <c r="AD14" s="12">
        <v>8.7589801000000005</v>
      </c>
      <c r="AE14" s="12">
        <v>14.244446099999999</v>
      </c>
      <c r="AF14" s="7" t="s">
        <v>107</v>
      </c>
      <c r="AG14" s="7" t="s">
        <v>107</v>
      </c>
    </row>
    <row r="15" spans="1:34" s="11" customFormat="1" hidden="1" outlineLevel="1" x14ac:dyDescent="0.3">
      <c r="A15" s="11" t="s">
        <v>21</v>
      </c>
      <c r="B15" s="12">
        <v>3.5071058000000002</v>
      </c>
      <c r="C15" s="12">
        <v>74.819999999999993</v>
      </c>
      <c r="D15" s="12">
        <v>1.9670194000000001</v>
      </c>
      <c r="E15" s="17">
        <v>4.3333332999999996</v>
      </c>
      <c r="F15" s="13">
        <v>30.673333299999999</v>
      </c>
      <c r="G15" s="7" t="s">
        <v>107</v>
      </c>
      <c r="H15" s="7" t="s">
        <v>107</v>
      </c>
      <c r="I15" s="7" t="s">
        <v>107</v>
      </c>
      <c r="J15" s="12">
        <v>6.9597676000000002</v>
      </c>
      <c r="K15" s="12">
        <v>7.0506193000000001</v>
      </c>
      <c r="L15" s="12">
        <v>5.7330069999999997</v>
      </c>
      <c r="M15" s="12">
        <v>-6.1009016999999997</v>
      </c>
      <c r="N15" s="12">
        <v>-5.0348091000000004</v>
      </c>
      <c r="O15" s="12">
        <v>-7.1828341</v>
      </c>
      <c r="P15" s="7" t="s">
        <v>107</v>
      </c>
      <c r="Q15" s="7" t="s">
        <v>107</v>
      </c>
      <c r="R15" s="7" t="s">
        <v>107</v>
      </c>
      <c r="S15" s="7" t="s">
        <v>107</v>
      </c>
      <c r="T15" s="7" t="s">
        <v>107</v>
      </c>
      <c r="U15" s="7" t="s">
        <v>107</v>
      </c>
      <c r="V15" s="7" t="s">
        <v>107</v>
      </c>
      <c r="W15" s="7" t="s">
        <v>107</v>
      </c>
      <c r="X15" s="7" t="s">
        <v>107</v>
      </c>
      <c r="Y15" s="7" t="s">
        <v>107</v>
      </c>
      <c r="Z15" s="7" t="s">
        <v>107</v>
      </c>
      <c r="AA15" s="12">
        <v>76.388510199999999</v>
      </c>
      <c r="AB15" s="12">
        <v>18.516170200000001</v>
      </c>
      <c r="AC15" s="12">
        <v>8.0200071000000008</v>
      </c>
      <c r="AD15" s="12">
        <v>7.1513362999999996</v>
      </c>
      <c r="AE15" s="12">
        <v>10.076023899999999</v>
      </c>
      <c r="AF15" s="7" t="s">
        <v>107</v>
      </c>
      <c r="AG15" s="7" t="s">
        <v>107</v>
      </c>
    </row>
    <row r="16" spans="1:34" s="11" customFormat="1" hidden="1" outlineLevel="1" x14ac:dyDescent="0.3">
      <c r="A16" s="11" t="s">
        <v>22</v>
      </c>
      <c r="B16" s="12">
        <v>2.8994336000000001</v>
      </c>
      <c r="C16" s="12">
        <v>75.3</v>
      </c>
      <c r="D16" s="12">
        <v>2.2218200000000001</v>
      </c>
      <c r="E16" s="17">
        <v>4.75</v>
      </c>
      <c r="F16" s="13">
        <v>29.7233333</v>
      </c>
      <c r="G16" s="7" t="s">
        <v>107</v>
      </c>
      <c r="H16" s="7" t="s">
        <v>107</v>
      </c>
      <c r="I16" s="7" t="s">
        <v>107</v>
      </c>
      <c r="J16" s="12">
        <v>-4.0204003999999998</v>
      </c>
      <c r="K16" s="12">
        <v>-2.7032679000000002</v>
      </c>
      <c r="L16" s="12">
        <v>10.6687087</v>
      </c>
      <c r="M16" s="12">
        <v>48.993159499999997</v>
      </c>
      <c r="N16" s="12">
        <v>-29.6752523</v>
      </c>
      <c r="O16" s="12">
        <v>59.558162000000003</v>
      </c>
      <c r="P16" s="7" t="s">
        <v>107</v>
      </c>
      <c r="Q16" s="7" t="s">
        <v>107</v>
      </c>
      <c r="R16" s="7" t="s">
        <v>107</v>
      </c>
      <c r="S16" s="7" t="s">
        <v>107</v>
      </c>
      <c r="T16" s="12">
        <v>45.18</v>
      </c>
      <c r="U16" s="7" t="s">
        <v>107</v>
      </c>
      <c r="V16" s="7" t="s">
        <v>107</v>
      </c>
      <c r="W16" s="7" t="s">
        <v>107</v>
      </c>
      <c r="X16" s="7" t="s">
        <v>107</v>
      </c>
      <c r="Y16" s="7" t="s">
        <v>107</v>
      </c>
      <c r="Z16" s="7" t="s">
        <v>107</v>
      </c>
      <c r="AA16" s="12">
        <v>75.677887100000007</v>
      </c>
      <c r="AB16" s="12">
        <v>19.4630917</v>
      </c>
      <c r="AC16" s="12">
        <v>10.253439699999999</v>
      </c>
      <c r="AD16" s="12">
        <v>10.1701453</v>
      </c>
      <c r="AE16" s="12">
        <v>15.5645639</v>
      </c>
      <c r="AF16" s="7" t="s">
        <v>107</v>
      </c>
      <c r="AG16" s="7" t="s">
        <v>107</v>
      </c>
    </row>
    <row r="17" spans="1:33" s="11" customFormat="1" hidden="1" outlineLevel="1" x14ac:dyDescent="0.3">
      <c r="A17" s="11" t="s">
        <v>23</v>
      </c>
      <c r="B17" s="12">
        <v>3.0047543999999999</v>
      </c>
      <c r="C17" s="12">
        <v>75.393333299999995</v>
      </c>
      <c r="D17" s="12">
        <v>1.8966527</v>
      </c>
      <c r="E17" s="17">
        <v>4.75</v>
      </c>
      <c r="F17" s="13">
        <v>25.873333299999999</v>
      </c>
      <c r="G17" s="7" t="s">
        <v>107</v>
      </c>
      <c r="H17" s="7" t="s">
        <v>107</v>
      </c>
      <c r="I17" s="7" t="s">
        <v>107</v>
      </c>
      <c r="J17" s="12">
        <v>3.1315849999999998</v>
      </c>
      <c r="K17" s="12">
        <v>-0.22715080000000001</v>
      </c>
      <c r="L17" s="12">
        <v>3.5926231</v>
      </c>
      <c r="M17" s="12">
        <v>-288.35780419999998</v>
      </c>
      <c r="N17" s="12">
        <v>34.6478623</v>
      </c>
      <c r="O17" s="12">
        <v>96.957913099999999</v>
      </c>
      <c r="P17" s="7" t="s">
        <v>107</v>
      </c>
      <c r="Q17" s="7" t="s">
        <v>107</v>
      </c>
      <c r="R17" s="7" t="s">
        <v>107</v>
      </c>
      <c r="S17" s="12">
        <v>138.75615759999999</v>
      </c>
      <c r="T17" s="12">
        <v>32.47</v>
      </c>
      <c r="U17" s="7" t="s">
        <v>107</v>
      </c>
      <c r="V17" s="7" t="s">
        <v>107</v>
      </c>
      <c r="W17" s="12">
        <v>-1.4865843999999999</v>
      </c>
      <c r="X17" s="7" t="s">
        <v>107</v>
      </c>
      <c r="Y17" s="7" t="s">
        <v>107</v>
      </c>
      <c r="Z17" s="7" t="s">
        <v>107</v>
      </c>
      <c r="AA17" s="12">
        <v>79.660093200000006</v>
      </c>
      <c r="AB17" s="12">
        <v>21.5590066</v>
      </c>
      <c r="AC17" s="12">
        <v>18.632818499999999</v>
      </c>
      <c r="AD17" s="12">
        <v>24.493852799999999</v>
      </c>
      <c r="AE17" s="12">
        <v>44.345829199999997</v>
      </c>
      <c r="AF17" s="7" t="s">
        <v>107</v>
      </c>
      <c r="AG17" s="7" t="s">
        <v>107</v>
      </c>
    </row>
    <row r="18" spans="1:33" s="11" customFormat="1" hidden="1" outlineLevel="1" x14ac:dyDescent="0.3">
      <c r="A18" s="11" t="s">
        <v>24</v>
      </c>
      <c r="B18" s="12">
        <v>2.2522867999999998</v>
      </c>
      <c r="C18" s="12">
        <v>76.483333299999998</v>
      </c>
      <c r="D18" s="12">
        <v>2.6713800000000001</v>
      </c>
      <c r="E18" s="17">
        <v>4.5833332999999996</v>
      </c>
      <c r="F18" s="13">
        <v>27.273333300000001</v>
      </c>
      <c r="G18" s="7" t="s">
        <v>107</v>
      </c>
      <c r="H18" s="7" t="s">
        <v>107</v>
      </c>
      <c r="I18" s="7" t="s">
        <v>107</v>
      </c>
      <c r="J18" s="12">
        <v>1.7622758999999999</v>
      </c>
      <c r="K18" s="12">
        <v>-2.5797243000000001</v>
      </c>
      <c r="L18" s="12">
        <v>3.9336026999999998</v>
      </c>
      <c r="M18" s="12">
        <v>672.83814819999998</v>
      </c>
      <c r="N18" s="12">
        <v>12.6093704</v>
      </c>
      <c r="O18" s="12">
        <v>93.379104699999999</v>
      </c>
      <c r="P18" s="7" t="s">
        <v>107</v>
      </c>
      <c r="Q18" s="7" t="s">
        <v>107</v>
      </c>
      <c r="R18" s="7" t="s">
        <v>107</v>
      </c>
      <c r="S18" s="12">
        <v>131.41118220000001</v>
      </c>
      <c r="T18" s="12">
        <v>35.71</v>
      </c>
      <c r="U18" s="7" t="s">
        <v>107</v>
      </c>
      <c r="V18" s="7" t="s">
        <v>107</v>
      </c>
      <c r="W18" s="12">
        <v>-3.9631987999999998</v>
      </c>
      <c r="X18" s="7" t="s">
        <v>107</v>
      </c>
      <c r="Y18" s="7" t="s">
        <v>107</v>
      </c>
      <c r="Z18" s="7" t="s">
        <v>107</v>
      </c>
      <c r="AA18" s="12">
        <v>77.577151499999999</v>
      </c>
      <c r="AB18" s="12">
        <v>20.778770600000001</v>
      </c>
      <c r="AC18" s="12">
        <v>20.3707891</v>
      </c>
      <c r="AD18" s="12">
        <v>20.950190599999999</v>
      </c>
      <c r="AE18" s="12">
        <v>39.676901700000002</v>
      </c>
      <c r="AF18" s="7" t="s">
        <v>107</v>
      </c>
      <c r="AG18" s="7" t="s">
        <v>107</v>
      </c>
    </row>
    <row r="19" spans="1:33" s="11" customFormat="1" hidden="1" outlineLevel="1" x14ac:dyDescent="0.3">
      <c r="A19" s="11" t="s">
        <v>25</v>
      </c>
      <c r="B19" s="12">
        <v>1.8991327</v>
      </c>
      <c r="C19" s="12">
        <v>76.516666700000002</v>
      </c>
      <c r="D19" s="12">
        <v>2.2676647000000001</v>
      </c>
      <c r="E19" s="17">
        <v>4.1666667000000004</v>
      </c>
      <c r="F19" s="13">
        <v>25.303333299999998</v>
      </c>
      <c r="G19" s="7" t="s">
        <v>107</v>
      </c>
      <c r="H19" s="7" t="s">
        <v>107</v>
      </c>
      <c r="I19" s="7" t="s">
        <v>107</v>
      </c>
      <c r="J19" s="12">
        <v>5.2736809999999998</v>
      </c>
      <c r="K19" s="12">
        <v>-5.1745004999999997</v>
      </c>
      <c r="L19" s="12">
        <v>8.2123884</v>
      </c>
      <c r="M19" s="12">
        <v>213.9140271</v>
      </c>
      <c r="N19" s="12">
        <v>85.222944900000002</v>
      </c>
      <c r="O19" s="12">
        <v>108.516153</v>
      </c>
      <c r="P19" s="7" t="s">
        <v>107</v>
      </c>
      <c r="Q19" s="7" t="s">
        <v>107</v>
      </c>
      <c r="R19" s="7" t="s">
        <v>107</v>
      </c>
      <c r="S19" s="12">
        <v>151.17539110000001</v>
      </c>
      <c r="T19" s="12">
        <v>25.89</v>
      </c>
      <c r="U19" s="7" t="s">
        <v>107</v>
      </c>
      <c r="V19" s="7" t="s">
        <v>107</v>
      </c>
      <c r="W19" s="12">
        <v>-5.4755042999999999</v>
      </c>
      <c r="X19" s="7" t="s">
        <v>107</v>
      </c>
      <c r="Y19" s="7" t="s">
        <v>107</v>
      </c>
      <c r="Z19" s="7" t="s">
        <v>107</v>
      </c>
      <c r="AA19" s="12">
        <v>75.083887700000005</v>
      </c>
      <c r="AB19" s="12">
        <v>21.2608271</v>
      </c>
      <c r="AC19" s="12">
        <v>13.8424494</v>
      </c>
      <c r="AD19" s="12">
        <v>20.7498437</v>
      </c>
      <c r="AE19" s="12">
        <v>30.9369643</v>
      </c>
      <c r="AF19" s="7" t="s">
        <v>107</v>
      </c>
      <c r="AG19" s="7" t="s">
        <v>107</v>
      </c>
    </row>
    <row r="20" spans="1:33" s="11" customFormat="1" hidden="1" outlineLevel="1" x14ac:dyDescent="0.3">
      <c r="A20" s="11" t="s">
        <v>26</v>
      </c>
      <c r="B20" s="12">
        <v>1.4300580000000001</v>
      </c>
      <c r="C20" s="12">
        <v>76.746666700000006</v>
      </c>
      <c r="D20" s="12">
        <v>1.9212041</v>
      </c>
      <c r="E20" s="17">
        <v>3.4166666999999999</v>
      </c>
      <c r="F20" s="13">
        <v>19.350000000000001</v>
      </c>
      <c r="G20" s="7" t="s">
        <v>107</v>
      </c>
      <c r="H20" s="7" t="s">
        <v>107</v>
      </c>
      <c r="I20" s="7" t="s">
        <v>107</v>
      </c>
      <c r="J20" s="12">
        <v>16.941810400000001</v>
      </c>
      <c r="K20" s="12">
        <v>16.727201000000001</v>
      </c>
      <c r="L20" s="12">
        <v>20.545210300000001</v>
      </c>
      <c r="M20" s="12">
        <v>-19.677773599999998</v>
      </c>
      <c r="N20" s="12">
        <v>137.6808637</v>
      </c>
      <c r="O20" s="12">
        <v>25.280229599999998</v>
      </c>
      <c r="P20" s="7" t="s">
        <v>107</v>
      </c>
      <c r="Q20" s="7" t="s">
        <v>107</v>
      </c>
      <c r="R20" s="7" t="s">
        <v>107</v>
      </c>
      <c r="S20" s="12">
        <v>106.4510234</v>
      </c>
      <c r="T20" s="12">
        <v>20.75</v>
      </c>
      <c r="U20" s="7" t="s">
        <v>107</v>
      </c>
      <c r="V20" s="7" t="s">
        <v>107</v>
      </c>
      <c r="W20" s="12">
        <v>11.922503600000001</v>
      </c>
      <c r="X20" s="7" t="s">
        <v>107</v>
      </c>
      <c r="Y20" s="7" t="s">
        <v>107</v>
      </c>
      <c r="Z20" s="7" t="s">
        <v>107</v>
      </c>
      <c r="AA20" s="12">
        <v>74.4280203</v>
      </c>
      <c r="AB20" s="12">
        <v>22.235803900000001</v>
      </c>
      <c r="AC20" s="12">
        <v>17.0909944</v>
      </c>
      <c r="AD20" s="12">
        <v>17.963875600000001</v>
      </c>
      <c r="AE20" s="12">
        <v>31.718694200000002</v>
      </c>
      <c r="AF20" s="12">
        <v>85.222885199999993</v>
      </c>
      <c r="AG20" s="7" t="s">
        <v>107</v>
      </c>
    </row>
    <row r="21" spans="1:33" s="11" customFormat="1" hidden="1" outlineLevel="1" x14ac:dyDescent="0.3">
      <c r="A21" s="11" t="s">
        <v>27</v>
      </c>
      <c r="B21" s="12">
        <v>7.1740499999999999E-2</v>
      </c>
      <c r="C21" s="12">
        <v>77.180000000000007</v>
      </c>
      <c r="D21" s="12">
        <v>2.3697940000000002</v>
      </c>
      <c r="E21" s="17">
        <v>3.25</v>
      </c>
      <c r="F21" s="13">
        <v>21.1333333</v>
      </c>
      <c r="G21" s="7" t="s">
        <v>107</v>
      </c>
      <c r="H21" s="7" t="s">
        <v>107</v>
      </c>
      <c r="I21" s="7" t="s">
        <v>107</v>
      </c>
      <c r="J21" s="12">
        <v>5.3584611999999998</v>
      </c>
      <c r="K21" s="12">
        <v>5.9727297000000004</v>
      </c>
      <c r="L21" s="12">
        <v>9.1508678999999997</v>
      </c>
      <c r="M21" s="12">
        <v>46.472447500000001</v>
      </c>
      <c r="N21" s="12">
        <v>0.99651409999999996</v>
      </c>
      <c r="O21" s="12">
        <v>18.546415499999998</v>
      </c>
      <c r="P21" s="7" t="s">
        <v>107</v>
      </c>
      <c r="Q21" s="7" t="s">
        <v>107</v>
      </c>
      <c r="R21" s="7" t="s">
        <v>107</v>
      </c>
      <c r="S21" s="12">
        <v>75.241140999999999</v>
      </c>
      <c r="T21" s="12">
        <v>16.34</v>
      </c>
      <c r="U21" s="7" t="s">
        <v>107</v>
      </c>
      <c r="V21" s="12">
        <v>60.067399999999999</v>
      </c>
      <c r="W21" s="12">
        <v>-2.3555392999999998</v>
      </c>
      <c r="X21" s="7" t="s">
        <v>107</v>
      </c>
      <c r="Y21" s="7" t="s">
        <v>107</v>
      </c>
      <c r="Z21" s="7" t="s">
        <v>107</v>
      </c>
      <c r="AA21" s="12">
        <v>80.841211000000001</v>
      </c>
      <c r="AB21" s="12">
        <v>25.006234800000001</v>
      </c>
      <c r="AC21" s="12">
        <v>12.634103</v>
      </c>
      <c r="AD21" s="12">
        <v>20.709941199999999</v>
      </c>
      <c r="AE21" s="12">
        <v>39.191446999999997</v>
      </c>
      <c r="AF21" s="7" t="s">
        <v>107</v>
      </c>
      <c r="AG21" s="7" t="s">
        <v>107</v>
      </c>
    </row>
    <row r="22" spans="1:33" s="11" customFormat="1" hidden="1" outlineLevel="1" x14ac:dyDescent="0.3">
      <c r="A22" s="11" t="s">
        <v>28</v>
      </c>
      <c r="B22" s="12">
        <v>1.2490021</v>
      </c>
      <c r="C22" s="12">
        <v>77.933333300000001</v>
      </c>
      <c r="D22" s="12">
        <v>1.8958379000000001</v>
      </c>
      <c r="E22" s="17">
        <v>3.25</v>
      </c>
      <c r="F22" s="13">
        <v>25.053333299999998</v>
      </c>
      <c r="G22" s="7" t="s">
        <v>107</v>
      </c>
      <c r="H22" s="7" t="s">
        <v>107</v>
      </c>
      <c r="I22" s="7" t="s">
        <v>107</v>
      </c>
      <c r="J22" s="12">
        <v>7.2789178000000003</v>
      </c>
      <c r="K22" s="12">
        <v>10.539487899999999</v>
      </c>
      <c r="L22" s="12">
        <v>13.223414200000001</v>
      </c>
      <c r="M22" s="12">
        <v>-3.9265650999999999</v>
      </c>
      <c r="N22" s="12">
        <v>27.301272099999998</v>
      </c>
      <c r="O22" s="12">
        <v>20.809617200000002</v>
      </c>
      <c r="P22" s="7" t="s">
        <v>107</v>
      </c>
      <c r="Q22" s="7" t="s">
        <v>107</v>
      </c>
      <c r="R22" s="7" t="s">
        <v>107</v>
      </c>
      <c r="S22" s="12">
        <v>69.264030700000006</v>
      </c>
      <c r="T22" s="12">
        <v>11.4</v>
      </c>
      <c r="U22" s="7" t="s">
        <v>107</v>
      </c>
      <c r="V22" s="12">
        <v>60.510433300000003</v>
      </c>
      <c r="W22" s="12">
        <v>2.6160648000000002</v>
      </c>
      <c r="X22" s="7" t="s">
        <v>107</v>
      </c>
      <c r="Y22" s="7" t="s">
        <v>107</v>
      </c>
      <c r="Z22" s="7" t="s">
        <v>107</v>
      </c>
      <c r="AA22" s="12">
        <v>75.507801700000002</v>
      </c>
      <c r="AB22" s="12">
        <v>24.207016200000002</v>
      </c>
      <c r="AC22" s="12">
        <v>17.3605956</v>
      </c>
      <c r="AD22" s="12">
        <v>20.546689300000001</v>
      </c>
      <c r="AE22" s="12">
        <v>37.622141499999998</v>
      </c>
      <c r="AF22" s="7" t="s">
        <v>107</v>
      </c>
      <c r="AG22" s="7" t="s">
        <v>107</v>
      </c>
    </row>
    <row r="23" spans="1:33" s="11" customFormat="1" hidden="1" outlineLevel="1" x14ac:dyDescent="0.3">
      <c r="A23" s="11" t="s">
        <v>29</v>
      </c>
      <c r="B23" s="12">
        <v>1.6677649999999999</v>
      </c>
      <c r="C23" s="12">
        <v>77.973333299999993</v>
      </c>
      <c r="D23" s="12">
        <v>1.9037246000000001</v>
      </c>
      <c r="E23" s="17">
        <v>3.25</v>
      </c>
      <c r="F23" s="13">
        <v>26.93</v>
      </c>
      <c r="G23" s="7" t="s">
        <v>107</v>
      </c>
      <c r="H23" s="7" t="s">
        <v>107</v>
      </c>
      <c r="I23" s="7" t="s">
        <v>107</v>
      </c>
      <c r="J23" s="12">
        <v>8.1075552000000002</v>
      </c>
      <c r="K23" s="12">
        <v>14.619183899999999</v>
      </c>
      <c r="L23" s="12">
        <v>11.651137800000001</v>
      </c>
      <c r="M23" s="12">
        <v>17.918399600000001</v>
      </c>
      <c r="N23" s="12">
        <v>22.2214998</v>
      </c>
      <c r="O23" s="12">
        <v>44.353338399999998</v>
      </c>
      <c r="P23" s="7" t="s">
        <v>107</v>
      </c>
      <c r="Q23" s="7" t="s">
        <v>107</v>
      </c>
      <c r="R23" s="7" t="s">
        <v>107</v>
      </c>
      <c r="S23" s="12">
        <v>45.080370199999997</v>
      </c>
      <c r="T23" s="12">
        <v>10.78</v>
      </c>
      <c r="U23" s="7" t="s">
        <v>107</v>
      </c>
      <c r="V23" s="12">
        <v>60.879899999999999</v>
      </c>
      <c r="W23" s="12">
        <v>5.5640242999999998</v>
      </c>
      <c r="X23" s="7" t="s">
        <v>107</v>
      </c>
      <c r="Y23" s="7" t="s">
        <v>107</v>
      </c>
      <c r="Z23" s="7" t="s">
        <v>107</v>
      </c>
      <c r="AA23" s="12">
        <v>71.714921099999998</v>
      </c>
      <c r="AB23" s="12">
        <v>23.389206900000001</v>
      </c>
      <c r="AC23" s="12">
        <v>20.910264699999999</v>
      </c>
      <c r="AD23" s="12">
        <v>20.714878500000001</v>
      </c>
      <c r="AE23" s="12">
        <v>36.729271300000001</v>
      </c>
      <c r="AF23" s="7" t="s">
        <v>107</v>
      </c>
      <c r="AG23" s="7" t="s">
        <v>107</v>
      </c>
    </row>
    <row r="24" spans="1:33" s="11" customFormat="1" hidden="1" outlineLevel="1" x14ac:dyDescent="0.3">
      <c r="A24" s="11" t="s">
        <v>30</v>
      </c>
      <c r="B24" s="12">
        <v>1.208337</v>
      </c>
      <c r="C24" s="12">
        <v>78.4033333</v>
      </c>
      <c r="D24" s="12">
        <v>2.158617</v>
      </c>
      <c r="E24" s="17">
        <v>3.0833333000000001</v>
      </c>
      <c r="F24" s="13">
        <v>26.736666700000001</v>
      </c>
      <c r="G24" s="7" t="s">
        <v>107</v>
      </c>
      <c r="H24" s="7" t="s">
        <v>107</v>
      </c>
      <c r="I24" s="7" t="s">
        <v>107</v>
      </c>
      <c r="J24" s="12">
        <v>4.8664868999999999</v>
      </c>
      <c r="K24" s="12">
        <v>5.6115395000000001</v>
      </c>
      <c r="L24" s="12">
        <v>4.6801827999999999</v>
      </c>
      <c r="M24" s="12">
        <v>25.558185699999999</v>
      </c>
      <c r="N24" s="12">
        <v>28.937921200000002</v>
      </c>
      <c r="O24" s="12">
        <v>27.644845499999999</v>
      </c>
      <c r="P24" s="7" t="s">
        <v>107</v>
      </c>
      <c r="Q24" s="7" t="s">
        <v>107</v>
      </c>
      <c r="R24" s="7" t="s">
        <v>107</v>
      </c>
      <c r="S24" s="12">
        <v>35.381074599999998</v>
      </c>
      <c r="T24" s="12">
        <v>10.3</v>
      </c>
      <c r="U24" s="7" t="s">
        <v>107</v>
      </c>
      <c r="V24" s="12">
        <v>61.254166699999999</v>
      </c>
      <c r="W24" s="12">
        <v>1.5978695000000001</v>
      </c>
      <c r="X24" s="7" t="s">
        <v>107</v>
      </c>
      <c r="Y24" s="7" t="s">
        <v>107</v>
      </c>
      <c r="Z24" s="7" t="s">
        <v>107</v>
      </c>
      <c r="AA24" s="12">
        <v>68.8898607</v>
      </c>
      <c r="AB24" s="12">
        <v>23.8174299</v>
      </c>
      <c r="AC24" s="12">
        <v>22.949905300000001</v>
      </c>
      <c r="AD24" s="12">
        <v>18.734852799999999</v>
      </c>
      <c r="AE24" s="12">
        <v>34.392048799999998</v>
      </c>
      <c r="AF24" s="12">
        <v>205.83664959999999</v>
      </c>
      <c r="AG24" s="7" t="s">
        <v>107</v>
      </c>
    </row>
    <row r="25" spans="1:33" s="11" customFormat="1" hidden="1" outlineLevel="1" x14ac:dyDescent="0.3">
      <c r="A25" s="11" t="s">
        <v>31</v>
      </c>
      <c r="B25" s="12">
        <v>1.0748135000000001</v>
      </c>
      <c r="C25" s="12">
        <v>78.856666700000005</v>
      </c>
      <c r="D25" s="12">
        <v>2.1724109</v>
      </c>
      <c r="E25" s="17">
        <v>2.6666666999999999</v>
      </c>
      <c r="F25" s="13">
        <v>31.52</v>
      </c>
      <c r="G25" s="7" t="s">
        <v>107</v>
      </c>
      <c r="H25" s="7" t="s">
        <v>107</v>
      </c>
      <c r="I25" s="7" t="s">
        <v>107</v>
      </c>
      <c r="J25" s="12">
        <v>5.7362361000000002</v>
      </c>
      <c r="K25" s="12">
        <v>-0.75946360000000002</v>
      </c>
      <c r="L25" s="12">
        <v>1.8041168000000001</v>
      </c>
      <c r="M25" s="12">
        <v>50.783145900000001</v>
      </c>
      <c r="N25" s="12">
        <v>38.596369199999998</v>
      </c>
      <c r="O25" s="12">
        <v>21.440614700000001</v>
      </c>
      <c r="P25" s="7" t="s">
        <v>107</v>
      </c>
      <c r="Q25" s="7" t="s">
        <v>107</v>
      </c>
      <c r="R25" s="7" t="s">
        <v>107</v>
      </c>
      <c r="S25" s="12">
        <v>27.047153699999999</v>
      </c>
      <c r="T25" s="12">
        <v>12.48</v>
      </c>
      <c r="U25" s="7" t="s">
        <v>107</v>
      </c>
      <c r="V25" s="12">
        <v>62.802500000000002</v>
      </c>
      <c r="W25" s="12">
        <v>-4.9378061999999998</v>
      </c>
      <c r="X25" s="7" t="s">
        <v>107</v>
      </c>
      <c r="Y25" s="7" t="s">
        <v>107</v>
      </c>
      <c r="Z25" s="12">
        <v>-9.9087127000000006</v>
      </c>
      <c r="AA25" s="12">
        <v>73.257040700000005</v>
      </c>
      <c r="AB25" s="12">
        <v>24.627453200000001</v>
      </c>
      <c r="AC25" s="12">
        <v>16.463957700000002</v>
      </c>
      <c r="AD25" s="12">
        <v>24.518428199999999</v>
      </c>
      <c r="AE25" s="12">
        <v>38.8668798</v>
      </c>
      <c r="AF25" s="7" t="s">
        <v>107</v>
      </c>
      <c r="AG25" s="7" t="s">
        <v>107</v>
      </c>
    </row>
    <row r="26" spans="1:33" s="11" customFormat="1" hidden="1" outlineLevel="1" x14ac:dyDescent="0.3">
      <c r="A26" s="11" t="s">
        <v>32</v>
      </c>
      <c r="B26" s="12">
        <v>0.33264589999999999</v>
      </c>
      <c r="C26" s="12">
        <v>79.37</v>
      </c>
      <c r="D26" s="12">
        <v>1.843456</v>
      </c>
      <c r="E26" s="17">
        <v>2.3333333000000001</v>
      </c>
      <c r="F26" s="13">
        <v>26.17</v>
      </c>
      <c r="G26" s="7" t="s">
        <v>107</v>
      </c>
      <c r="H26" s="7" t="s">
        <v>107</v>
      </c>
      <c r="I26" s="7" t="s">
        <v>107</v>
      </c>
      <c r="J26" s="12">
        <v>5.8972310999999999</v>
      </c>
      <c r="K26" s="12">
        <v>6.3300349999999996</v>
      </c>
      <c r="L26" s="12">
        <v>-2.6105939999999999</v>
      </c>
      <c r="M26" s="12">
        <v>23.7927906</v>
      </c>
      <c r="N26" s="12">
        <v>30.718247099999999</v>
      </c>
      <c r="O26" s="12">
        <v>22.1897038</v>
      </c>
      <c r="P26" s="7" t="s">
        <v>107</v>
      </c>
      <c r="Q26" s="7" t="s">
        <v>107</v>
      </c>
      <c r="R26" s="7" t="s">
        <v>107</v>
      </c>
      <c r="S26" s="12">
        <v>27.507834899999999</v>
      </c>
      <c r="T26" s="12">
        <v>12.13</v>
      </c>
      <c r="U26" s="7" t="s">
        <v>107</v>
      </c>
      <c r="V26" s="12">
        <v>64.868099999999998</v>
      </c>
      <c r="W26" s="12">
        <v>-1.8312387999999999</v>
      </c>
      <c r="X26" s="7" t="s">
        <v>107</v>
      </c>
      <c r="Y26" s="7" t="s">
        <v>107</v>
      </c>
      <c r="Z26" s="12">
        <v>-7.0290989000000001</v>
      </c>
      <c r="AA26" s="12">
        <v>73.162959999999998</v>
      </c>
      <c r="AB26" s="12">
        <v>23.343891200000002</v>
      </c>
      <c r="AC26" s="12">
        <v>17.720091799999999</v>
      </c>
      <c r="AD26" s="12">
        <v>23.791022900000002</v>
      </c>
      <c r="AE26" s="12">
        <v>38.017934099999998</v>
      </c>
      <c r="AF26" s="7" t="s">
        <v>107</v>
      </c>
      <c r="AG26" s="7" t="s">
        <v>107</v>
      </c>
    </row>
    <row r="27" spans="1:33" s="11" customFormat="1" hidden="1" outlineLevel="1" x14ac:dyDescent="0.3">
      <c r="A27" s="11" t="s">
        <v>33</v>
      </c>
      <c r="B27" s="12">
        <v>0.71308099999999996</v>
      </c>
      <c r="C27" s="12">
        <v>79.47</v>
      </c>
      <c r="D27" s="12">
        <v>1.9194597</v>
      </c>
      <c r="E27" s="17">
        <v>2</v>
      </c>
      <c r="F27" s="13">
        <v>28.45</v>
      </c>
      <c r="G27" s="7" t="s">
        <v>107</v>
      </c>
      <c r="H27" s="7" t="s">
        <v>107</v>
      </c>
      <c r="I27" s="7" t="s">
        <v>107</v>
      </c>
      <c r="J27" s="12">
        <v>2.7778662000000001</v>
      </c>
      <c r="K27" s="12">
        <v>0.3739806</v>
      </c>
      <c r="L27" s="12">
        <v>7.5706604000000004</v>
      </c>
      <c r="M27" s="12">
        <v>-5.8723735000000001</v>
      </c>
      <c r="N27" s="12">
        <v>24.174317599999998</v>
      </c>
      <c r="O27" s="12">
        <v>7.7201728999999997</v>
      </c>
      <c r="P27" s="7" t="s">
        <v>107</v>
      </c>
      <c r="Q27" s="7" t="s">
        <v>107</v>
      </c>
      <c r="R27" s="7" t="s">
        <v>107</v>
      </c>
      <c r="S27" s="12">
        <v>23.206791500000001</v>
      </c>
      <c r="T27" s="12">
        <v>11.1</v>
      </c>
      <c r="U27" s="7" t="s">
        <v>107</v>
      </c>
      <c r="V27" s="12">
        <v>65.342799999999997</v>
      </c>
      <c r="W27" s="12">
        <v>-3.5740072000000001</v>
      </c>
      <c r="X27" s="7" t="s">
        <v>107</v>
      </c>
      <c r="Y27" s="7" t="s">
        <v>107</v>
      </c>
      <c r="Z27" s="12">
        <v>-2.5351868</v>
      </c>
      <c r="AA27" s="12">
        <v>68.810405099999997</v>
      </c>
      <c r="AB27" s="12">
        <v>24.407183499999999</v>
      </c>
      <c r="AC27" s="12">
        <v>18.9110333</v>
      </c>
      <c r="AD27" s="12">
        <v>23.596851900000001</v>
      </c>
      <c r="AE27" s="12">
        <v>35.725443599999998</v>
      </c>
      <c r="AF27" s="7" t="s">
        <v>107</v>
      </c>
      <c r="AG27" s="7" t="s">
        <v>107</v>
      </c>
    </row>
    <row r="28" spans="1:33" s="11" customFormat="1" hidden="1" outlineLevel="1" x14ac:dyDescent="0.3">
      <c r="A28" s="11" t="s">
        <v>34</v>
      </c>
      <c r="B28" s="12">
        <v>1.3127310999999999</v>
      </c>
      <c r="C28" s="12">
        <v>79.913333300000005</v>
      </c>
      <c r="D28" s="12">
        <v>1.9259385</v>
      </c>
      <c r="E28" s="17">
        <v>2</v>
      </c>
      <c r="F28" s="13">
        <v>29.39</v>
      </c>
      <c r="G28" s="7" t="s">
        <v>107</v>
      </c>
      <c r="H28" s="7" t="s">
        <v>107</v>
      </c>
      <c r="I28" s="7" t="s">
        <v>107</v>
      </c>
      <c r="J28" s="12">
        <v>3.4903116999999999</v>
      </c>
      <c r="K28" s="12">
        <v>5.0299412999999999</v>
      </c>
      <c r="L28" s="12">
        <v>8.0941303999999992</v>
      </c>
      <c r="M28" s="12">
        <v>8.4387238999999994</v>
      </c>
      <c r="N28" s="12">
        <v>20.040581100000001</v>
      </c>
      <c r="O28" s="12">
        <v>21.972989999999999</v>
      </c>
      <c r="P28" s="7" t="s">
        <v>107</v>
      </c>
      <c r="Q28" s="7" t="s">
        <v>107</v>
      </c>
      <c r="R28" s="7" t="s">
        <v>107</v>
      </c>
      <c r="S28" s="12">
        <v>23.5865917</v>
      </c>
      <c r="T28" s="12">
        <v>11.35</v>
      </c>
      <c r="U28" s="7" t="s">
        <v>107</v>
      </c>
      <c r="V28" s="12">
        <v>67.240099999999998</v>
      </c>
      <c r="W28" s="12">
        <v>-1.2450851000000001</v>
      </c>
      <c r="X28" s="7" t="s">
        <v>107</v>
      </c>
      <c r="Y28" s="7" t="s">
        <v>107</v>
      </c>
      <c r="Z28" s="12">
        <v>-6.1654420999999999</v>
      </c>
      <c r="AA28" s="12">
        <v>68.666267000000005</v>
      </c>
      <c r="AB28" s="12">
        <v>24.373209800000001</v>
      </c>
      <c r="AC28" s="12">
        <v>25.2895006</v>
      </c>
      <c r="AD28" s="12">
        <v>21.1337194</v>
      </c>
      <c r="AE28" s="12">
        <v>39.462696700000002</v>
      </c>
      <c r="AF28" s="12">
        <v>81.752277100000001</v>
      </c>
      <c r="AG28" s="7" t="s">
        <v>107</v>
      </c>
    </row>
    <row r="29" spans="1:33" s="11" customFormat="1" hidden="1" outlineLevel="1" x14ac:dyDescent="0.3">
      <c r="A29" s="11" t="s">
        <v>35</v>
      </c>
      <c r="B29" s="12">
        <v>2.4350660999999998</v>
      </c>
      <c r="C29" s="12">
        <v>80.113333299999994</v>
      </c>
      <c r="D29" s="12">
        <v>1.5936086</v>
      </c>
      <c r="E29" s="17">
        <v>2</v>
      </c>
      <c r="F29" s="13">
        <v>31.923333299999999</v>
      </c>
      <c r="G29" s="7" t="s">
        <v>107</v>
      </c>
      <c r="H29" s="7" t="s">
        <v>107</v>
      </c>
      <c r="I29" s="7" t="s">
        <v>107</v>
      </c>
      <c r="J29" s="12">
        <v>7.2925595000000003</v>
      </c>
      <c r="K29" s="12">
        <v>9.7701385999999992</v>
      </c>
      <c r="L29" s="12">
        <v>6.045045</v>
      </c>
      <c r="M29" s="12">
        <v>52.033385699999997</v>
      </c>
      <c r="N29" s="12">
        <v>-7.2832628000000001</v>
      </c>
      <c r="O29" s="12">
        <v>21.337734900000001</v>
      </c>
      <c r="P29" s="7" t="s">
        <v>107</v>
      </c>
      <c r="Q29" s="7" t="s">
        <v>107</v>
      </c>
      <c r="R29" s="7" t="s">
        <v>107</v>
      </c>
      <c r="S29" s="12">
        <v>26.481013799999999</v>
      </c>
      <c r="T29" s="12">
        <v>12.58</v>
      </c>
      <c r="U29" s="7" t="s">
        <v>107</v>
      </c>
      <c r="V29" s="12">
        <v>69.214633300000003</v>
      </c>
      <c r="W29" s="12">
        <v>7.5337034000000003</v>
      </c>
      <c r="X29" s="7" t="s">
        <v>107</v>
      </c>
      <c r="Y29" s="7" t="s">
        <v>107</v>
      </c>
      <c r="Z29" s="12">
        <v>-11.4940795</v>
      </c>
      <c r="AA29" s="12">
        <v>76.5133735</v>
      </c>
      <c r="AB29" s="12">
        <v>24.300732100000001</v>
      </c>
      <c r="AC29" s="12">
        <v>22.582729</v>
      </c>
      <c r="AD29" s="12">
        <v>22.466928899999999</v>
      </c>
      <c r="AE29" s="12">
        <v>45.863763400000003</v>
      </c>
      <c r="AF29" s="7" t="s">
        <v>107</v>
      </c>
      <c r="AG29" s="7" t="s">
        <v>107</v>
      </c>
    </row>
    <row r="30" spans="1:33" s="11" customFormat="1" hidden="1" outlineLevel="1" x14ac:dyDescent="0.3">
      <c r="A30" s="11" t="s">
        <v>36</v>
      </c>
      <c r="B30" s="12">
        <v>2.9592486</v>
      </c>
      <c r="C30" s="12">
        <v>81.069999999999993</v>
      </c>
      <c r="D30" s="12">
        <v>2.1418672000000001</v>
      </c>
      <c r="E30" s="17">
        <v>2</v>
      </c>
      <c r="F30" s="13">
        <v>35.446666700000002</v>
      </c>
      <c r="G30" s="7" t="s">
        <v>107</v>
      </c>
      <c r="H30" s="7" t="s">
        <v>107</v>
      </c>
      <c r="I30" s="7" t="s">
        <v>107</v>
      </c>
      <c r="J30" s="12">
        <v>6.5915315999999997</v>
      </c>
      <c r="K30" s="12">
        <v>5.5395687000000002</v>
      </c>
      <c r="L30" s="12">
        <v>15.3989683</v>
      </c>
      <c r="M30" s="12">
        <v>56.142760600000003</v>
      </c>
      <c r="N30" s="12">
        <v>-2.4447700999999999</v>
      </c>
      <c r="O30" s="12">
        <v>27.317443600000001</v>
      </c>
      <c r="P30" s="7" t="s">
        <v>107</v>
      </c>
      <c r="Q30" s="7" t="s">
        <v>107</v>
      </c>
      <c r="R30" s="7" t="s">
        <v>107</v>
      </c>
      <c r="S30" s="12">
        <v>23.839226700000001</v>
      </c>
      <c r="T30" s="12">
        <v>16.079999999999998</v>
      </c>
      <c r="U30" s="7" t="s">
        <v>107</v>
      </c>
      <c r="V30" s="12">
        <v>70.770066700000001</v>
      </c>
      <c r="W30" s="12">
        <v>5.4133139000000003</v>
      </c>
      <c r="X30" s="7" t="s">
        <v>107</v>
      </c>
      <c r="Y30" s="7" t="s">
        <v>107</v>
      </c>
      <c r="Z30" s="12">
        <v>-9.5476019999999995</v>
      </c>
      <c r="AA30" s="12">
        <v>74.5578529</v>
      </c>
      <c r="AB30" s="12">
        <v>23.761827700000001</v>
      </c>
      <c r="AC30" s="12">
        <v>26.919484300000001</v>
      </c>
      <c r="AD30" s="12">
        <v>23.576186700000001</v>
      </c>
      <c r="AE30" s="12">
        <v>48.815351700000001</v>
      </c>
      <c r="AF30" s="7" t="s">
        <v>107</v>
      </c>
      <c r="AG30" s="7" t="s">
        <v>107</v>
      </c>
    </row>
    <row r="31" spans="1:33" s="11" customFormat="1" hidden="1" outlineLevel="1" x14ac:dyDescent="0.3">
      <c r="A31" s="11" t="s">
        <v>37</v>
      </c>
      <c r="B31" s="12">
        <v>2.4141233999999998</v>
      </c>
      <c r="C31" s="12">
        <v>81.156666700000002</v>
      </c>
      <c r="D31" s="12">
        <v>2.1223942</v>
      </c>
      <c r="E31" s="17">
        <v>2</v>
      </c>
      <c r="F31" s="13">
        <v>41.386666699999999</v>
      </c>
      <c r="G31" s="7" t="s">
        <v>107</v>
      </c>
      <c r="H31" s="7" t="s">
        <v>107</v>
      </c>
      <c r="I31" s="7" t="s">
        <v>107</v>
      </c>
      <c r="J31" s="12">
        <v>8.5433344000000009</v>
      </c>
      <c r="K31" s="12">
        <v>14.1444697</v>
      </c>
      <c r="L31" s="12">
        <v>5.0882725999999998</v>
      </c>
      <c r="M31" s="12">
        <v>19.924228100000001</v>
      </c>
      <c r="N31" s="12">
        <v>15.789786299999999</v>
      </c>
      <c r="O31" s="12">
        <v>27.900455399999998</v>
      </c>
      <c r="P31" s="7" t="s">
        <v>107</v>
      </c>
      <c r="Q31" s="7" t="s">
        <v>107</v>
      </c>
      <c r="R31" s="7" t="s">
        <v>107</v>
      </c>
      <c r="S31" s="12">
        <v>23.497352800000002</v>
      </c>
      <c r="T31" s="12">
        <v>16.149999999999999</v>
      </c>
      <c r="U31" s="7" t="s">
        <v>107</v>
      </c>
      <c r="V31" s="12">
        <v>73.310966699999994</v>
      </c>
      <c r="W31" s="12">
        <v>5.2789218</v>
      </c>
      <c r="X31" s="7" t="s">
        <v>107</v>
      </c>
      <c r="Y31" s="7" t="s">
        <v>107</v>
      </c>
      <c r="Z31" s="12">
        <v>-3.0216373999999999</v>
      </c>
      <c r="AA31" s="12">
        <v>74.832390200000006</v>
      </c>
      <c r="AB31" s="12">
        <v>21.933091600000001</v>
      </c>
      <c r="AC31" s="12">
        <v>21.717548699999998</v>
      </c>
      <c r="AD31" s="12">
        <v>26.794826100000002</v>
      </c>
      <c r="AE31" s="12">
        <v>45.277856499999999</v>
      </c>
      <c r="AF31" s="7" t="s">
        <v>107</v>
      </c>
      <c r="AG31" s="7" t="s">
        <v>107</v>
      </c>
    </row>
    <row r="32" spans="1:33" s="11" customFormat="1" hidden="1" outlineLevel="1" x14ac:dyDescent="0.3">
      <c r="A32" s="11" t="s">
        <v>38</v>
      </c>
      <c r="B32" s="12">
        <v>2.308249</v>
      </c>
      <c r="C32" s="12">
        <v>81.663333300000005</v>
      </c>
      <c r="D32" s="12">
        <v>2.1898724000000001</v>
      </c>
      <c r="E32" s="17">
        <v>2</v>
      </c>
      <c r="F32" s="13">
        <v>44.163333299999998</v>
      </c>
      <c r="G32" s="7" t="s">
        <v>107</v>
      </c>
      <c r="H32" s="7" t="s">
        <v>107</v>
      </c>
      <c r="I32" s="7" t="s">
        <v>107</v>
      </c>
      <c r="J32" s="12">
        <v>13.091545399999999</v>
      </c>
      <c r="K32" s="12">
        <v>19.556534800000001</v>
      </c>
      <c r="L32" s="12">
        <v>5.415089</v>
      </c>
      <c r="M32" s="12">
        <v>32.349196499999998</v>
      </c>
      <c r="N32" s="12">
        <v>34.821154999999997</v>
      </c>
      <c r="O32" s="12">
        <v>44.2893635</v>
      </c>
      <c r="P32" s="7" t="s">
        <v>107</v>
      </c>
      <c r="Q32" s="7" t="s">
        <v>107</v>
      </c>
      <c r="R32" s="7" t="s">
        <v>107</v>
      </c>
      <c r="S32" s="12">
        <v>21.520527699999999</v>
      </c>
      <c r="T32" s="12">
        <v>16.3</v>
      </c>
      <c r="U32" s="7" t="s">
        <v>107</v>
      </c>
      <c r="V32" s="12">
        <v>76.970966700000005</v>
      </c>
      <c r="W32" s="12">
        <v>7.8301259999999999</v>
      </c>
      <c r="X32" s="7" t="s">
        <v>107</v>
      </c>
      <c r="Y32" s="7" t="s">
        <v>107</v>
      </c>
      <c r="Z32" s="12">
        <v>-2.2126478000000001</v>
      </c>
      <c r="AA32" s="12">
        <v>74.988917400000005</v>
      </c>
      <c r="AB32" s="12">
        <v>21.182021899999999</v>
      </c>
      <c r="AC32" s="12">
        <v>31.885032299999999</v>
      </c>
      <c r="AD32" s="12">
        <v>26.8050918</v>
      </c>
      <c r="AE32" s="12">
        <v>54.861041499999999</v>
      </c>
      <c r="AF32" s="12">
        <v>126.216207</v>
      </c>
      <c r="AG32" s="7" t="s">
        <v>107</v>
      </c>
    </row>
    <row r="33" spans="1:33" s="11" customFormat="1" hidden="1" outlineLevel="1" x14ac:dyDescent="0.3">
      <c r="A33" s="11" t="s">
        <v>39</v>
      </c>
      <c r="B33" s="12">
        <v>1.1277817999999999</v>
      </c>
      <c r="C33" s="12">
        <v>81.773333300000004</v>
      </c>
      <c r="D33" s="12">
        <v>2.0720646</v>
      </c>
      <c r="E33" s="17">
        <v>2</v>
      </c>
      <c r="F33" s="13">
        <v>47.696666700000002</v>
      </c>
      <c r="G33" s="7" t="s">
        <v>107</v>
      </c>
      <c r="H33" s="7" t="s">
        <v>107</v>
      </c>
      <c r="I33" s="12">
        <v>2.3688883999999999</v>
      </c>
      <c r="J33" s="12">
        <v>4.271522</v>
      </c>
      <c r="K33" s="12">
        <v>6.6919253000000003</v>
      </c>
      <c r="L33" s="12">
        <v>-1.0130167000000001</v>
      </c>
      <c r="M33" s="12">
        <v>-48.964000300000002</v>
      </c>
      <c r="N33" s="12">
        <v>21.614853499999999</v>
      </c>
      <c r="O33" s="12">
        <v>-13.345168599999999</v>
      </c>
      <c r="P33" s="7" t="s">
        <v>107</v>
      </c>
      <c r="Q33" s="7" t="s">
        <v>107</v>
      </c>
      <c r="R33" s="7" t="s">
        <v>107</v>
      </c>
      <c r="S33" s="12">
        <v>21.806825100000001</v>
      </c>
      <c r="T33" s="12">
        <v>17.59</v>
      </c>
      <c r="U33" s="7" t="s">
        <v>107</v>
      </c>
      <c r="V33" s="12">
        <v>80.209266700000001</v>
      </c>
      <c r="W33" s="12">
        <v>-2.9867257</v>
      </c>
      <c r="X33" s="7" t="s">
        <v>107</v>
      </c>
      <c r="Y33" s="7" t="s">
        <v>107</v>
      </c>
      <c r="Z33" s="12">
        <v>-6.7668056999999999</v>
      </c>
      <c r="AA33" s="12">
        <v>80.012681900000004</v>
      </c>
      <c r="AB33" s="12">
        <v>20.718656299999999</v>
      </c>
      <c r="AC33" s="12">
        <v>11.3864397</v>
      </c>
      <c r="AD33" s="12">
        <v>26.817682300000001</v>
      </c>
      <c r="AE33" s="12">
        <v>38.935460200000001</v>
      </c>
      <c r="AF33" s="12">
        <v>117.6470588</v>
      </c>
      <c r="AG33" s="7" t="s">
        <v>107</v>
      </c>
    </row>
    <row r="34" spans="1:33" s="11" customFormat="1" hidden="1" outlineLevel="1" x14ac:dyDescent="0.3">
      <c r="A34" s="11" t="s">
        <v>40</v>
      </c>
      <c r="B34" s="12">
        <v>2.2042253999999999</v>
      </c>
      <c r="C34" s="12">
        <v>82.71</v>
      </c>
      <c r="D34" s="12">
        <v>2.0229431</v>
      </c>
      <c r="E34" s="17">
        <v>2</v>
      </c>
      <c r="F34" s="13">
        <v>51.626666700000001</v>
      </c>
      <c r="G34" s="7" t="s">
        <v>107</v>
      </c>
      <c r="H34" s="7" t="s">
        <v>107</v>
      </c>
      <c r="I34" s="12">
        <v>0.97259759999999995</v>
      </c>
      <c r="J34" s="12">
        <v>6.9708753000000003</v>
      </c>
      <c r="K34" s="12">
        <v>3.1226151</v>
      </c>
      <c r="L34" s="12">
        <v>-6.3319605000000001</v>
      </c>
      <c r="M34" s="12">
        <v>-5.1649877999999996</v>
      </c>
      <c r="N34" s="12">
        <v>32.372602899999997</v>
      </c>
      <c r="O34" s="12">
        <v>0.46659260000000002</v>
      </c>
      <c r="P34" s="7" t="s">
        <v>107</v>
      </c>
      <c r="Q34" s="7" t="s">
        <v>107</v>
      </c>
      <c r="R34" s="7" t="s">
        <v>107</v>
      </c>
      <c r="S34" s="12">
        <v>25.262683899999999</v>
      </c>
      <c r="T34" s="12">
        <v>14.37</v>
      </c>
      <c r="U34" s="7" t="s">
        <v>107</v>
      </c>
      <c r="V34" s="12">
        <v>81.876633299999995</v>
      </c>
      <c r="W34" s="12">
        <v>-2.2900763</v>
      </c>
      <c r="X34" s="7" t="s">
        <v>107</v>
      </c>
      <c r="Y34" s="7" t="s">
        <v>107</v>
      </c>
      <c r="Z34" s="12">
        <v>-5.5159966000000002</v>
      </c>
      <c r="AA34" s="12">
        <v>73.959412700000001</v>
      </c>
      <c r="AB34" s="12">
        <v>19.480226699999999</v>
      </c>
      <c r="AC34" s="12">
        <v>23.581772900000001</v>
      </c>
      <c r="AD34" s="12">
        <v>29.474893300000002</v>
      </c>
      <c r="AE34" s="12">
        <v>46.496305599999999</v>
      </c>
      <c r="AF34" s="12">
        <v>109.2843421</v>
      </c>
      <c r="AG34" s="7" t="s">
        <v>107</v>
      </c>
    </row>
    <row r="35" spans="1:33" s="11" customFormat="1" hidden="1" outlineLevel="1" x14ac:dyDescent="0.3">
      <c r="A35" s="11" t="s">
        <v>41</v>
      </c>
      <c r="B35" s="12">
        <v>2.0830310000000001</v>
      </c>
      <c r="C35" s="12">
        <v>83.016666700000002</v>
      </c>
      <c r="D35" s="12">
        <v>2.2918634999999998</v>
      </c>
      <c r="E35" s="17">
        <v>2</v>
      </c>
      <c r="F35" s="13">
        <v>61.47</v>
      </c>
      <c r="G35" s="7" t="s">
        <v>107</v>
      </c>
      <c r="H35" s="7" t="s">
        <v>107</v>
      </c>
      <c r="I35" s="12">
        <v>-7.7433699999999994E-2</v>
      </c>
      <c r="J35" s="12">
        <v>7.4409356000000004</v>
      </c>
      <c r="K35" s="12">
        <v>2.6322402</v>
      </c>
      <c r="L35" s="12">
        <v>-6.3464891000000003</v>
      </c>
      <c r="M35" s="12">
        <v>38.736811400000001</v>
      </c>
      <c r="N35" s="12">
        <v>11.0603374</v>
      </c>
      <c r="O35" s="12">
        <v>9.8068533999999996</v>
      </c>
      <c r="P35" s="7" t="s">
        <v>107</v>
      </c>
      <c r="Q35" s="7" t="s">
        <v>107</v>
      </c>
      <c r="R35" s="7" t="s">
        <v>107</v>
      </c>
      <c r="S35" s="12">
        <v>24.257659799999999</v>
      </c>
      <c r="T35" s="12">
        <v>13.93</v>
      </c>
      <c r="U35" s="7" t="s">
        <v>107</v>
      </c>
      <c r="V35" s="12">
        <v>83.830166700000007</v>
      </c>
      <c r="W35" s="12">
        <v>3.9829303999999999</v>
      </c>
      <c r="X35" s="7" t="s">
        <v>107</v>
      </c>
      <c r="Y35" s="7" t="s">
        <v>107</v>
      </c>
      <c r="Z35" s="12">
        <v>-8.9704496999999996</v>
      </c>
      <c r="AA35" s="12">
        <v>73.773882499999999</v>
      </c>
      <c r="AB35" s="12">
        <v>18.19089</v>
      </c>
      <c r="AC35" s="12">
        <v>27.031189600000001</v>
      </c>
      <c r="AD35" s="12">
        <v>27.817757400000001</v>
      </c>
      <c r="AE35" s="12">
        <v>46.813698700000003</v>
      </c>
      <c r="AF35" s="12">
        <v>103.11127860000001</v>
      </c>
      <c r="AG35" s="7" t="s">
        <v>107</v>
      </c>
    </row>
    <row r="36" spans="1:33" s="11" customFormat="1" hidden="1" outlineLevel="1" x14ac:dyDescent="0.3">
      <c r="A36" s="11" t="s">
        <v>42</v>
      </c>
      <c r="B36" s="12">
        <v>2.0666498999999998</v>
      </c>
      <c r="C36" s="12">
        <v>83.51</v>
      </c>
      <c r="D36" s="12">
        <v>2.2613167999999999</v>
      </c>
      <c r="E36" s="17">
        <v>2.0833333000000001</v>
      </c>
      <c r="F36" s="13">
        <v>56.88</v>
      </c>
      <c r="G36" s="7" t="s">
        <v>107</v>
      </c>
      <c r="H36" s="7" t="s">
        <v>107</v>
      </c>
      <c r="I36" s="12">
        <v>1.4258390999999999</v>
      </c>
      <c r="J36" s="12">
        <v>3.5987800000000001</v>
      </c>
      <c r="K36" s="12">
        <v>-1.9122718000000001</v>
      </c>
      <c r="L36" s="12">
        <v>0.25354070000000001</v>
      </c>
      <c r="M36" s="12">
        <v>-10.2234213</v>
      </c>
      <c r="N36" s="12">
        <v>8.3227156999999998</v>
      </c>
      <c r="O36" s="12">
        <v>-11.4611465</v>
      </c>
      <c r="P36" s="7" t="s">
        <v>107</v>
      </c>
      <c r="Q36" s="7" t="s">
        <v>107</v>
      </c>
      <c r="R36" s="7" t="s">
        <v>107</v>
      </c>
      <c r="S36" s="12">
        <v>25.303670199999999</v>
      </c>
      <c r="T36" s="12">
        <v>19.16</v>
      </c>
      <c r="U36" s="7" t="s">
        <v>107</v>
      </c>
      <c r="V36" s="12">
        <v>85.708533299999999</v>
      </c>
      <c r="W36" s="12">
        <v>3.3538462</v>
      </c>
      <c r="X36" s="7" t="s">
        <v>107</v>
      </c>
      <c r="Y36" s="7" t="s">
        <v>107</v>
      </c>
      <c r="Z36" s="12">
        <v>-10.465492299999999</v>
      </c>
      <c r="AA36" s="12">
        <v>72.907384300000004</v>
      </c>
      <c r="AB36" s="12">
        <v>19.854772000000001</v>
      </c>
      <c r="AC36" s="12">
        <v>26.219967799999999</v>
      </c>
      <c r="AD36" s="12">
        <v>27.687707</v>
      </c>
      <c r="AE36" s="12">
        <v>46.669812700000001</v>
      </c>
      <c r="AF36" s="12">
        <v>98.716016600000003</v>
      </c>
      <c r="AG36" s="12">
        <v>47.603603100000001</v>
      </c>
    </row>
    <row r="37" spans="1:33" s="11" customFormat="1" hidden="1" outlineLevel="1" x14ac:dyDescent="0.3">
      <c r="A37" s="11" t="s">
        <v>43</v>
      </c>
      <c r="B37" s="12">
        <v>3.8191847000000001</v>
      </c>
      <c r="C37" s="12">
        <v>83.573333300000002</v>
      </c>
      <c r="D37" s="12">
        <v>2.2012065999999999</v>
      </c>
      <c r="E37" s="17">
        <v>2.3333333000000001</v>
      </c>
      <c r="F37" s="13">
        <v>61.753333300000001</v>
      </c>
      <c r="G37" s="12">
        <v>29.4741745</v>
      </c>
      <c r="H37" s="12">
        <v>23.1423886</v>
      </c>
      <c r="I37" s="12">
        <v>0.38607360000000002</v>
      </c>
      <c r="J37" s="12">
        <v>7.3140166999999998</v>
      </c>
      <c r="K37" s="12">
        <v>8.7944262000000002</v>
      </c>
      <c r="L37" s="12">
        <v>4.5677813</v>
      </c>
      <c r="M37" s="12">
        <v>66.737381299999996</v>
      </c>
      <c r="N37" s="12">
        <v>14.297537800000001</v>
      </c>
      <c r="O37" s="12">
        <v>32.0138131</v>
      </c>
      <c r="P37" s="7" t="s">
        <v>107</v>
      </c>
      <c r="Q37" s="7" t="s">
        <v>107</v>
      </c>
      <c r="R37" s="7" t="s">
        <v>107</v>
      </c>
      <c r="S37" s="12">
        <v>27.262474099999999</v>
      </c>
      <c r="T37" s="12">
        <v>20.89</v>
      </c>
      <c r="U37" s="7" t="s">
        <v>107</v>
      </c>
      <c r="V37" s="12">
        <v>87.088933299999994</v>
      </c>
      <c r="W37" s="12">
        <v>5.7392626</v>
      </c>
      <c r="X37" s="7" t="s">
        <v>107</v>
      </c>
      <c r="Y37" s="7" t="s">
        <v>107</v>
      </c>
      <c r="Z37" s="12">
        <v>-12.742198</v>
      </c>
      <c r="AA37" s="12">
        <v>79.171129800000003</v>
      </c>
      <c r="AB37" s="12">
        <v>20.7572303</v>
      </c>
      <c r="AC37" s="12">
        <v>19.637278299999998</v>
      </c>
      <c r="AD37" s="12">
        <v>29.536780700000001</v>
      </c>
      <c r="AE37" s="12">
        <v>49.102397699999997</v>
      </c>
      <c r="AF37" s="12">
        <v>107.5905398</v>
      </c>
      <c r="AG37" s="7" t="s">
        <v>107</v>
      </c>
    </row>
    <row r="38" spans="1:33" s="11" customFormat="1" hidden="1" outlineLevel="1" x14ac:dyDescent="0.3">
      <c r="A38" s="11" t="s">
        <v>44</v>
      </c>
      <c r="B38" s="12">
        <v>2.9723983</v>
      </c>
      <c r="C38" s="12">
        <v>84.693333300000006</v>
      </c>
      <c r="D38" s="12">
        <v>2.3979365000000001</v>
      </c>
      <c r="E38" s="17">
        <v>2.5833333000000001</v>
      </c>
      <c r="F38" s="13">
        <v>69.533333299999995</v>
      </c>
      <c r="G38" s="12">
        <v>15.9282035</v>
      </c>
      <c r="H38" s="12">
        <v>20.6489203</v>
      </c>
      <c r="I38" s="12">
        <v>2.5580948000000001</v>
      </c>
      <c r="J38" s="12">
        <v>5.8471624999999996</v>
      </c>
      <c r="K38" s="12">
        <v>13.2844386</v>
      </c>
      <c r="L38" s="12">
        <v>7.6798487</v>
      </c>
      <c r="M38" s="12">
        <v>6.1004676</v>
      </c>
      <c r="N38" s="12">
        <v>2.0678182000000001</v>
      </c>
      <c r="O38" s="12">
        <v>15.655685399999999</v>
      </c>
      <c r="P38" s="7" t="s">
        <v>107</v>
      </c>
      <c r="Q38" s="7" t="s">
        <v>107</v>
      </c>
      <c r="R38" s="7" t="s">
        <v>107</v>
      </c>
      <c r="S38" s="12">
        <v>23.481792200000001</v>
      </c>
      <c r="T38" s="12">
        <v>20.22</v>
      </c>
      <c r="U38" s="7" t="s">
        <v>107</v>
      </c>
      <c r="V38" s="12">
        <v>86.904899999999998</v>
      </c>
      <c r="W38" s="12">
        <v>5.6818181000000001</v>
      </c>
      <c r="X38" s="7" t="s">
        <v>107</v>
      </c>
      <c r="Y38" s="7" t="s">
        <v>107</v>
      </c>
      <c r="Z38" s="12">
        <v>-7.6488452999999996</v>
      </c>
      <c r="AA38" s="12">
        <v>76.785248899999999</v>
      </c>
      <c r="AB38" s="12">
        <v>19.520029000000001</v>
      </c>
      <c r="AC38" s="12">
        <v>23.2908875</v>
      </c>
      <c r="AD38" s="12">
        <v>30.005311599999999</v>
      </c>
      <c r="AE38" s="12">
        <v>49.601477099999997</v>
      </c>
      <c r="AF38" s="12">
        <v>99.739728600000007</v>
      </c>
      <c r="AG38" s="7" t="s">
        <v>107</v>
      </c>
    </row>
    <row r="39" spans="1:33" s="11" customFormat="1" hidden="1" outlineLevel="1" x14ac:dyDescent="0.3">
      <c r="A39" s="11" t="s">
        <v>45</v>
      </c>
      <c r="B39" s="12">
        <v>3.3099788999999999</v>
      </c>
      <c r="C39" s="12">
        <v>84.873333299999999</v>
      </c>
      <c r="D39" s="12">
        <v>2.2364986</v>
      </c>
      <c r="E39" s="17">
        <v>2.9166666999999999</v>
      </c>
      <c r="F39" s="13">
        <v>69.62</v>
      </c>
      <c r="G39" s="12">
        <v>19.114719300000001</v>
      </c>
      <c r="H39" s="12">
        <v>19.3853458</v>
      </c>
      <c r="I39" s="12">
        <v>1.33887E-2</v>
      </c>
      <c r="J39" s="12">
        <v>4.1227874</v>
      </c>
      <c r="K39" s="12">
        <v>9.1439271000000009</v>
      </c>
      <c r="L39" s="12">
        <v>10.5328462</v>
      </c>
      <c r="M39" s="12">
        <v>-4.0192848000000003</v>
      </c>
      <c r="N39" s="12">
        <v>9.8893511000000007</v>
      </c>
      <c r="O39" s="12">
        <v>13.369355499999999</v>
      </c>
      <c r="P39" s="7" t="s">
        <v>107</v>
      </c>
      <c r="Q39" s="7" t="s">
        <v>107</v>
      </c>
      <c r="R39" s="7" t="s">
        <v>107</v>
      </c>
      <c r="S39" s="12">
        <v>22.263093099999999</v>
      </c>
      <c r="T39" s="12">
        <v>18</v>
      </c>
      <c r="U39" s="7" t="s">
        <v>107</v>
      </c>
      <c r="V39" s="12">
        <v>83.248166699999999</v>
      </c>
      <c r="W39" s="12">
        <v>2.9753761999999999</v>
      </c>
      <c r="X39" s="7" t="s">
        <v>107</v>
      </c>
      <c r="Y39" s="7" t="s">
        <v>107</v>
      </c>
      <c r="Z39" s="12">
        <v>-9.2827328999999992</v>
      </c>
      <c r="AA39" s="12">
        <v>74.297680299999996</v>
      </c>
      <c r="AB39" s="12">
        <v>19.340752899999998</v>
      </c>
      <c r="AC39" s="12">
        <v>22.345538999999999</v>
      </c>
      <c r="AD39" s="12">
        <v>30.722722900000001</v>
      </c>
      <c r="AE39" s="12">
        <v>46.706713000000001</v>
      </c>
      <c r="AF39" s="12">
        <v>76.374314600000005</v>
      </c>
      <c r="AG39" s="7" t="s">
        <v>107</v>
      </c>
    </row>
    <row r="40" spans="1:33" s="11" customFormat="1" hidden="1" outlineLevel="1" x14ac:dyDescent="0.3">
      <c r="A40" s="11" t="s">
        <v>46</v>
      </c>
      <c r="B40" s="12">
        <v>3.7478780999999999</v>
      </c>
      <c r="C40" s="12">
        <v>85.166666699999993</v>
      </c>
      <c r="D40" s="12">
        <v>1.9837944000000001</v>
      </c>
      <c r="E40" s="17">
        <v>3.3333333000000001</v>
      </c>
      <c r="F40" s="13">
        <v>59.68</v>
      </c>
      <c r="G40" s="12">
        <v>43.101103500000001</v>
      </c>
      <c r="H40" s="12">
        <v>17.440340599999999</v>
      </c>
      <c r="I40" s="12">
        <v>-7.4387346000000001</v>
      </c>
      <c r="J40" s="12">
        <v>3.6349558000000002</v>
      </c>
      <c r="K40" s="12">
        <v>11.006872700000001</v>
      </c>
      <c r="L40" s="12">
        <v>7.3437463999999997</v>
      </c>
      <c r="M40" s="12">
        <v>6.6471188000000003</v>
      </c>
      <c r="N40" s="12">
        <v>4.1709858999999998</v>
      </c>
      <c r="O40" s="12">
        <v>18.5933919</v>
      </c>
      <c r="P40" s="7" t="s">
        <v>107</v>
      </c>
      <c r="Q40" s="7" t="s">
        <v>107</v>
      </c>
      <c r="R40" s="7" t="s">
        <v>107</v>
      </c>
      <c r="S40" s="12">
        <v>24.913426699999999</v>
      </c>
      <c r="T40" s="12">
        <v>14</v>
      </c>
      <c r="U40" s="7" t="s">
        <v>107</v>
      </c>
      <c r="V40" s="12">
        <v>79.533366700000002</v>
      </c>
      <c r="W40" s="12">
        <v>2.6793689000000001</v>
      </c>
      <c r="X40" s="7" t="s">
        <v>107</v>
      </c>
      <c r="Y40" s="7" t="s">
        <v>107</v>
      </c>
      <c r="Z40" s="12">
        <v>-14.447416799999999</v>
      </c>
      <c r="AA40" s="12">
        <v>74.145337600000005</v>
      </c>
      <c r="AB40" s="12">
        <v>21.803350200000001</v>
      </c>
      <c r="AC40" s="12">
        <v>21.428900800000001</v>
      </c>
      <c r="AD40" s="12">
        <v>27.7325008</v>
      </c>
      <c r="AE40" s="12">
        <v>45.110073200000002</v>
      </c>
      <c r="AF40" s="12">
        <v>54.192325199999999</v>
      </c>
      <c r="AG40" s="12">
        <v>33.8743756</v>
      </c>
    </row>
    <row r="41" spans="1:33" s="11" customFormat="1" hidden="1" outlineLevel="1" x14ac:dyDescent="0.3">
      <c r="A41" s="11" t="s">
        <v>47</v>
      </c>
      <c r="B41" s="12">
        <v>3.5234725999999998</v>
      </c>
      <c r="C41" s="12">
        <v>85.39</v>
      </c>
      <c r="D41" s="12">
        <v>2.1737397000000001</v>
      </c>
      <c r="E41" s="17">
        <v>3.5833333000000001</v>
      </c>
      <c r="F41" s="13">
        <v>57.763333299999999</v>
      </c>
      <c r="G41" s="12">
        <v>20.749462300000001</v>
      </c>
      <c r="H41" s="12">
        <v>20.326658599999998</v>
      </c>
      <c r="I41" s="12">
        <v>0.2461486</v>
      </c>
      <c r="J41" s="12">
        <v>7.3029538000000001</v>
      </c>
      <c r="K41" s="12">
        <v>9.0924270000000007</v>
      </c>
      <c r="L41" s="12">
        <v>2.2321778999999999</v>
      </c>
      <c r="M41" s="12">
        <v>62.940421999999998</v>
      </c>
      <c r="N41" s="12">
        <v>3.2540328999999999</v>
      </c>
      <c r="O41" s="12">
        <v>26.853629000000002</v>
      </c>
      <c r="P41" s="7" t="s">
        <v>107</v>
      </c>
      <c r="Q41" s="7" t="s">
        <v>107</v>
      </c>
      <c r="R41" s="7" t="s">
        <v>107</v>
      </c>
      <c r="S41" s="12">
        <v>24.235764</v>
      </c>
      <c r="T41" s="12">
        <v>10.5</v>
      </c>
      <c r="U41" s="12">
        <v>55.951457599999998</v>
      </c>
      <c r="V41" s="12">
        <v>79.984933299999994</v>
      </c>
      <c r="W41" s="12">
        <v>5.4277499000000002</v>
      </c>
      <c r="X41" s="7" t="s">
        <v>107</v>
      </c>
      <c r="Y41" s="7" t="s">
        <v>107</v>
      </c>
      <c r="Z41" s="12">
        <v>-16.724389200000001</v>
      </c>
      <c r="AA41" s="12">
        <v>78.039958799999994</v>
      </c>
      <c r="AB41" s="12">
        <v>21.102873500000001</v>
      </c>
      <c r="AC41" s="12">
        <v>22.356810100000001</v>
      </c>
      <c r="AD41" s="12">
        <v>27.438636200000001</v>
      </c>
      <c r="AE41" s="12">
        <v>48.938296800000003</v>
      </c>
      <c r="AF41" s="12">
        <v>53.564166999999998</v>
      </c>
      <c r="AG41" s="7" t="s">
        <v>107</v>
      </c>
    </row>
    <row r="42" spans="1:33" s="11" customFormat="1" hidden="1" outlineLevel="1" x14ac:dyDescent="0.3">
      <c r="A42" s="11" t="s">
        <v>48</v>
      </c>
      <c r="B42" s="12">
        <v>3.1678283999999999</v>
      </c>
      <c r="C42" s="12">
        <v>86.5</v>
      </c>
      <c r="D42" s="12">
        <v>2.1331864</v>
      </c>
      <c r="E42" s="17">
        <v>3.8333333000000001</v>
      </c>
      <c r="F42" s="13">
        <v>68.583333300000007</v>
      </c>
      <c r="G42" s="12">
        <v>12.3674065</v>
      </c>
      <c r="H42" s="12">
        <v>13.419876199999999</v>
      </c>
      <c r="I42" s="12">
        <v>2.8710404</v>
      </c>
      <c r="J42" s="12">
        <v>6.4682523999999999</v>
      </c>
      <c r="K42" s="12">
        <v>6.4043963000000002</v>
      </c>
      <c r="L42" s="12">
        <v>-1.3395636</v>
      </c>
      <c r="M42" s="12">
        <v>44.772152200000001</v>
      </c>
      <c r="N42" s="12">
        <v>4.8713623999999998</v>
      </c>
      <c r="O42" s="12">
        <v>19.695259100000001</v>
      </c>
      <c r="P42" s="7" t="s">
        <v>107</v>
      </c>
      <c r="Q42" s="7" t="s">
        <v>107</v>
      </c>
      <c r="R42" s="7" t="s">
        <v>107</v>
      </c>
      <c r="S42" s="12">
        <v>22.600575800000001</v>
      </c>
      <c r="T42" s="12">
        <v>9.5</v>
      </c>
      <c r="U42" s="12">
        <v>57.265386200000002</v>
      </c>
      <c r="V42" s="12">
        <v>81.077566700000006</v>
      </c>
      <c r="W42" s="12">
        <v>5.7459676999999996</v>
      </c>
      <c r="X42" s="7" t="s">
        <v>107</v>
      </c>
      <c r="Y42" s="7" t="s">
        <v>107</v>
      </c>
      <c r="Z42" s="12">
        <v>-16.0934545</v>
      </c>
      <c r="AA42" s="12">
        <v>74.493111799999994</v>
      </c>
      <c r="AB42" s="12">
        <v>20.058622799999998</v>
      </c>
      <c r="AC42" s="12">
        <v>26.117019200000001</v>
      </c>
      <c r="AD42" s="12">
        <v>27.942307700000001</v>
      </c>
      <c r="AE42" s="12">
        <v>48.611061599999999</v>
      </c>
      <c r="AF42" s="12">
        <v>47.942456300000003</v>
      </c>
      <c r="AG42" s="7" t="s">
        <v>107</v>
      </c>
    </row>
    <row r="43" spans="1:33" s="11" customFormat="1" hidden="1" outlineLevel="1" x14ac:dyDescent="0.3">
      <c r="A43" s="11" t="s">
        <v>49</v>
      </c>
      <c r="B43" s="12">
        <v>3.1476855000000001</v>
      </c>
      <c r="C43" s="12">
        <v>86.6</v>
      </c>
      <c r="D43" s="12">
        <v>2.0344042999999998</v>
      </c>
      <c r="E43" s="17">
        <v>4</v>
      </c>
      <c r="F43" s="13">
        <v>74.953333299999997</v>
      </c>
      <c r="G43" s="12">
        <v>19.314985</v>
      </c>
      <c r="H43" s="12">
        <v>13.9571291</v>
      </c>
      <c r="I43" s="12">
        <v>-1.8882736</v>
      </c>
      <c r="J43" s="12">
        <v>5.9854248999999999</v>
      </c>
      <c r="K43" s="12">
        <v>8.7179558999999998</v>
      </c>
      <c r="L43" s="12">
        <v>-1.5526986</v>
      </c>
      <c r="M43" s="12">
        <v>37.360473800000001</v>
      </c>
      <c r="N43" s="12">
        <v>6.3210253999999999</v>
      </c>
      <c r="O43" s="12">
        <v>22.530711100000001</v>
      </c>
      <c r="P43" s="7" t="s">
        <v>107</v>
      </c>
      <c r="Q43" s="7" t="s">
        <v>107</v>
      </c>
      <c r="R43" s="7" t="s">
        <v>107</v>
      </c>
      <c r="S43" s="12">
        <v>21.7146829</v>
      </c>
      <c r="T43" s="12">
        <v>9.75</v>
      </c>
      <c r="U43" s="12">
        <v>58.889547899999997</v>
      </c>
      <c r="V43" s="12">
        <v>80.0341667</v>
      </c>
      <c r="W43" s="12">
        <v>4.5831949999999999</v>
      </c>
      <c r="X43" s="7" t="s">
        <v>107</v>
      </c>
      <c r="Y43" s="7" t="s">
        <v>107</v>
      </c>
      <c r="Z43" s="12">
        <v>-14.654534200000001</v>
      </c>
      <c r="AA43" s="12">
        <v>75.265676900000003</v>
      </c>
      <c r="AB43" s="12">
        <v>19.711097299999999</v>
      </c>
      <c r="AC43" s="12">
        <v>24.903909500000001</v>
      </c>
      <c r="AD43" s="12">
        <v>28.985804300000002</v>
      </c>
      <c r="AE43" s="12">
        <v>48.866487999999997</v>
      </c>
      <c r="AF43" s="12">
        <v>50.186745799999997</v>
      </c>
      <c r="AG43" s="7" t="s">
        <v>107</v>
      </c>
    </row>
    <row r="44" spans="1:33" s="11" customFormat="1" hidden="1" outlineLevel="1" x14ac:dyDescent="0.3">
      <c r="A44" s="11" t="s">
        <v>50</v>
      </c>
      <c r="B44" s="12">
        <v>2.7223932</v>
      </c>
      <c r="C44" s="12">
        <v>87.72</v>
      </c>
      <c r="D44" s="12">
        <v>2.998043</v>
      </c>
      <c r="E44" s="17">
        <v>4</v>
      </c>
      <c r="F44" s="13">
        <v>88.56</v>
      </c>
      <c r="G44" s="12">
        <v>14.4869108</v>
      </c>
      <c r="H44" s="12">
        <v>14.967643799999999</v>
      </c>
      <c r="I44" s="12">
        <v>-7.1893450999999997</v>
      </c>
      <c r="J44" s="12">
        <v>6.1302583999999998</v>
      </c>
      <c r="K44" s="12">
        <v>6.0746228000000002</v>
      </c>
      <c r="L44" s="12">
        <v>3.8827633000000001</v>
      </c>
      <c r="M44" s="12">
        <v>37.724688700000002</v>
      </c>
      <c r="N44" s="12">
        <v>0.59987310000000005</v>
      </c>
      <c r="O44" s="12">
        <v>17.923099100000002</v>
      </c>
      <c r="P44" s="7" t="s">
        <v>107</v>
      </c>
      <c r="Q44" s="7" t="s">
        <v>107</v>
      </c>
      <c r="R44" s="7" t="s">
        <v>107</v>
      </c>
      <c r="S44" s="12">
        <v>19.804550599999999</v>
      </c>
      <c r="T44" s="12">
        <v>10</v>
      </c>
      <c r="U44" s="12">
        <v>61.0976778</v>
      </c>
      <c r="V44" s="12">
        <v>78.809166700000006</v>
      </c>
      <c r="W44" s="12">
        <v>1.3047260000000001</v>
      </c>
      <c r="X44" s="7" t="s">
        <v>107</v>
      </c>
      <c r="Y44" s="7" t="s">
        <v>107</v>
      </c>
      <c r="Z44" s="12">
        <v>-16.5726522</v>
      </c>
      <c r="AA44" s="12">
        <v>73.938449500000004</v>
      </c>
      <c r="AB44" s="12">
        <v>21.951004999999999</v>
      </c>
      <c r="AC44" s="12">
        <v>26.105583599999999</v>
      </c>
      <c r="AD44" s="12">
        <v>25.101367199999999</v>
      </c>
      <c r="AE44" s="12">
        <v>47.096405300000001</v>
      </c>
      <c r="AF44" s="12">
        <v>50.236083399999998</v>
      </c>
      <c r="AG44" s="12">
        <v>27.868039899999999</v>
      </c>
    </row>
    <row r="45" spans="1:33" s="11" customFormat="1" hidden="1" outlineLevel="1" x14ac:dyDescent="0.3">
      <c r="A45" s="11" t="s">
        <v>51</v>
      </c>
      <c r="B45" s="12">
        <v>1.9060995000000001</v>
      </c>
      <c r="C45" s="12">
        <v>88.42</v>
      </c>
      <c r="D45" s="12">
        <v>3.5484249000000001</v>
      </c>
      <c r="E45" s="17">
        <v>4</v>
      </c>
      <c r="F45" s="13">
        <v>96.936666700000004</v>
      </c>
      <c r="G45" s="12">
        <v>16.877955700000001</v>
      </c>
      <c r="H45" s="12">
        <v>19.707412900000001</v>
      </c>
      <c r="I45" s="12">
        <v>1.2712585999999999</v>
      </c>
      <c r="J45" s="12">
        <v>7.5894006999999997</v>
      </c>
      <c r="K45" s="12">
        <v>7.2758950000000002</v>
      </c>
      <c r="L45" s="12">
        <v>4.1206331</v>
      </c>
      <c r="M45" s="12">
        <v>13.5198552</v>
      </c>
      <c r="N45" s="12">
        <v>16.979562000000001</v>
      </c>
      <c r="O45" s="12">
        <v>14.722868699999999</v>
      </c>
      <c r="P45" s="7" t="s">
        <v>107</v>
      </c>
      <c r="Q45" s="7" t="s">
        <v>107</v>
      </c>
      <c r="R45" s="7" t="s">
        <v>107</v>
      </c>
      <c r="S45" s="12">
        <v>19.293873699999999</v>
      </c>
      <c r="T45" s="12">
        <v>14.5</v>
      </c>
      <c r="U45" s="12">
        <v>62.959076600000003</v>
      </c>
      <c r="V45" s="12">
        <v>82.641133300000007</v>
      </c>
      <c r="W45" s="12">
        <v>6.3075349000000003</v>
      </c>
      <c r="X45" s="7" t="s">
        <v>107</v>
      </c>
      <c r="Y45" s="7" t="s">
        <v>107</v>
      </c>
      <c r="Z45" s="12">
        <v>-19.557288499999999</v>
      </c>
      <c r="AA45" s="12">
        <v>78.636849900000001</v>
      </c>
      <c r="AB45" s="12">
        <v>20.5332729</v>
      </c>
      <c r="AC45" s="12">
        <v>23.041313299999999</v>
      </c>
      <c r="AD45" s="12">
        <v>30.084796099999998</v>
      </c>
      <c r="AE45" s="12">
        <v>52.296232199999999</v>
      </c>
      <c r="AF45" s="12">
        <v>44.577764100000003</v>
      </c>
      <c r="AG45" s="7" t="s">
        <v>107</v>
      </c>
    </row>
    <row r="46" spans="1:33" s="11" customFormat="1" hidden="1" outlineLevel="1" x14ac:dyDescent="0.3">
      <c r="A46" s="11" t="s">
        <v>52</v>
      </c>
      <c r="B46" s="12">
        <v>1.9101475000000001</v>
      </c>
      <c r="C46" s="12">
        <v>89.906666700000002</v>
      </c>
      <c r="D46" s="12">
        <v>3.9383430000000001</v>
      </c>
      <c r="E46" s="17">
        <v>4</v>
      </c>
      <c r="F46" s="13">
        <v>121.3966667</v>
      </c>
      <c r="G46" s="12">
        <v>35.872791700000001</v>
      </c>
      <c r="H46" s="12">
        <v>17.754541700000001</v>
      </c>
      <c r="I46" s="12">
        <v>-2.9612086999999998</v>
      </c>
      <c r="J46" s="12">
        <v>7.3718177000000003</v>
      </c>
      <c r="K46" s="12">
        <v>6.5698525999999999</v>
      </c>
      <c r="L46" s="12">
        <v>8.1390037</v>
      </c>
      <c r="M46" s="12">
        <v>24.3708597</v>
      </c>
      <c r="N46" s="12">
        <v>15.6579996</v>
      </c>
      <c r="O46" s="12">
        <v>19.809811400000001</v>
      </c>
      <c r="P46" s="7">
        <v>2838.14</v>
      </c>
      <c r="Q46" s="7">
        <v>433.56200000000001</v>
      </c>
      <c r="R46" s="7">
        <v>13.25</v>
      </c>
      <c r="S46" s="12">
        <v>19.434305800000001</v>
      </c>
      <c r="T46" s="12">
        <v>15.75</v>
      </c>
      <c r="U46" s="12">
        <v>65.641680699999995</v>
      </c>
      <c r="V46" s="12">
        <v>81.097866699999997</v>
      </c>
      <c r="W46" s="12">
        <v>3.3047347</v>
      </c>
      <c r="X46" s="7" t="s">
        <v>107</v>
      </c>
      <c r="Y46" s="7" t="s">
        <v>107</v>
      </c>
      <c r="Z46" s="12">
        <v>-23.992997299999999</v>
      </c>
      <c r="AA46" s="12">
        <v>75.183814999999996</v>
      </c>
      <c r="AB46" s="12">
        <v>20.115010699999999</v>
      </c>
      <c r="AC46" s="12">
        <v>28.477481099999999</v>
      </c>
      <c r="AD46" s="12">
        <v>29.458077500000002</v>
      </c>
      <c r="AE46" s="12">
        <v>53.234384400000003</v>
      </c>
      <c r="AF46" s="12">
        <v>35.047715699999998</v>
      </c>
      <c r="AG46" s="7" t="s">
        <v>107</v>
      </c>
    </row>
    <row r="47" spans="1:33" s="11" customFormat="1" hidden="1" outlineLevel="1" x14ac:dyDescent="0.3">
      <c r="A47" s="11" t="s">
        <v>53</v>
      </c>
      <c r="B47" s="12">
        <v>0.87131639999999999</v>
      </c>
      <c r="C47" s="12">
        <v>90.323333300000002</v>
      </c>
      <c r="D47" s="12">
        <v>4.2994611000000003</v>
      </c>
      <c r="E47" s="17">
        <v>4.25</v>
      </c>
      <c r="F47" s="13">
        <v>114.3966667</v>
      </c>
      <c r="G47" s="12">
        <v>10.5183009</v>
      </c>
      <c r="H47" s="12">
        <v>13.3564793</v>
      </c>
      <c r="I47" s="12">
        <v>-0.81288400000000005</v>
      </c>
      <c r="J47" s="12">
        <v>6.2098934999999997</v>
      </c>
      <c r="K47" s="12">
        <v>4.8749804000000001</v>
      </c>
      <c r="L47" s="12">
        <v>6.6572342000000004</v>
      </c>
      <c r="M47" s="12">
        <v>15.465663299999999</v>
      </c>
      <c r="N47" s="12">
        <v>11.894599599999999</v>
      </c>
      <c r="O47" s="12">
        <v>12.1429454</v>
      </c>
      <c r="P47" s="7" t="s">
        <v>107</v>
      </c>
      <c r="Q47" s="7" t="s">
        <v>107</v>
      </c>
      <c r="R47" s="7" t="s">
        <v>107</v>
      </c>
      <c r="S47" s="12">
        <v>17.925026800000001</v>
      </c>
      <c r="T47" s="12">
        <v>15.75</v>
      </c>
      <c r="U47" s="12">
        <v>65.970162900000005</v>
      </c>
      <c r="V47" s="12">
        <v>77.115700000000004</v>
      </c>
      <c r="W47" s="12">
        <v>1.9688789</v>
      </c>
      <c r="X47" s="7" t="s">
        <v>107</v>
      </c>
      <c r="Y47" s="7" t="s">
        <v>107</v>
      </c>
      <c r="Z47" s="12">
        <v>-19.395561000000001</v>
      </c>
      <c r="AA47" s="12">
        <v>74.771714099999997</v>
      </c>
      <c r="AB47" s="12">
        <v>19.2349402</v>
      </c>
      <c r="AC47" s="12">
        <v>27.3048587</v>
      </c>
      <c r="AD47" s="12">
        <v>28.992204000000001</v>
      </c>
      <c r="AE47" s="12">
        <v>50.3037171</v>
      </c>
      <c r="AF47" s="12">
        <v>30.9595029</v>
      </c>
      <c r="AG47" s="7" t="s">
        <v>107</v>
      </c>
    </row>
    <row r="48" spans="1:33" s="11" customFormat="1" hidden="1" outlineLevel="1" x14ac:dyDescent="0.3">
      <c r="A48" s="11" t="s">
        <v>54</v>
      </c>
      <c r="B48" s="12">
        <v>-1.9881508000000001</v>
      </c>
      <c r="C48" s="12">
        <v>90.23</v>
      </c>
      <c r="D48" s="12">
        <v>2.8613770999999999</v>
      </c>
      <c r="E48" s="17">
        <v>3.1666666999999999</v>
      </c>
      <c r="F48" s="13">
        <v>54.66</v>
      </c>
      <c r="G48" s="12">
        <v>6.3144255999999999</v>
      </c>
      <c r="H48" s="12">
        <v>7.0340444</v>
      </c>
      <c r="I48" s="12">
        <v>-6.6372144999999998</v>
      </c>
      <c r="J48" s="12">
        <v>2.0113162</v>
      </c>
      <c r="K48" s="12">
        <v>1.7512999999999999E-3</v>
      </c>
      <c r="L48" s="12">
        <v>-3.5203864999999999</v>
      </c>
      <c r="M48" s="12">
        <v>-1.5980886999999999</v>
      </c>
      <c r="N48" s="12">
        <v>6.2126688999999997</v>
      </c>
      <c r="O48" s="12">
        <v>-3.9219094000000001</v>
      </c>
      <c r="P48" s="7">
        <v>2805.3</v>
      </c>
      <c r="Q48" s="7">
        <v>457.2</v>
      </c>
      <c r="R48" s="7">
        <v>14.01</v>
      </c>
      <c r="S48" s="12">
        <v>15.082731000000001</v>
      </c>
      <c r="T48" s="12">
        <v>17.75</v>
      </c>
      <c r="U48" s="12">
        <v>67.576075599999996</v>
      </c>
      <c r="V48" s="12">
        <v>85.015533300000001</v>
      </c>
      <c r="W48" s="12">
        <v>-4.7796222000000004</v>
      </c>
      <c r="X48" s="7" t="s">
        <v>107</v>
      </c>
      <c r="Y48" s="7" t="s">
        <v>107</v>
      </c>
      <c r="Z48" s="12">
        <v>-16.976128500000002</v>
      </c>
      <c r="AA48" s="12">
        <v>73.002629999999996</v>
      </c>
      <c r="AB48" s="12">
        <v>20.637062100000001</v>
      </c>
      <c r="AC48" s="12">
        <v>26.468800399999999</v>
      </c>
      <c r="AD48" s="12">
        <v>25.677717300000001</v>
      </c>
      <c r="AE48" s="12">
        <v>45.786197299999998</v>
      </c>
      <c r="AF48" s="12">
        <v>40.176522400000003</v>
      </c>
      <c r="AG48" s="12">
        <v>26.751045900000001</v>
      </c>
    </row>
    <row r="49" spans="1:33" s="11" customFormat="1" hidden="1" outlineLevel="1" x14ac:dyDescent="0.3">
      <c r="A49" s="11" t="s">
        <v>55</v>
      </c>
      <c r="B49" s="12">
        <v>-5.4359460999999998</v>
      </c>
      <c r="C49" s="12">
        <v>89.88</v>
      </c>
      <c r="D49" s="12">
        <v>1.6512100999999999</v>
      </c>
      <c r="E49" s="17">
        <v>1.8333333000000001</v>
      </c>
      <c r="F49" s="13">
        <v>44.433333300000001</v>
      </c>
      <c r="G49" s="12">
        <v>4.3639295999999996</v>
      </c>
      <c r="H49" s="12">
        <v>-3.2907562000000001</v>
      </c>
      <c r="I49" s="12">
        <v>-1.8799777</v>
      </c>
      <c r="J49" s="12">
        <v>-2.1764597999999999</v>
      </c>
      <c r="K49" s="12">
        <v>-5.2235699000000002</v>
      </c>
      <c r="L49" s="12">
        <v>0.87036040000000003</v>
      </c>
      <c r="M49" s="12">
        <v>-8.5100359999999995</v>
      </c>
      <c r="N49" s="12">
        <v>-16.814283</v>
      </c>
      <c r="O49" s="12">
        <v>-17.078782499999999</v>
      </c>
      <c r="P49" s="7" t="s">
        <v>107</v>
      </c>
      <c r="Q49" s="7" t="s">
        <v>107</v>
      </c>
      <c r="R49" s="7" t="s">
        <v>107</v>
      </c>
      <c r="S49" s="12">
        <v>12.528991299999999</v>
      </c>
      <c r="T49" s="12">
        <v>16.5</v>
      </c>
      <c r="U49" s="12">
        <v>69.291482299999998</v>
      </c>
      <c r="V49" s="12">
        <v>93.896833299999997</v>
      </c>
      <c r="W49" s="12">
        <v>-16.709429100000001</v>
      </c>
      <c r="X49" s="12">
        <v>-20.554975200000001</v>
      </c>
      <c r="Y49" s="12">
        <v>-21.546422400000001</v>
      </c>
      <c r="Z49" s="12">
        <v>-11.960637</v>
      </c>
      <c r="AA49" s="12">
        <v>76.766698500000004</v>
      </c>
      <c r="AB49" s="12">
        <v>20.142498100000001</v>
      </c>
      <c r="AC49" s="12">
        <v>21.097925100000001</v>
      </c>
      <c r="AD49" s="12">
        <v>25.791831599999998</v>
      </c>
      <c r="AE49" s="12">
        <v>43.798938800000002</v>
      </c>
      <c r="AF49" s="12">
        <v>33.227041399999997</v>
      </c>
      <c r="AG49" s="7" t="s">
        <v>107</v>
      </c>
    </row>
    <row r="50" spans="1:33" s="11" customFormat="1" hidden="1" outlineLevel="1" x14ac:dyDescent="0.3">
      <c r="A50" s="11" t="s">
        <v>56</v>
      </c>
      <c r="B50" s="12">
        <v>-5.8020649999999998</v>
      </c>
      <c r="C50" s="12">
        <v>90.723333299999993</v>
      </c>
      <c r="D50" s="12">
        <v>0.90834930000000003</v>
      </c>
      <c r="E50" s="17">
        <v>1.0833333000000001</v>
      </c>
      <c r="F50" s="13">
        <v>58.696666700000002</v>
      </c>
      <c r="G50" s="12">
        <v>3.9398358999999998</v>
      </c>
      <c r="H50" s="12">
        <v>-4.4323674000000004</v>
      </c>
      <c r="I50" s="12">
        <v>-6.1959211999999999</v>
      </c>
      <c r="J50" s="12">
        <v>-3.5413586000000001</v>
      </c>
      <c r="K50" s="12">
        <v>-2.2144957999999999</v>
      </c>
      <c r="L50" s="12">
        <v>-1.0086244</v>
      </c>
      <c r="M50" s="12">
        <v>-44.352664400000002</v>
      </c>
      <c r="N50" s="12">
        <v>-14.500584699999999</v>
      </c>
      <c r="O50" s="12">
        <v>-28.822414200000001</v>
      </c>
      <c r="P50" s="7">
        <v>2642.7</v>
      </c>
      <c r="Q50" s="7">
        <v>488.6</v>
      </c>
      <c r="R50" s="7">
        <v>15.6</v>
      </c>
      <c r="S50" s="12">
        <v>10.1728994</v>
      </c>
      <c r="T50" s="12">
        <v>13</v>
      </c>
      <c r="U50" s="12">
        <v>71.390118200000003</v>
      </c>
      <c r="V50" s="12">
        <v>94.167833299999998</v>
      </c>
      <c r="W50" s="12">
        <v>-18.794217199999999</v>
      </c>
      <c r="X50" s="12">
        <v>-18.1803676</v>
      </c>
      <c r="Y50" s="12">
        <v>-34.991238600000003</v>
      </c>
      <c r="Z50" s="12">
        <v>-3.3445825999999999</v>
      </c>
      <c r="AA50" s="12">
        <v>76.204718499999998</v>
      </c>
      <c r="AB50" s="12">
        <v>19.555039900000001</v>
      </c>
      <c r="AC50" s="12">
        <v>15.9085137</v>
      </c>
      <c r="AD50" s="12">
        <v>26.684047499999998</v>
      </c>
      <c r="AE50" s="12">
        <v>38.352319600000001</v>
      </c>
      <c r="AF50" s="12">
        <v>27.6734449</v>
      </c>
      <c r="AG50" s="7" t="s">
        <v>107</v>
      </c>
    </row>
    <row r="51" spans="1:33" s="11" customFormat="1" hidden="1" outlineLevel="1" x14ac:dyDescent="0.3">
      <c r="A51" s="11" t="s">
        <v>57</v>
      </c>
      <c r="B51" s="12">
        <v>-4.1677857999999999</v>
      </c>
      <c r="C51" s="12">
        <v>90.663333300000005</v>
      </c>
      <c r="D51" s="12">
        <v>0.37642540000000002</v>
      </c>
      <c r="E51" s="17">
        <v>1</v>
      </c>
      <c r="F51" s="13">
        <v>68.2</v>
      </c>
      <c r="G51" s="12">
        <v>11.6516222</v>
      </c>
      <c r="H51" s="12">
        <v>4.8315178000000003</v>
      </c>
      <c r="I51" s="12">
        <v>-3.4391501</v>
      </c>
      <c r="J51" s="12">
        <v>-2.6478437000000001</v>
      </c>
      <c r="K51" s="12">
        <v>-3.4605108000000002</v>
      </c>
      <c r="L51" s="12">
        <v>-2.9875276999999998</v>
      </c>
      <c r="M51" s="12">
        <v>-30.134826799999999</v>
      </c>
      <c r="N51" s="12">
        <v>-13.829551</v>
      </c>
      <c r="O51" s="12">
        <v>-25.179349899999998</v>
      </c>
      <c r="P51" s="7" t="s">
        <v>107</v>
      </c>
      <c r="Q51" s="7" t="s">
        <v>107</v>
      </c>
      <c r="R51" s="7" t="s">
        <v>107</v>
      </c>
      <c r="S51" s="12">
        <v>7.7648524999999999</v>
      </c>
      <c r="T51" s="12">
        <v>12</v>
      </c>
      <c r="U51" s="12">
        <v>71.207628099999994</v>
      </c>
      <c r="V51" s="12">
        <v>93.239466699999994</v>
      </c>
      <c r="W51" s="12">
        <v>-11.0246029</v>
      </c>
      <c r="X51" s="12">
        <v>-19.570270000000001</v>
      </c>
      <c r="Y51" s="12">
        <v>-33.829391700000002</v>
      </c>
      <c r="Z51" s="12">
        <v>-4.8399713999999996</v>
      </c>
      <c r="AA51" s="12">
        <v>74.571365999999998</v>
      </c>
      <c r="AB51" s="12">
        <v>18.658525099999999</v>
      </c>
      <c r="AC51" s="12">
        <v>18.236621299999999</v>
      </c>
      <c r="AD51" s="12">
        <v>26.703097799999998</v>
      </c>
      <c r="AE51" s="12">
        <v>38.169610200000001</v>
      </c>
      <c r="AF51" s="12">
        <v>18.391407099999999</v>
      </c>
      <c r="AG51" s="7" t="s">
        <v>107</v>
      </c>
    </row>
    <row r="52" spans="1:33" s="11" customFormat="1" hidden="1" outlineLevel="1" x14ac:dyDescent="0.3">
      <c r="A52" s="11" t="s">
        <v>58</v>
      </c>
      <c r="B52" s="12">
        <v>-1.8288317999999999</v>
      </c>
      <c r="C52" s="12">
        <v>91.146666699999997</v>
      </c>
      <c r="D52" s="12">
        <v>1.0159222999999999</v>
      </c>
      <c r="E52" s="17">
        <v>1</v>
      </c>
      <c r="F52" s="13">
        <v>74.63</v>
      </c>
      <c r="G52" s="12">
        <v>0.77225619999999995</v>
      </c>
      <c r="H52" s="12">
        <v>4.7298495000000003</v>
      </c>
      <c r="I52" s="12">
        <v>-4.9010293000000003</v>
      </c>
      <c r="J52" s="12">
        <v>-2.5403368999999998</v>
      </c>
      <c r="K52" s="12">
        <v>-2.2634096000000001</v>
      </c>
      <c r="L52" s="12">
        <v>-3.2549758999999998</v>
      </c>
      <c r="M52" s="12">
        <v>-26.5988796</v>
      </c>
      <c r="N52" s="12">
        <v>-0.51546910000000001</v>
      </c>
      <c r="O52" s="12">
        <v>-15.3864012</v>
      </c>
      <c r="P52" s="7">
        <v>2590.1999999999998</v>
      </c>
      <c r="Q52" s="7">
        <v>517.4</v>
      </c>
      <c r="R52" s="7">
        <v>16.600000000000001</v>
      </c>
      <c r="S52" s="12">
        <v>5.3973012000000002</v>
      </c>
      <c r="T52" s="12">
        <v>9.5</v>
      </c>
      <c r="U52" s="12">
        <v>71.536110199999996</v>
      </c>
      <c r="V52" s="12">
        <v>94.472333300000003</v>
      </c>
      <c r="W52" s="12">
        <v>-4.4183950000000003</v>
      </c>
      <c r="X52" s="12">
        <v>-5.3521799999999997</v>
      </c>
      <c r="Y52" s="12">
        <v>-21.121608299999998</v>
      </c>
      <c r="Z52" s="12">
        <v>-5.5036312000000001</v>
      </c>
      <c r="AA52" s="12">
        <v>73.409665399999994</v>
      </c>
      <c r="AB52" s="12">
        <v>19.7647546</v>
      </c>
      <c r="AC52" s="12">
        <v>19.536085499999999</v>
      </c>
      <c r="AD52" s="12">
        <v>26.165853800000001</v>
      </c>
      <c r="AE52" s="12">
        <v>38.876359299999997</v>
      </c>
      <c r="AF52" s="12">
        <v>7.9793731000000001</v>
      </c>
      <c r="AG52" s="12">
        <v>30.9425396</v>
      </c>
    </row>
    <row r="53" spans="1:33" s="11" customFormat="1" hidden="1" outlineLevel="1" x14ac:dyDescent="0.3">
      <c r="A53" s="11" t="s">
        <v>59</v>
      </c>
      <c r="B53" s="12">
        <v>1.1991562</v>
      </c>
      <c r="C53" s="12">
        <v>91.416666699999993</v>
      </c>
      <c r="D53" s="12">
        <v>1.709687</v>
      </c>
      <c r="E53" s="17">
        <v>1</v>
      </c>
      <c r="F53" s="13">
        <v>76.25</v>
      </c>
      <c r="G53" s="12">
        <v>6.8635460000000004</v>
      </c>
      <c r="H53" s="12">
        <v>2.9157706000000001</v>
      </c>
      <c r="I53" s="12">
        <v>-3.4684024999999998</v>
      </c>
      <c r="J53" s="12">
        <v>-7.7287700000000001E-2</v>
      </c>
      <c r="K53" s="12">
        <v>-1.7045439</v>
      </c>
      <c r="L53" s="12">
        <v>-0.55865790000000004</v>
      </c>
      <c r="M53" s="12">
        <v>-20.7415734</v>
      </c>
      <c r="N53" s="12">
        <v>8.3047915999999997</v>
      </c>
      <c r="O53" s="12">
        <v>-8.3739446999999991</v>
      </c>
      <c r="P53" s="7" t="s">
        <v>107</v>
      </c>
      <c r="Q53" s="7" t="s">
        <v>107</v>
      </c>
      <c r="R53" s="7" t="s">
        <v>107</v>
      </c>
      <c r="S53" s="12">
        <v>5.6974349999999996</v>
      </c>
      <c r="T53" s="12">
        <v>9</v>
      </c>
      <c r="U53" s="12">
        <v>72.375564600000004</v>
      </c>
      <c r="V53" s="12">
        <v>98.595766699999999</v>
      </c>
      <c r="W53" s="12">
        <v>0.88563720000000001</v>
      </c>
      <c r="X53" s="12">
        <v>6.8805471999999996</v>
      </c>
      <c r="Y53" s="12">
        <v>-5.3962528000000001</v>
      </c>
      <c r="Z53" s="12">
        <v>-8.4431843000000004</v>
      </c>
      <c r="AA53" s="12">
        <v>76.897257699999997</v>
      </c>
      <c r="AB53" s="12">
        <v>20.429008700000001</v>
      </c>
      <c r="AC53" s="12">
        <v>16.514058899999998</v>
      </c>
      <c r="AD53" s="12">
        <v>28.552624999999999</v>
      </c>
      <c r="AE53" s="12">
        <v>42.392950300000003</v>
      </c>
      <c r="AF53" s="12">
        <v>9.7368527999999994</v>
      </c>
      <c r="AG53" s="7" t="s">
        <v>107</v>
      </c>
    </row>
    <row r="54" spans="1:33" s="11" customFormat="1" hidden="1" outlineLevel="1" x14ac:dyDescent="0.3">
      <c r="A54" s="11" t="s">
        <v>60</v>
      </c>
      <c r="B54" s="12">
        <v>2.6157658000000001</v>
      </c>
      <c r="C54" s="12">
        <v>92.57</v>
      </c>
      <c r="D54" s="12">
        <v>2.0354926</v>
      </c>
      <c r="E54" s="17">
        <v>1</v>
      </c>
      <c r="F54" s="13">
        <v>78.510000000000005</v>
      </c>
      <c r="G54" s="12">
        <v>3.9173694999999999</v>
      </c>
      <c r="H54" s="12">
        <v>9.2452860999999995</v>
      </c>
      <c r="I54" s="12">
        <v>-4.260751</v>
      </c>
      <c r="J54" s="12">
        <v>0.68963569999999996</v>
      </c>
      <c r="K54" s="12">
        <v>-1.4921194</v>
      </c>
      <c r="L54" s="12">
        <v>-0.97442260000000003</v>
      </c>
      <c r="M54" s="12">
        <v>-8.9726576999999992</v>
      </c>
      <c r="N54" s="12">
        <v>15.3174262</v>
      </c>
      <c r="O54" s="12">
        <v>2.0592142999999998</v>
      </c>
      <c r="P54" s="7">
        <v>2412.1060000000002</v>
      </c>
      <c r="Q54" s="7">
        <v>573.29999999999995</v>
      </c>
      <c r="R54" s="7">
        <v>19.2</v>
      </c>
      <c r="S54" s="12">
        <v>7.3320124</v>
      </c>
      <c r="T54" s="12">
        <v>8</v>
      </c>
      <c r="U54" s="12">
        <v>74.255212400000005</v>
      </c>
      <c r="V54" s="12">
        <v>101.2963333</v>
      </c>
      <c r="W54" s="12">
        <v>5.6060606000000002</v>
      </c>
      <c r="X54" s="12">
        <v>16.212632599999999</v>
      </c>
      <c r="Y54" s="12">
        <v>12.136047899999999</v>
      </c>
      <c r="Z54" s="12">
        <v>-6.1541771000000001</v>
      </c>
      <c r="AA54" s="12">
        <v>75.731469500000003</v>
      </c>
      <c r="AB54" s="12">
        <v>19.142795700000001</v>
      </c>
      <c r="AC54" s="12">
        <v>17.180524399999999</v>
      </c>
      <c r="AD54" s="12">
        <v>32.116767799999998</v>
      </c>
      <c r="AE54" s="12">
        <v>44.171570000000003</v>
      </c>
      <c r="AF54" s="12">
        <v>22.067197700000001</v>
      </c>
      <c r="AG54" s="7" t="s">
        <v>107</v>
      </c>
    </row>
    <row r="55" spans="1:33" s="11" customFormat="1" hidden="1" outlineLevel="1" x14ac:dyDescent="0.3">
      <c r="A55" s="11" t="s">
        <v>61</v>
      </c>
      <c r="B55" s="12">
        <v>2.4618717000000001</v>
      </c>
      <c r="C55" s="12">
        <v>92.583333300000007</v>
      </c>
      <c r="D55" s="12">
        <v>2.1177248999999998</v>
      </c>
      <c r="E55" s="17">
        <v>1</v>
      </c>
      <c r="F55" s="13">
        <v>76.819999999999993</v>
      </c>
      <c r="G55" s="12">
        <v>4.5602511999999997</v>
      </c>
      <c r="H55" s="12">
        <v>4.1612036999999997</v>
      </c>
      <c r="I55" s="12">
        <v>-3.4667490000000001</v>
      </c>
      <c r="J55" s="12">
        <v>1.3908571000000001</v>
      </c>
      <c r="K55" s="12">
        <v>0.70266079999999997</v>
      </c>
      <c r="L55" s="12">
        <v>-0.38495499999999999</v>
      </c>
      <c r="M55" s="12">
        <v>-13.2046025</v>
      </c>
      <c r="N55" s="12">
        <v>19.480099200000002</v>
      </c>
      <c r="O55" s="12">
        <v>4.9134675999999997</v>
      </c>
      <c r="P55" s="7" t="s">
        <v>107</v>
      </c>
      <c r="Q55" s="7" t="s">
        <v>107</v>
      </c>
      <c r="R55" s="7" t="s">
        <v>107</v>
      </c>
      <c r="S55" s="12">
        <v>8.3945380000000007</v>
      </c>
      <c r="T55" s="12">
        <v>9</v>
      </c>
      <c r="U55" s="12">
        <v>75.806377999999995</v>
      </c>
      <c r="V55" s="12">
        <v>105.1455</v>
      </c>
      <c r="W55" s="12">
        <v>2.8001399999999999</v>
      </c>
      <c r="X55" s="12">
        <v>20.241910499999999</v>
      </c>
      <c r="Y55" s="12">
        <v>16.00273</v>
      </c>
      <c r="Z55" s="12">
        <v>-8.6797599000000005</v>
      </c>
      <c r="AA55" s="12">
        <v>75.317998599999996</v>
      </c>
      <c r="AB55" s="12">
        <v>18.0023591</v>
      </c>
      <c r="AC55" s="12">
        <v>19.323050500000001</v>
      </c>
      <c r="AD55" s="12">
        <v>33.423590599999997</v>
      </c>
      <c r="AE55" s="12">
        <v>46.067010600000003</v>
      </c>
      <c r="AF55" s="12">
        <v>26.3177275</v>
      </c>
      <c r="AG55" s="7" t="s">
        <v>107</v>
      </c>
    </row>
    <row r="56" spans="1:33" s="11" customFormat="1" hidden="1" outlineLevel="1" x14ac:dyDescent="0.3">
      <c r="A56" s="11" t="s">
        <v>62</v>
      </c>
      <c r="B56" s="12">
        <v>2.3931737000000002</v>
      </c>
      <c r="C56" s="12">
        <v>93.383333300000004</v>
      </c>
      <c r="D56" s="12">
        <v>2.4539203000000001</v>
      </c>
      <c r="E56" s="17">
        <v>1</v>
      </c>
      <c r="F56" s="13">
        <v>86.466666700000005</v>
      </c>
      <c r="G56" s="12">
        <v>11.5686052</v>
      </c>
      <c r="H56" s="12">
        <v>9.1297776000000006</v>
      </c>
      <c r="I56" s="12">
        <v>-5.9037709999999999</v>
      </c>
      <c r="J56" s="12">
        <v>0.83905359999999996</v>
      </c>
      <c r="K56" s="12">
        <v>-0.35032920000000001</v>
      </c>
      <c r="L56" s="12">
        <v>1.6279920999999999</v>
      </c>
      <c r="M56" s="12">
        <v>-25.028212400000001</v>
      </c>
      <c r="N56" s="12">
        <v>22.7941407</v>
      </c>
      <c r="O56" s="12">
        <v>0.95453370000000004</v>
      </c>
      <c r="P56" s="7">
        <v>2382.3069999999998</v>
      </c>
      <c r="Q56" s="7">
        <v>566.72</v>
      </c>
      <c r="R56" s="7">
        <v>19.2</v>
      </c>
      <c r="S56" s="12">
        <v>8.2568610000000007</v>
      </c>
      <c r="T56" s="12">
        <v>11.5</v>
      </c>
      <c r="U56" s="12">
        <v>78.397737100000001</v>
      </c>
      <c r="V56" s="12">
        <v>106.5585667</v>
      </c>
      <c r="W56" s="12">
        <v>-3.4591194999999999</v>
      </c>
      <c r="X56" s="12">
        <v>27.755580200000001</v>
      </c>
      <c r="Y56" s="12">
        <v>12.164529999999999</v>
      </c>
      <c r="Z56" s="12">
        <v>-2.9499512000000001</v>
      </c>
      <c r="AA56" s="12">
        <v>74.307914800000006</v>
      </c>
      <c r="AB56" s="12">
        <v>19.192543300000001</v>
      </c>
      <c r="AC56" s="12">
        <v>17.199155000000001</v>
      </c>
      <c r="AD56" s="12">
        <v>34.176789200000002</v>
      </c>
      <c r="AE56" s="12">
        <v>44.876402300000002</v>
      </c>
      <c r="AF56" s="12">
        <v>23.545188100000001</v>
      </c>
      <c r="AG56" s="12">
        <v>39.455583900000001</v>
      </c>
    </row>
    <row r="57" spans="1:33" s="11" customFormat="1" hidden="1" outlineLevel="1" x14ac:dyDescent="0.3">
      <c r="A57" s="11" t="s">
        <v>63</v>
      </c>
      <c r="B57" s="12">
        <v>3.2110127999999998</v>
      </c>
      <c r="C57" s="12">
        <v>94.073333300000002</v>
      </c>
      <c r="D57" s="12">
        <v>2.9061075000000001</v>
      </c>
      <c r="E57" s="17">
        <v>1</v>
      </c>
      <c r="F57" s="13">
        <v>104.96</v>
      </c>
      <c r="G57" s="12">
        <v>10.453567400000001</v>
      </c>
      <c r="H57" s="12">
        <v>9.8961389999999998</v>
      </c>
      <c r="I57" s="12">
        <v>-3.5227637999999999</v>
      </c>
      <c r="J57" s="12">
        <v>3.1446637000000002</v>
      </c>
      <c r="K57" s="12">
        <v>2.7210228000000001</v>
      </c>
      <c r="L57" s="12">
        <v>2.0087069</v>
      </c>
      <c r="M57" s="12">
        <v>-3.4180899999999999</v>
      </c>
      <c r="N57" s="12">
        <v>18.9083337</v>
      </c>
      <c r="O57" s="12">
        <v>9.7590223999999992</v>
      </c>
      <c r="P57" s="7" t="s">
        <v>107</v>
      </c>
      <c r="Q57" s="7" t="s">
        <v>107</v>
      </c>
      <c r="R57" s="7" t="s">
        <v>107</v>
      </c>
      <c r="S57" s="12">
        <v>10.099339000000001</v>
      </c>
      <c r="T57" s="12">
        <v>12.25</v>
      </c>
      <c r="U57" s="12">
        <v>81.518317400000001</v>
      </c>
      <c r="V57" s="12">
        <v>103.9980333</v>
      </c>
      <c r="W57" s="12">
        <v>6.4122136999999997</v>
      </c>
      <c r="X57" s="12">
        <v>32.111568499999997</v>
      </c>
      <c r="Y57" s="12">
        <v>22.748094500000001</v>
      </c>
      <c r="Z57" s="12">
        <v>-12.296879499999999</v>
      </c>
      <c r="AA57" s="12">
        <v>77.363213200000004</v>
      </c>
      <c r="AB57" s="12">
        <v>19.283886299999999</v>
      </c>
      <c r="AC57" s="12">
        <v>17.337526700000002</v>
      </c>
      <c r="AD57" s="12">
        <v>33.757263000000002</v>
      </c>
      <c r="AE57" s="12">
        <v>47.741889200000003</v>
      </c>
      <c r="AF57" s="12">
        <v>15.933161999999999</v>
      </c>
      <c r="AG57" s="7" t="s">
        <v>107</v>
      </c>
    </row>
    <row r="58" spans="1:33" s="11" customFormat="1" hidden="1" outlineLevel="1" x14ac:dyDescent="0.3">
      <c r="A58" s="11" t="s">
        <v>64</v>
      </c>
      <c r="B58" s="12">
        <v>2.1036085</v>
      </c>
      <c r="C58" s="12">
        <v>95.516666700000002</v>
      </c>
      <c r="D58" s="12">
        <v>3.1831767000000002</v>
      </c>
      <c r="E58" s="17">
        <v>1.25</v>
      </c>
      <c r="F58" s="13">
        <v>117.36</v>
      </c>
      <c r="G58" s="12">
        <v>8.6611062000000008</v>
      </c>
      <c r="H58" s="12">
        <v>6.4160681000000004</v>
      </c>
      <c r="I58" s="12">
        <v>-4.8500649999999998</v>
      </c>
      <c r="J58" s="12">
        <v>2.5049062000000002</v>
      </c>
      <c r="K58" s="12">
        <v>2.6273871999999998</v>
      </c>
      <c r="L58" s="12">
        <v>1.7788976000000001</v>
      </c>
      <c r="M58" s="12">
        <v>10.038127100000001</v>
      </c>
      <c r="N58" s="12">
        <v>5.5337841000000001</v>
      </c>
      <c r="O58" s="12">
        <v>7.1014435999999996</v>
      </c>
      <c r="P58" s="7">
        <v>2281.9090000000001</v>
      </c>
      <c r="Q58" s="7">
        <v>650.44500000000005</v>
      </c>
      <c r="R58" s="7">
        <v>22.2</v>
      </c>
      <c r="S58" s="12">
        <v>11.053241099999999</v>
      </c>
      <c r="T58" s="12">
        <v>12</v>
      </c>
      <c r="U58" s="12">
        <v>84.346913599999993</v>
      </c>
      <c r="V58" s="12">
        <v>99.824299999999994</v>
      </c>
      <c r="W58" s="12">
        <v>3.7661405999999999</v>
      </c>
      <c r="X58" s="12">
        <v>19.2106554</v>
      </c>
      <c r="Y58" s="12">
        <v>14.674928700000001</v>
      </c>
      <c r="Z58" s="12">
        <v>-10.0110644</v>
      </c>
      <c r="AA58" s="12">
        <v>76.529359900000003</v>
      </c>
      <c r="AB58" s="12">
        <v>18.934650399999999</v>
      </c>
      <c r="AC58" s="12">
        <v>15.9847523</v>
      </c>
      <c r="AD58" s="12">
        <v>32.656959100000002</v>
      </c>
      <c r="AE58" s="12">
        <v>44.105721699999997</v>
      </c>
      <c r="AF58" s="12">
        <v>8.9696428000000008</v>
      </c>
      <c r="AG58" s="7" t="s">
        <v>107</v>
      </c>
    </row>
    <row r="59" spans="1:33" s="11" customFormat="1" hidden="1" outlineLevel="1" x14ac:dyDescent="0.3">
      <c r="A59" s="11" t="s">
        <v>65</v>
      </c>
      <c r="B59" s="12">
        <v>1.8176159000000001</v>
      </c>
      <c r="C59" s="12">
        <v>95.433333300000001</v>
      </c>
      <c r="D59" s="12">
        <v>3.0783078000000001</v>
      </c>
      <c r="E59" s="17">
        <v>1.5</v>
      </c>
      <c r="F59" s="13">
        <v>113.34</v>
      </c>
      <c r="G59" s="12">
        <v>11.196312600000001</v>
      </c>
      <c r="H59" s="12">
        <v>7.3493399000000004</v>
      </c>
      <c r="I59" s="12">
        <v>-4.8683319999999997</v>
      </c>
      <c r="J59" s="12">
        <v>1.0578204</v>
      </c>
      <c r="K59" s="12">
        <v>0.48090870000000002</v>
      </c>
      <c r="L59" s="12">
        <v>1.5761886000000001</v>
      </c>
      <c r="M59" s="12">
        <v>3.3933594999999999</v>
      </c>
      <c r="N59" s="12">
        <v>2.9328655000000001</v>
      </c>
      <c r="O59" s="12">
        <v>2.9976752000000002</v>
      </c>
      <c r="P59" s="7" t="s">
        <v>107</v>
      </c>
      <c r="Q59" s="7" t="s">
        <v>107</v>
      </c>
      <c r="R59" s="7" t="s">
        <v>107</v>
      </c>
      <c r="S59" s="12">
        <v>12.3168524</v>
      </c>
      <c r="T59" s="12">
        <v>11.25</v>
      </c>
      <c r="U59" s="12">
        <v>83.872439400000005</v>
      </c>
      <c r="V59" s="12">
        <v>101.9503667</v>
      </c>
      <c r="W59" s="12">
        <v>-1.9407559000000001</v>
      </c>
      <c r="X59" s="12">
        <v>14.854366799999999</v>
      </c>
      <c r="Y59" s="12">
        <v>10.2250107</v>
      </c>
      <c r="Z59" s="12">
        <v>-9.9788057999999999</v>
      </c>
      <c r="AA59" s="12">
        <v>75.520925599999998</v>
      </c>
      <c r="AB59" s="12">
        <v>18.177422100000001</v>
      </c>
      <c r="AC59" s="12">
        <v>17.7976007</v>
      </c>
      <c r="AD59" s="12">
        <v>33.542453600000002</v>
      </c>
      <c r="AE59" s="12">
        <v>45.038402099999999</v>
      </c>
      <c r="AF59" s="12">
        <v>4.9905840000000001</v>
      </c>
      <c r="AG59" s="7" t="s">
        <v>107</v>
      </c>
    </row>
    <row r="60" spans="1:33" s="11" customFormat="1" hidden="1" outlineLevel="1" x14ac:dyDescent="0.3">
      <c r="A60" s="11" t="s">
        <v>66</v>
      </c>
      <c r="B60" s="12">
        <v>0.47384009999999999</v>
      </c>
      <c r="C60" s="12">
        <v>96.41</v>
      </c>
      <c r="D60" s="12">
        <v>3.2411208999999999</v>
      </c>
      <c r="E60" s="17">
        <v>1.25</v>
      </c>
      <c r="F60" s="13">
        <v>109.3966667</v>
      </c>
      <c r="G60" s="12">
        <v>1.403565</v>
      </c>
      <c r="H60" s="12">
        <v>3.5538968</v>
      </c>
      <c r="I60" s="12">
        <v>-4.7386756999999999</v>
      </c>
      <c r="J60" s="12">
        <v>1.5926642</v>
      </c>
      <c r="K60" s="12">
        <v>-0.23745569999999999</v>
      </c>
      <c r="L60" s="12">
        <v>0.9693157</v>
      </c>
      <c r="M60" s="12">
        <v>36.043508799999998</v>
      </c>
      <c r="N60" s="12">
        <v>-1.4104464999999999</v>
      </c>
      <c r="O60" s="12">
        <v>9.1284098</v>
      </c>
      <c r="P60" s="7">
        <v>2224.5079999999998</v>
      </c>
      <c r="Q60" s="7">
        <v>691.84100000000001</v>
      </c>
      <c r="R60" s="7">
        <v>23.7</v>
      </c>
      <c r="S60" s="12">
        <v>11.0536552</v>
      </c>
      <c r="T60" s="12">
        <v>9.75</v>
      </c>
      <c r="U60" s="12">
        <v>84.602399700000007</v>
      </c>
      <c r="V60" s="12">
        <v>102.06910000000001</v>
      </c>
      <c r="W60" s="12">
        <v>2.0846906000000001</v>
      </c>
      <c r="X60" s="12">
        <v>7.1697362</v>
      </c>
      <c r="Y60" s="12">
        <v>16.522024200000001</v>
      </c>
      <c r="Z60" s="12">
        <v>-9.2904997999999992</v>
      </c>
      <c r="AA60" s="12">
        <v>73.107777400000003</v>
      </c>
      <c r="AB60" s="12">
        <v>19.3889824</v>
      </c>
      <c r="AC60" s="12">
        <v>21.817162100000001</v>
      </c>
      <c r="AD60" s="12">
        <v>32.174416899999997</v>
      </c>
      <c r="AE60" s="12">
        <v>46.488349100000001</v>
      </c>
      <c r="AF60" s="12">
        <v>5.3462417000000002</v>
      </c>
      <c r="AG60" s="12">
        <v>44.687440100000003</v>
      </c>
    </row>
    <row r="61" spans="1:33" s="11" customFormat="1" hidden="1" outlineLevel="1" x14ac:dyDescent="0.3">
      <c r="A61" s="11" t="s">
        <v>67</v>
      </c>
      <c r="B61" s="12">
        <v>3.7986600000000002E-2</v>
      </c>
      <c r="C61" s="12">
        <v>96.803333300000006</v>
      </c>
      <c r="D61" s="12">
        <v>2.9019914</v>
      </c>
      <c r="E61" s="17">
        <v>1</v>
      </c>
      <c r="F61" s="13">
        <v>118.49</v>
      </c>
      <c r="G61" s="12">
        <v>14.644372799999999</v>
      </c>
      <c r="H61" s="12">
        <v>6.6902803999999998</v>
      </c>
      <c r="I61" s="12">
        <v>-6.8648126999999999</v>
      </c>
      <c r="J61" s="12">
        <v>-1.0837064000000001</v>
      </c>
      <c r="K61" s="12">
        <v>-1.8731471</v>
      </c>
      <c r="L61" s="12">
        <v>2.8212290000000002</v>
      </c>
      <c r="M61" s="12">
        <v>8.6027740000000001</v>
      </c>
      <c r="N61" s="12">
        <v>-4.3193196</v>
      </c>
      <c r="O61" s="12">
        <v>1.1022046000000001</v>
      </c>
      <c r="P61" s="7" t="s">
        <v>107</v>
      </c>
      <c r="Q61" s="7" t="s">
        <v>107</v>
      </c>
      <c r="R61" s="7" t="s">
        <v>107</v>
      </c>
      <c r="S61" s="12">
        <v>10.9624408</v>
      </c>
      <c r="T61" s="12">
        <v>9.5</v>
      </c>
      <c r="U61" s="12">
        <v>85.314110999999997</v>
      </c>
      <c r="V61" s="12">
        <v>108.01390000000001</v>
      </c>
      <c r="W61" s="12">
        <v>-6.2410329999999998</v>
      </c>
      <c r="X61" s="12">
        <v>-2.3620724000000002</v>
      </c>
      <c r="Y61" s="12">
        <v>5.6821082000000001</v>
      </c>
      <c r="Z61" s="12">
        <v>-12.814952</v>
      </c>
      <c r="AA61" s="12">
        <v>77.953108099999994</v>
      </c>
      <c r="AB61" s="12">
        <v>20.571338600000001</v>
      </c>
      <c r="AC61" s="12">
        <v>19.170268799999999</v>
      </c>
      <c r="AD61" s="12">
        <v>33.413201899999997</v>
      </c>
      <c r="AE61" s="12">
        <v>51.1079054</v>
      </c>
      <c r="AF61" s="12">
        <v>11.346368099999999</v>
      </c>
      <c r="AG61" s="7" t="s">
        <v>107</v>
      </c>
    </row>
    <row r="62" spans="1:33" s="11" customFormat="1" hidden="1" outlineLevel="1" x14ac:dyDescent="0.3">
      <c r="A62" s="11" t="s">
        <v>68</v>
      </c>
      <c r="B62" s="12">
        <v>-0.91019320000000004</v>
      </c>
      <c r="C62" s="12">
        <v>97.993333300000003</v>
      </c>
      <c r="D62" s="12">
        <v>2.5929156999999998</v>
      </c>
      <c r="E62" s="17">
        <v>1</v>
      </c>
      <c r="F62" s="13">
        <v>108.41666669999999</v>
      </c>
      <c r="G62" s="12">
        <v>15.3561025</v>
      </c>
      <c r="H62" s="12">
        <v>9.3004546999999995</v>
      </c>
      <c r="I62" s="12">
        <v>-7.3916428999999999</v>
      </c>
      <c r="J62" s="12">
        <v>0.68544249999999995</v>
      </c>
      <c r="K62" s="12">
        <v>-0.76015719999999998</v>
      </c>
      <c r="L62" s="12">
        <v>3.5543629999999999</v>
      </c>
      <c r="M62" s="12">
        <v>-4.2967189000000001</v>
      </c>
      <c r="N62" s="12">
        <v>5.8411480999999998</v>
      </c>
      <c r="O62" s="12">
        <v>1.8569169000000001</v>
      </c>
      <c r="P62" s="7">
        <v>2157.6179999999999</v>
      </c>
      <c r="Q62" s="7">
        <v>740</v>
      </c>
      <c r="R62" s="7">
        <v>25.5</v>
      </c>
      <c r="S62" s="12">
        <v>9.5890324000000007</v>
      </c>
      <c r="T62" s="12">
        <v>10</v>
      </c>
      <c r="U62" s="12">
        <v>87.814225100000002</v>
      </c>
      <c r="V62" s="12">
        <v>113.66616670000001</v>
      </c>
      <c r="W62" s="12">
        <v>-2.2468026000000001</v>
      </c>
      <c r="X62" s="12">
        <v>3.4933581</v>
      </c>
      <c r="Y62" s="12">
        <v>5.9248251999999999</v>
      </c>
      <c r="Z62" s="12">
        <v>-11.401009200000001</v>
      </c>
      <c r="AA62" s="12">
        <v>76.5019396</v>
      </c>
      <c r="AB62" s="12">
        <v>19.4607046</v>
      </c>
      <c r="AC62" s="12">
        <v>17.792306499999999</v>
      </c>
      <c r="AD62" s="12">
        <v>36.557611700000002</v>
      </c>
      <c r="AE62" s="12">
        <v>50.3125517</v>
      </c>
      <c r="AF62" s="12">
        <v>12.3973035</v>
      </c>
      <c r="AG62" s="7" t="s">
        <v>107</v>
      </c>
    </row>
    <row r="63" spans="1:33" s="11" customFormat="1" hidden="1" outlineLevel="1" x14ac:dyDescent="0.3">
      <c r="A63" s="11" t="s">
        <v>69</v>
      </c>
      <c r="B63" s="12">
        <v>-1.0352741000000001</v>
      </c>
      <c r="C63" s="12">
        <v>97.9566667</v>
      </c>
      <c r="D63" s="12">
        <v>2.6440796999999998</v>
      </c>
      <c r="E63" s="17">
        <v>0.75</v>
      </c>
      <c r="F63" s="13">
        <v>109.61333329999999</v>
      </c>
      <c r="G63" s="12">
        <v>5.6401086999999999</v>
      </c>
      <c r="H63" s="12">
        <v>7.0872454999999999</v>
      </c>
      <c r="I63" s="12">
        <v>-4.3277571999999997</v>
      </c>
      <c r="J63" s="12">
        <v>-0.8285671</v>
      </c>
      <c r="K63" s="12">
        <v>-1.0484457</v>
      </c>
      <c r="L63" s="12">
        <v>-0.9713889</v>
      </c>
      <c r="M63" s="12">
        <v>-14.2632561</v>
      </c>
      <c r="N63" s="12">
        <v>3.2905514999999999</v>
      </c>
      <c r="O63" s="12">
        <v>-3.2990232000000002</v>
      </c>
      <c r="P63" s="7" t="s">
        <v>107</v>
      </c>
      <c r="Q63" s="7" t="s">
        <v>107</v>
      </c>
      <c r="R63" s="7" t="s">
        <v>107</v>
      </c>
      <c r="S63" s="12">
        <v>6.4227122999999997</v>
      </c>
      <c r="T63" s="12">
        <v>10.5</v>
      </c>
      <c r="U63" s="12">
        <v>90.6975683</v>
      </c>
      <c r="V63" s="12">
        <v>116.91796669999999</v>
      </c>
      <c r="W63" s="12">
        <v>-2.2569444999999999</v>
      </c>
      <c r="X63" s="12">
        <v>1.8077463</v>
      </c>
      <c r="Y63" s="12">
        <v>0.46232869999999998</v>
      </c>
      <c r="Z63" s="12">
        <v>-8.5869747000000007</v>
      </c>
      <c r="AA63" s="12">
        <v>76.072690199999997</v>
      </c>
      <c r="AB63" s="12">
        <v>17.637941900000001</v>
      </c>
      <c r="AC63" s="12">
        <v>18.0926917</v>
      </c>
      <c r="AD63" s="12">
        <v>36.991186300000003</v>
      </c>
      <c r="AE63" s="12">
        <v>48.794510099999997</v>
      </c>
      <c r="AF63" s="12">
        <v>12.422111599999999</v>
      </c>
      <c r="AG63" s="7" t="s">
        <v>107</v>
      </c>
    </row>
    <row r="64" spans="1:33" s="11" customFormat="1" hidden="1" outlineLevel="1" x14ac:dyDescent="0.3">
      <c r="A64" s="11" t="s">
        <v>70</v>
      </c>
      <c r="B64" s="12">
        <v>-0.98067590000000004</v>
      </c>
      <c r="C64" s="12">
        <v>98.773333300000004</v>
      </c>
      <c r="D64" s="12">
        <v>2.4513362999999999</v>
      </c>
      <c r="E64" s="17">
        <v>0.75</v>
      </c>
      <c r="F64" s="13">
        <v>110.08666669999999</v>
      </c>
      <c r="G64" s="12">
        <v>14.730748</v>
      </c>
      <c r="H64" s="12">
        <v>8.8927946999999996</v>
      </c>
      <c r="I64" s="12">
        <v>-7.2165612000000001</v>
      </c>
      <c r="J64" s="12">
        <v>-1.4602892999999999</v>
      </c>
      <c r="K64" s="12">
        <v>-3.7352534999999998</v>
      </c>
      <c r="L64" s="12">
        <v>-3.5053353999999999</v>
      </c>
      <c r="M64" s="12">
        <v>-3.4385424000000002</v>
      </c>
      <c r="N64" s="12">
        <v>5.94428</v>
      </c>
      <c r="O64" s="12">
        <v>-1.843515</v>
      </c>
      <c r="P64" s="7">
        <v>2299.0680000000002</v>
      </c>
      <c r="Q64" s="7">
        <v>665.47400000000005</v>
      </c>
      <c r="R64" s="7">
        <v>22.4</v>
      </c>
      <c r="S64" s="12">
        <v>8.6748875000000005</v>
      </c>
      <c r="T64" s="12">
        <v>11.25</v>
      </c>
      <c r="U64" s="12">
        <v>95.022583100000006</v>
      </c>
      <c r="V64" s="12">
        <v>113.4372333</v>
      </c>
      <c r="W64" s="12">
        <v>1.4358647</v>
      </c>
      <c r="X64" s="12">
        <v>7.9155351999999999</v>
      </c>
      <c r="Y64" s="12">
        <v>0.73449790000000004</v>
      </c>
      <c r="Z64" s="12">
        <v>-10.9615083</v>
      </c>
      <c r="AA64" s="12">
        <v>72.228418700000006</v>
      </c>
      <c r="AB64" s="12">
        <v>18.5194492</v>
      </c>
      <c r="AC64" s="12">
        <v>21.7973234</v>
      </c>
      <c r="AD64" s="12">
        <v>36.059748800000001</v>
      </c>
      <c r="AE64" s="12">
        <v>48.604940200000001</v>
      </c>
      <c r="AF64" s="12">
        <v>8.4659064999999991</v>
      </c>
      <c r="AG64" s="12">
        <v>54.625189599999999</v>
      </c>
    </row>
    <row r="65" spans="1:33" s="11" customFormat="1" hidden="1" outlineLevel="1" x14ac:dyDescent="0.3">
      <c r="A65" s="11" t="s">
        <v>71</v>
      </c>
      <c r="B65" s="12">
        <v>-1.6415721999999999</v>
      </c>
      <c r="C65" s="12">
        <v>98.726666699999996</v>
      </c>
      <c r="D65" s="12">
        <v>1.9868463000000001</v>
      </c>
      <c r="E65" s="17">
        <v>0.75</v>
      </c>
      <c r="F65" s="13">
        <v>112.4933333</v>
      </c>
      <c r="G65" s="12">
        <v>1.9893293000000001</v>
      </c>
      <c r="H65" s="12">
        <v>5.7098880999999997</v>
      </c>
      <c r="I65" s="12">
        <v>-4.9512675000000002</v>
      </c>
      <c r="J65" s="12">
        <v>2.5754304000000001</v>
      </c>
      <c r="K65" s="12">
        <v>-4.1056452999999999</v>
      </c>
      <c r="L65" s="12">
        <v>-3.8859770999999999</v>
      </c>
      <c r="M65" s="12">
        <v>11.349046599999999</v>
      </c>
      <c r="N65" s="12">
        <v>12.518148699999999</v>
      </c>
      <c r="O65" s="12">
        <v>-0.58071479999999998</v>
      </c>
      <c r="P65" s="7" t="s">
        <v>107</v>
      </c>
      <c r="Q65" s="7" t="s">
        <v>107</v>
      </c>
      <c r="R65" s="7" t="s">
        <v>107</v>
      </c>
      <c r="S65" s="12">
        <v>6.0415242999999998</v>
      </c>
      <c r="T65" s="12">
        <v>11.75</v>
      </c>
      <c r="U65" s="12">
        <v>95.679547400000004</v>
      </c>
      <c r="V65" s="12">
        <v>111.69119999999999</v>
      </c>
      <c r="W65" s="12">
        <v>4.9732212000000002</v>
      </c>
      <c r="X65" s="12">
        <v>16.697638600000001</v>
      </c>
      <c r="Y65" s="12">
        <v>9.4258599999999998E-2</v>
      </c>
      <c r="Z65" s="12">
        <v>-7.9523488999999996</v>
      </c>
      <c r="AA65" s="12">
        <v>73.472224499999996</v>
      </c>
      <c r="AB65" s="12">
        <v>18.7581539</v>
      </c>
      <c r="AC65" s="12">
        <v>19.008476300000002</v>
      </c>
      <c r="AD65" s="12">
        <v>35.836506900000003</v>
      </c>
      <c r="AE65" s="12">
        <v>47.075350899999997</v>
      </c>
      <c r="AF65" s="12">
        <v>3.3024255999999999</v>
      </c>
      <c r="AG65" s="7" t="s">
        <v>107</v>
      </c>
    </row>
    <row r="66" spans="1:33" s="11" customFormat="1" hidden="1" outlineLevel="1" x14ac:dyDescent="0.3">
      <c r="A66" s="11" t="s">
        <v>72</v>
      </c>
      <c r="B66" s="12">
        <v>-0.1331087</v>
      </c>
      <c r="C66" s="12">
        <v>99.533333299999995</v>
      </c>
      <c r="D66" s="12">
        <v>1.5715355</v>
      </c>
      <c r="E66" s="17">
        <v>0.58333330000000005</v>
      </c>
      <c r="F66" s="13">
        <v>102.5766667</v>
      </c>
      <c r="G66" s="12">
        <v>-0.43553639999999999</v>
      </c>
      <c r="H66" s="12">
        <v>6.5440098000000004</v>
      </c>
      <c r="I66" s="12">
        <v>-4.3892258000000002</v>
      </c>
      <c r="J66" s="12">
        <v>1.1215027</v>
      </c>
      <c r="K66" s="12">
        <v>-1.8300657</v>
      </c>
      <c r="L66" s="12">
        <v>-6.1897392</v>
      </c>
      <c r="M66" s="12">
        <v>7.6488534000000001</v>
      </c>
      <c r="N66" s="12">
        <v>12.9261363</v>
      </c>
      <c r="O66" s="12">
        <v>4.0402883000000003</v>
      </c>
      <c r="P66" s="7">
        <v>2227.4319999999998</v>
      </c>
      <c r="Q66" s="7">
        <v>708.7</v>
      </c>
      <c r="R66" s="7">
        <v>24.1</v>
      </c>
      <c r="S66" s="12">
        <v>5.8748551000000004</v>
      </c>
      <c r="T66" s="12">
        <v>11</v>
      </c>
      <c r="U66" s="12">
        <v>96.938728900000001</v>
      </c>
      <c r="V66" s="12">
        <v>112.1546333</v>
      </c>
      <c r="W66" s="12">
        <v>3.2178217</v>
      </c>
      <c r="X66" s="12">
        <v>17.619789300000001</v>
      </c>
      <c r="Y66" s="12">
        <v>2.7635073000000001</v>
      </c>
      <c r="Z66" s="12">
        <v>-4.1801174000000003</v>
      </c>
      <c r="AA66" s="12">
        <v>74.619111200000006</v>
      </c>
      <c r="AB66" s="12">
        <v>17.624323100000002</v>
      </c>
      <c r="AC66" s="12">
        <v>15.953613199999999</v>
      </c>
      <c r="AD66" s="12">
        <v>39.034641999999998</v>
      </c>
      <c r="AE66" s="12">
        <v>47.2316796</v>
      </c>
      <c r="AF66" s="12">
        <v>1.9157024</v>
      </c>
      <c r="AG66" s="7" t="s">
        <v>107</v>
      </c>
    </row>
    <row r="67" spans="1:33" s="11" customFormat="1" hidden="1" outlineLevel="1" x14ac:dyDescent="0.3">
      <c r="A67" s="11" t="s">
        <v>73</v>
      </c>
      <c r="B67" s="12">
        <v>0.53477319999999995</v>
      </c>
      <c r="C67" s="12">
        <v>99.423333299999996</v>
      </c>
      <c r="D67" s="12">
        <v>1.4972605999999999</v>
      </c>
      <c r="E67" s="17">
        <v>0.5</v>
      </c>
      <c r="F67" s="13">
        <v>110.27</v>
      </c>
      <c r="G67" s="12">
        <v>9.3011298</v>
      </c>
      <c r="H67" s="12">
        <v>4.0585675999999999</v>
      </c>
      <c r="I67" s="12">
        <v>-6.2163082999999997</v>
      </c>
      <c r="J67" s="12">
        <v>4.1652239</v>
      </c>
      <c r="K67" s="12">
        <v>-2.3106379000000001</v>
      </c>
      <c r="L67" s="12">
        <v>0.59756719999999997</v>
      </c>
      <c r="M67" s="12">
        <v>8.8953886999999998</v>
      </c>
      <c r="N67" s="12">
        <v>27.168460199999998</v>
      </c>
      <c r="O67" s="12">
        <v>11.6227932</v>
      </c>
      <c r="P67" s="7" t="s">
        <v>107</v>
      </c>
      <c r="Q67" s="7" t="s">
        <v>107</v>
      </c>
      <c r="R67" s="7" t="s">
        <v>107</v>
      </c>
      <c r="S67" s="12">
        <v>5.9477063000000001</v>
      </c>
      <c r="T67" s="12">
        <v>11</v>
      </c>
      <c r="U67" s="12">
        <v>96.938728900000001</v>
      </c>
      <c r="V67" s="12">
        <v>114.19383329999999</v>
      </c>
      <c r="W67" s="12">
        <v>11.296625199999999</v>
      </c>
      <c r="X67" s="12">
        <v>31.913912199999999</v>
      </c>
      <c r="Y67" s="12">
        <v>8.9448364999999992</v>
      </c>
      <c r="Z67" s="12">
        <v>-4.0609066</v>
      </c>
      <c r="AA67" s="12">
        <v>72.364291199999997</v>
      </c>
      <c r="AB67" s="12">
        <v>17.1792704</v>
      </c>
      <c r="AC67" s="12">
        <v>15.0887385</v>
      </c>
      <c r="AD67" s="12">
        <v>43.577353000000002</v>
      </c>
      <c r="AE67" s="12">
        <v>48.209643700000001</v>
      </c>
      <c r="AF67" s="12">
        <v>2.6461288000000001</v>
      </c>
      <c r="AG67" s="7" t="s">
        <v>107</v>
      </c>
    </row>
    <row r="68" spans="1:33" s="11" customFormat="1" hidden="1" outlineLevel="1" x14ac:dyDescent="0.3">
      <c r="A68" s="11" t="s">
        <v>74</v>
      </c>
      <c r="B68" s="12">
        <v>0.83200640000000003</v>
      </c>
      <c r="C68" s="12">
        <v>99.72</v>
      </c>
      <c r="D68" s="12">
        <v>0.95842340000000004</v>
      </c>
      <c r="E68" s="17">
        <v>0.3333333</v>
      </c>
      <c r="F68" s="13">
        <v>109.21</v>
      </c>
      <c r="G68" s="12">
        <v>-2.3380348999999998</v>
      </c>
      <c r="H68" s="12">
        <v>2.1147551</v>
      </c>
      <c r="I68" s="12">
        <v>-4.9794473000000004</v>
      </c>
      <c r="J68" s="12">
        <v>3.6219321</v>
      </c>
      <c r="K68" s="12">
        <v>1.8835774999999999</v>
      </c>
      <c r="L68" s="12">
        <v>1.1162628999999999</v>
      </c>
      <c r="M68" s="12">
        <v>1.2648915999999999</v>
      </c>
      <c r="N68" s="12">
        <v>18.435472900000001</v>
      </c>
      <c r="O68" s="12">
        <v>10.213042700000001</v>
      </c>
      <c r="P68" s="7">
        <v>2394.0039999999999</v>
      </c>
      <c r="Q68" s="7">
        <v>603.6</v>
      </c>
      <c r="R68" s="7">
        <v>20.100000000000001</v>
      </c>
      <c r="S68" s="12">
        <v>5.0898731000000002</v>
      </c>
      <c r="T68" s="12">
        <v>9.5</v>
      </c>
      <c r="U68" s="12">
        <v>96.902230900000006</v>
      </c>
      <c r="V68" s="12">
        <v>114.32183329999999</v>
      </c>
      <c r="W68" s="12">
        <v>2.9883611000000001</v>
      </c>
      <c r="X68" s="12">
        <v>19.025128599999999</v>
      </c>
      <c r="Y68" s="12">
        <v>6.4707319999999999</v>
      </c>
      <c r="Z68" s="12">
        <v>-6.9885267999999998</v>
      </c>
      <c r="AA68" s="12">
        <v>71.501676399999994</v>
      </c>
      <c r="AB68" s="12">
        <v>18.116269599999999</v>
      </c>
      <c r="AC68" s="12">
        <v>19.5159673</v>
      </c>
      <c r="AD68" s="12">
        <v>40.409791300000002</v>
      </c>
      <c r="AE68" s="12">
        <v>49.543713699999998</v>
      </c>
      <c r="AF68" s="12">
        <v>3.2142561999999999</v>
      </c>
      <c r="AG68" s="12">
        <v>57.483723099999999</v>
      </c>
    </row>
    <row r="69" spans="1:33" s="11" customFormat="1" hidden="1" outlineLevel="1" x14ac:dyDescent="0.3">
      <c r="A69" s="11" t="s">
        <v>75</v>
      </c>
      <c r="B69" s="12">
        <v>1.8456245</v>
      </c>
      <c r="C69" s="12">
        <v>99.49</v>
      </c>
      <c r="D69" s="12">
        <v>0.77317840000000004</v>
      </c>
      <c r="E69" s="17">
        <v>0.25</v>
      </c>
      <c r="F69" s="13">
        <v>108.16666669999999</v>
      </c>
      <c r="G69" s="12">
        <v>7.2261850000000001</v>
      </c>
      <c r="H69" s="12">
        <v>1.8694899</v>
      </c>
      <c r="I69" s="12">
        <v>-7.0989053999999996</v>
      </c>
      <c r="J69" s="12">
        <v>0.39631339999999998</v>
      </c>
      <c r="K69" s="12">
        <v>0.66896650000000002</v>
      </c>
      <c r="L69" s="12">
        <v>0.65939479999999995</v>
      </c>
      <c r="M69" s="12">
        <v>-12.584089499999999</v>
      </c>
      <c r="N69" s="12">
        <v>16.538666299999999</v>
      </c>
      <c r="O69" s="12">
        <v>7.5189737000000001</v>
      </c>
      <c r="P69" s="7">
        <v>2342.9659999999999</v>
      </c>
      <c r="Q69" s="7">
        <v>613.78700000000003</v>
      </c>
      <c r="R69" s="7">
        <v>20.8</v>
      </c>
      <c r="S69" s="12">
        <v>0.45915230000000001</v>
      </c>
      <c r="T69" s="12">
        <v>9.5</v>
      </c>
      <c r="U69" s="12">
        <v>98.234408500000001</v>
      </c>
      <c r="V69" s="12">
        <v>115.7478667</v>
      </c>
      <c r="W69" s="12">
        <v>-0.76530609999999999</v>
      </c>
      <c r="X69" s="12">
        <v>16.3125246</v>
      </c>
      <c r="Y69" s="12">
        <v>3.2981023999999999</v>
      </c>
      <c r="Z69" s="12">
        <v>-5.9835995000000004</v>
      </c>
      <c r="AA69" s="12">
        <v>73.5966959</v>
      </c>
      <c r="AB69" s="12">
        <v>18.678458800000001</v>
      </c>
      <c r="AC69" s="12">
        <v>14.974641200000001</v>
      </c>
      <c r="AD69" s="12">
        <v>41.294550100000002</v>
      </c>
      <c r="AE69" s="12">
        <v>48.544345999999997</v>
      </c>
      <c r="AF69" s="12">
        <v>4.2097968000000003</v>
      </c>
      <c r="AG69" s="7" t="s">
        <v>107</v>
      </c>
    </row>
    <row r="70" spans="1:33" s="11" customFormat="1" hidden="1" outlineLevel="1" x14ac:dyDescent="0.3">
      <c r="A70" s="11" t="s">
        <v>76</v>
      </c>
      <c r="B70" s="12">
        <v>1.1953549000000001</v>
      </c>
      <c r="C70" s="12">
        <v>100.22333329999999</v>
      </c>
      <c r="D70" s="12">
        <v>0.69323509999999999</v>
      </c>
      <c r="E70" s="17">
        <v>0.21666669999999999</v>
      </c>
      <c r="F70" s="13">
        <v>109.7</v>
      </c>
      <c r="G70" s="12">
        <v>5.5498060999999996</v>
      </c>
      <c r="H70" s="12">
        <v>6.1152433999999998</v>
      </c>
      <c r="I70" s="12">
        <v>-4.3650213999999998</v>
      </c>
      <c r="J70" s="12">
        <v>-0.78871199999999997</v>
      </c>
      <c r="K70" s="12">
        <v>-1.4388325</v>
      </c>
      <c r="L70" s="12">
        <v>1.9916349</v>
      </c>
      <c r="M70" s="12">
        <v>1.9578561000000001</v>
      </c>
      <c r="N70" s="12">
        <v>8.6341996999999999</v>
      </c>
      <c r="O70" s="12">
        <v>8.3032380999999997</v>
      </c>
      <c r="P70" s="7">
        <v>2407.9299999999998</v>
      </c>
      <c r="Q70" s="7">
        <v>612.13400000000001</v>
      </c>
      <c r="R70" s="7">
        <v>20.3</v>
      </c>
      <c r="S70" s="12">
        <v>1.3923920000000001</v>
      </c>
      <c r="T70" s="12">
        <v>8.5</v>
      </c>
      <c r="U70" s="12">
        <v>98.672384699999995</v>
      </c>
      <c r="V70" s="12">
        <v>115.5775333</v>
      </c>
      <c r="W70" s="12">
        <v>-3.5971223000000001</v>
      </c>
      <c r="X70" s="12">
        <v>7.5296114999999997</v>
      </c>
      <c r="Y70" s="12">
        <v>4.6855472999999996</v>
      </c>
      <c r="Z70" s="12">
        <v>-6.0591884</v>
      </c>
      <c r="AA70" s="12">
        <v>73.8452573</v>
      </c>
      <c r="AB70" s="12">
        <v>17.925162400000001</v>
      </c>
      <c r="AC70" s="12">
        <v>16.408525699999998</v>
      </c>
      <c r="AD70" s="12">
        <v>42.208457299999999</v>
      </c>
      <c r="AE70" s="12">
        <v>50.387402799999997</v>
      </c>
      <c r="AF70" s="12">
        <v>3.5203647</v>
      </c>
      <c r="AG70" s="7" t="s">
        <v>107</v>
      </c>
    </row>
    <row r="71" spans="1:33" s="11" customFormat="1" hidden="1" outlineLevel="1" x14ac:dyDescent="0.3">
      <c r="A71" s="11" t="s">
        <v>77</v>
      </c>
      <c r="B71" s="12">
        <v>1.5779679</v>
      </c>
      <c r="C71" s="12">
        <v>99.91</v>
      </c>
      <c r="D71" s="12">
        <v>0.48948940000000002</v>
      </c>
      <c r="E71" s="17">
        <v>0.1166667</v>
      </c>
      <c r="F71" s="13">
        <v>101.8233333</v>
      </c>
      <c r="G71" s="12">
        <v>-1.2061187</v>
      </c>
      <c r="H71" s="12">
        <v>5.4094043999999997</v>
      </c>
      <c r="I71" s="12">
        <v>-3.7772108000000002</v>
      </c>
      <c r="J71" s="12">
        <v>-4.0194768999999999</v>
      </c>
      <c r="K71" s="12">
        <v>-1.1565970999999999</v>
      </c>
      <c r="L71" s="12">
        <v>-8.7602399999999997E-2</v>
      </c>
      <c r="M71" s="12">
        <v>3.9888213000000001</v>
      </c>
      <c r="N71" s="12">
        <v>-5.2607372000000003</v>
      </c>
      <c r="O71" s="12">
        <v>3.6340224999999999</v>
      </c>
      <c r="P71" s="7">
        <v>2475.136</v>
      </c>
      <c r="Q71" s="7">
        <v>529.95299999999997</v>
      </c>
      <c r="R71" s="7">
        <v>17.600000000000001</v>
      </c>
      <c r="S71" s="12">
        <v>2.3755190000000002</v>
      </c>
      <c r="T71" s="12">
        <v>8.5</v>
      </c>
      <c r="U71" s="12">
        <v>98.763629699999996</v>
      </c>
      <c r="V71" s="12">
        <v>117.3835667</v>
      </c>
      <c r="W71" s="12">
        <v>-14.682413</v>
      </c>
      <c r="X71" s="12">
        <v>-5.3923563999999997</v>
      </c>
      <c r="Y71" s="12">
        <v>1.7025534</v>
      </c>
      <c r="Z71" s="12">
        <v>-4.2887892000000001</v>
      </c>
      <c r="AA71" s="12">
        <v>73.444535500000001</v>
      </c>
      <c r="AB71" s="12">
        <v>17.591261299999999</v>
      </c>
      <c r="AC71" s="12">
        <v>17.416350600000001</v>
      </c>
      <c r="AD71" s="12">
        <v>42.593719999999998</v>
      </c>
      <c r="AE71" s="12">
        <v>51.045876900000003</v>
      </c>
      <c r="AF71" s="12">
        <v>5.5859719999999999</v>
      </c>
      <c r="AG71" s="7" t="s">
        <v>107</v>
      </c>
    </row>
    <row r="72" spans="1:33" s="11" customFormat="1" hidden="1" outlineLevel="1" x14ac:dyDescent="0.3">
      <c r="A72" s="11" t="s">
        <v>78</v>
      </c>
      <c r="B72" s="12">
        <v>1.7505474000000001</v>
      </c>
      <c r="C72" s="12">
        <v>99.97</v>
      </c>
      <c r="D72" s="12">
        <v>0.25070199999999998</v>
      </c>
      <c r="E72" s="17">
        <v>0.05</v>
      </c>
      <c r="F72" s="13">
        <v>76.4033333</v>
      </c>
      <c r="G72" s="12">
        <v>17.136451300000001</v>
      </c>
      <c r="H72" s="12">
        <v>7.5458913000000001</v>
      </c>
      <c r="I72" s="12">
        <v>-9.4210984</v>
      </c>
      <c r="J72" s="12">
        <v>-1.693859</v>
      </c>
      <c r="K72" s="12">
        <v>1.465549</v>
      </c>
      <c r="L72" s="12">
        <v>1.2268950999999999</v>
      </c>
      <c r="M72" s="12">
        <v>-12.699158000000001</v>
      </c>
      <c r="N72" s="12">
        <v>1.1432580000000001</v>
      </c>
      <c r="O72" s="12">
        <v>1.6794225</v>
      </c>
      <c r="P72" s="7">
        <v>2459.0479999999998</v>
      </c>
      <c r="Q72" s="7">
        <v>498.678</v>
      </c>
      <c r="R72" s="7">
        <v>16.8</v>
      </c>
      <c r="S72" s="12">
        <v>0.32344840000000002</v>
      </c>
      <c r="T72" s="12">
        <v>8</v>
      </c>
      <c r="U72" s="12">
        <v>98.836625699999999</v>
      </c>
      <c r="V72" s="12">
        <v>120.28696669999999</v>
      </c>
      <c r="W72" s="12">
        <v>-9.1936468999999992</v>
      </c>
      <c r="X72" s="12">
        <v>0.15139430000000001</v>
      </c>
      <c r="Y72" s="12">
        <v>-2.0832177999999999</v>
      </c>
      <c r="Z72" s="12">
        <v>-6.0666003000000002</v>
      </c>
      <c r="AA72" s="12">
        <v>73.1517774</v>
      </c>
      <c r="AB72" s="12">
        <v>18.070458500000001</v>
      </c>
      <c r="AC72" s="12">
        <v>17.115497600000001</v>
      </c>
      <c r="AD72" s="12">
        <v>42.142970400000003</v>
      </c>
      <c r="AE72" s="12">
        <v>50.480694900000003</v>
      </c>
      <c r="AF72" s="12">
        <v>7.5629578000000004</v>
      </c>
      <c r="AG72" s="12">
        <v>67.495118500000004</v>
      </c>
    </row>
    <row r="73" spans="1:33" s="11" customFormat="1" hidden="1" outlineLevel="1" x14ac:dyDescent="0.3">
      <c r="A73" s="11" t="s">
        <v>79</v>
      </c>
      <c r="B73" s="12">
        <v>2.0633189000000001</v>
      </c>
      <c r="C73" s="12">
        <v>99.203333299999997</v>
      </c>
      <c r="D73" s="12">
        <v>-0.28813620000000001</v>
      </c>
      <c r="E73" s="17">
        <v>0.05</v>
      </c>
      <c r="F73" s="13">
        <v>53.9166667</v>
      </c>
      <c r="G73" s="12">
        <v>-4.5875241999999998</v>
      </c>
      <c r="H73" s="12">
        <v>7.8387634000000004</v>
      </c>
      <c r="I73" s="12">
        <v>-2.1654235000000002</v>
      </c>
      <c r="J73" s="12">
        <v>0.36216300000000001</v>
      </c>
      <c r="K73" s="12">
        <v>-0.39533489999999999</v>
      </c>
      <c r="L73" s="12">
        <v>-3.6834885000000002</v>
      </c>
      <c r="M73" s="12">
        <v>15.125538300000001</v>
      </c>
      <c r="N73" s="12">
        <v>8.6967622999999996</v>
      </c>
      <c r="O73" s="12">
        <v>10.0094355</v>
      </c>
      <c r="P73" s="7">
        <v>2504.1</v>
      </c>
      <c r="Q73" s="7">
        <v>587.5</v>
      </c>
      <c r="R73" s="7">
        <v>19</v>
      </c>
      <c r="S73" s="12">
        <v>-0.41833989999999999</v>
      </c>
      <c r="T73" s="12">
        <v>7.5</v>
      </c>
      <c r="U73" s="12">
        <v>99.110360900000003</v>
      </c>
      <c r="V73" s="12">
        <v>121.5535</v>
      </c>
      <c r="W73" s="12">
        <v>1.4689680000000001</v>
      </c>
      <c r="X73" s="12">
        <v>7.5700178999999999</v>
      </c>
      <c r="Y73" s="12">
        <v>5.2378188999999997</v>
      </c>
      <c r="Z73" s="12">
        <v>-5.0318231999999998</v>
      </c>
      <c r="AA73" s="12">
        <v>73.305413900000005</v>
      </c>
      <c r="AB73" s="12">
        <v>16.947483900000002</v>
      </c>
      <c r="AC73" s="12">
        <v>18.622077999999998</v>
      </c>
      <c r="AD73" s="12">
        <v>45.514296700000003</v>
      </c>
      <c r="AE73" s="12">
        <v>54.389262199999997</v>
      </c>
      <c r="AF73" s="12">
        <v>8.5141193000000008</v>
      </c>
      <c r="AG73" s="12">
        <v>68.62388</v>
      </c>
    </row>
    <row r="74" spans="1:33" s="11" customFormat="1" hidden="1" outlineLevel="1" x14ac:dyDescent="0.3">
      <c r="A74" s="11" t="s">
        <v>80</v>
      </c>
      <c r="B74" s="12">
        <v>2.2703967</v>
      </c>
      <c r="C74" s="12">
        <v>100.5233333</v>
      </c>
      <c r="D74" s="12">
        <v>0.29933149999999997</v>
      </c>
      <c r="E74" s="17">
        <v>0.05</v>
      </c>
      <c r="F74" s="13">
        <v>61.693333299999999</v>
      </c>
      <c r="G74" s="12">
        <v>-2.1126513999999998</v>
      </c>
      <c r="H74" s="12">
        <v>5.2972542999999996</v>
      </c>
      <c r="I74" s="12">
        <v>-1.3197220000000001</v>
      </c>
      <c r="J74" s="12">
        <v>1.9275580000000001</v>
      </c>
      <c r="K74" s="12">
        <v>1.6612657</v>
      </c>
      <c r="L74" s="12">
        <v>-4.8251121000000001</v>
      </c>
      <c r="M74" s="12">
        <v>-13.9551304</v>
      </c>
      <c r="N74" s="12">
        <v>10.893668099999999</v>
      </c>
      <c r="O74" s="12">
        <v>1.8106251</v>
      </c>
      <c r="P74" s="7">
        <v>2587.8000000000002</v>
      </c>
      <c r="Q74" s="7">
        <v>542.1</v>
      </c>
      <c r="R74" s="7">
        <v>17.3</v>
      </c>
      <c r="S74" s="12">
        <v>-0.96924109999999997</v>
      </c>
      <c r="T74" s="12">
        <v>6</v>
      </c>
      <c r="U74" s="12">
        <v>100.3877914</v>
      </c>
      <c r="V74" s="12">
        <v>120.4404333</v>
      </c>
      <c r="W74" s="12">
        <v>8.6353945000000003</v>
      </c>
      <c r="X74" s="12">
        <v>10.7515906</v>
      </c>
      <c r="Y74" s="12">
        <v>3.0772871999999998</v>
      </c>
      <c r="Z74" s="12">
        <v>-2.1570165000000001</v>
      </c>
      <c r="AA74" s="12">
        <v>73.856767399999995</v>
      </c>
      <c r="AB74" s="12">
        <v>15.9645039</v>
      </c>
      <c r="AC74" s="12">
        <v>16.494433799999999</v>
      </c>
      <c r="AD74" s="12">
        <v>46.495429299999998</v>
      </c>
      <c r="AE74" s="12">
        <v>52.811124999999997</v>
      </c>
      <c r="AF74" s="12">
        <v>7.8087274000000004</v>
      </c>
      <c r="AG74" s="12">
        <v>67.643185200000005</v>
      </c>
    </row>
    <row r="75" spans="1:33" s="11" customFormat="1" hidden="1" outlineLevel="1" x14ac:dyDescent="0.3">
      <c r="A75" s="11" t="s">
        <v>81</v>
      </c>
      <c r="B75" s="12">
        <v>2.2457793000000001</v>
      </c>
      <c r="C75" s="12">
        <v>100.1533333</v>
      </c>
      <c r="D75" s="12">
        <v>0.24355250000000001</v>
      </c>
      <c r="E75" s="17">
        <v>0.05</v>
      </c>
      <c r="F75" s="13">
        <v>50.233333299999998</v>
      </c>
      <c r="G75" s="12">
        <v>0.20916290000000001</v>
      </c>
      <c r="H75" s="12">
        <v>6.1155447000000001</v>
      </c>
      <c r="I75" s="12">
        <v>-1.43333</v>
      </c>
      <c r="J75" s="12">
        <v>2.7013845999999999</v>
      </c>
      <c r="K75" s="12">
        <v>-1.0415307</v>
      </c>
      <c r="L75" s="12">
        <v>-3.4677473000000001</v>
      </c>
      <c r="M75" s="12">
        <v>7.0300096999999999</v>
      </c>
      <c r="N75" s="12">
        <v>10.1044161</v>
      </c>
      <c r="O75" s="12">
        <v>3.0090273000000001</v>
      </c>
      <c r="P75" s="7">
        <v>2623.9</v>
      </c>
      <c r="Q75" s="7">
        <v>523.29999999999995</v>
      </c>
      <c r="R75" s="7">
        <v>16.600000000000001</v>
      </c>
      <c r="S75" s="12">
        <v>-0.77722570000000002</v>
      </c>
      <c r="T75" s="12">
        <v>5</v>
      </c>
      <c r="U75" s="12">
        <v>100.2782974</v>
      </c>
      <c r="V75" s="12">
        <v>120.20740000000001</v>
      </c>
      <c r="W75" s="12">
        <v>10.4377104</v>
      </c>
      <c r="X75" s="12">
        <v>9.6839233999999994</v>
      </c>
      <c r="Y75" s="12">
        <v>0.70222030000000002</v>
      </c>
      <c r="Z75" s="12">
        <v>-2.9370959000000001</v>
      </c>
      <c r="AA75" s="12">
        <v>71.338336900000002</v>
      </c>
      <c r="AB75" s="12">
        <v>15.8387508</v>
      </c>
      <c r="AC75" s="12">
        <v>18.3095958</v>
      </c>
      <c r="AD75" s="12">
        <v>45.630095799999999</v>
      </c>
      <c r="AE75" s="12">
        <v>51.116770199999998</v>
      </c>
      <c r="AF75" s="12">
        <v>4.3067906999999996</v>
      </c>
      <c r="AG75" s="12">
        <v>67.942209300000002</v>
      </c>
    </row>
    <row r="76" spans="1:33" s="11" customFormat="1" hidden="1" outlineLevel="1" x14ac:dyDescent="0.3">
      <c r="A76" s="11" t="s">
        <v>82</v>
      </c>
      <c r="B76" s="12">
        <v>2.5478125</v>
      </c>
      <c r="C76" s="12">
        <v>100.1233333</v>
      </c>
      <c r="D76" s="12">
        <v>0.1533793</v>
      </c>
      <c r="E76" s="17">
        <v>0.05</v>
      </c>
      <c r="F76" s="13">
        <v>43.57</v>
      </c>
      <c r="G76" s="12">
        <v>-1.25651</v>
      </c>
      <c r="H76" s="12">
        <v>2.7744899999999999E-2</v>
      </c>
      <c r="I76" s="12">
        <v>-8.4287381999999997</v>
      </c>
      <c r="J76" s="12">
        <v>2.127729</v>
      </c>
      <c r="K76" s="12">
        <v>-3.2902098999999998</v>
      </c>
      <c r="L76" s="12">
        <v>-2.8759030999999999</v>
      </c>
      <c r="M76" s="12">
        <v>16.296741099999998</v>
      </c>
      <c r="N76" s="12">
        <v>7.4300284999999997</v>
      </c>
      <c r="O76" s="12">
        <v>1.8843136</v>
      </c>
      <c r="P76" s="7">
        <v>2580.8000000000002</v>
      </c>
      <c r="Q76" s="7">
        <v>554.79999999999995</v>
      </c>
      <c r="R76" s="7">
        <v>17.7</v>
      </c>
      <c r="S76" s="12">
        <v>0.39596419999999999</v>
      </c>
      <c r="T76" s="12">
        <v>4.5</v>
      </c>
      <c r="U76" s="12">
        <v>100.22355039999999</v>
      </c>
      <c r="V76" s="12">
        <v>120.8273667</v>
      </c>
      <c r="W76" s="12">
        <v>8.6108308000000005</v>
      </c>
      <c r="X76" s="12">
        <v>7.2627246999999997</v>
      </c>
      <c r="Y76" s="12">
        <v>3.3058391999999999</v>
      </c>
      <c r="Z76" s="12">
        <v>-3.8248859999999998</v>
      </c>
      <c r="AA76" s="12">
        <v>69.621341999999999</v>
      </c>
      <c r="AB76" s="12">
        <v>16.916304799999999</v>
      </c>
      <c r="AC76" s="12">
        <v>21.104386099999999</v>
      </c>
      <c r="AD76" s="12">
        <v>43.246673999999999</v>
      </c>
      <c r="AE76" s="12">
        <v>50.888706999999997</v>
      </c>
      <c r="AF76" s="12">
        <v>4.7523232999999996</v>
      </c>
      <c r="AG76" s="12">
        <v>71.199826099999996</v>
      </c>
    </row>
    <row r="77" spans="1:33" s="11" customFormat="1" hidden="1" outlineLevel="1" x14ac:dyDescent="0.3">
      <c r="A77" s="11" t="s">
        <v>83</v>
      </c>
      <c r="B77" s="12">
        <v>1.9366078</v>
      </c>
      <c r="C77" s="12">
        <v>99.246666700000006</v>
      </c>
      <c r="D77" s="12">
        <v>4.3681400000000002E-2</v>
      </c>
      <c r="E77" s="17">
        <v>3.3333300000000003E-2</v>
      </c>
      <c r="F77" s="13">
        <v>33.696666700000002</v>
      </c>
      <c r="G77" s="12">
        <v>7.2160922000000003</v>
      </c>
      <c r="H77" s="12">
        <v>8.9753354000000005</v>
      </c>
      <c r="I77" s="12">
        <v>-1.5559141999999999</v>
      </c>
      <c r="J77" s="12">
        <v>3.496191</v>
      </c>
      <c r="K77" s="12">
        <v>-8.2259399999999996E-2</v>
      </c>
      <c r="L77" s="12">
        <v>-1.6614169999999999</v>
      </c>
      <c r="M77" s="12">
        <v>3.1976287999999999</v>
      </c>
      <c r="N77" s="12">
        <v>13.284007900000001</v>
      </c>
      <c r="O77" s="12">
        <v>5.3383867</v>
      </c>
      <c r="P77" s="7">
        <v>2570.6999999999998</v>
      </c>
      <c r="Q77" s="7">
        <v>602.20000000000005</v>
      </c>
      <c r="R77" s="7">
        <v>19</v>
      </c>
      <c r="S77" s="12">
        <v>4.4852936999999997</v>
      </c>
      <c r="T77" s="12">
        <v>4.25</v>
      </c>
      <c r="U77" s="12">
        <v>100.5520325</v>
      </c>
      <c r="V77" s="12">
        <v>122.8512667</v>
      </c>
      <c r="W77" s="12">
        <v>8.0347448000000004</v>
      </c>
      <c r="X77" s="12">
        <v>11.684317699999999</v>
      </c>
      <c r="Y77" s="12">
        <v>2.0546357</v>
      </c>
      <c r="Z77" s="12">
        <v>-3.6476153999999998</v>
      </c>
      <c r="AA77" s="12">
        <v>70.520138299999999</v>
      </c>
      <c r="AB77" s="12">
        <v>16.408782200000001</v>
      </c>
      <c r="AC77" s="12">
        <v>17.474564000000001</v>
      </c>
      <c r="AD77" s="12">
        <v>48.861143499999997</v>
      </c>
      <c r="AE77" s="12">
        <v>53.264618200000001</v>
      </c>
      <c r="AF77" s="12">
        <v>5.3971600000000004</v>
      </c>
      <c r="AG77" s="12">
        <v>67.491619999999998</v>
      </c>
    </row>
    <row r="78" spans="1:33" s="11" customFormat="1" hidden="1" outlineLevel="1" x14ac:dyDescent="0.3">
      <c r="A78" s="11" t="s">
        <v>84</v>
      </c>
      <c r="B78" s="12">
        <v>2.4666936000000002</v>
      </c>
      <c r="C78" s="12">
        <v>100.42</v>
      </c>
      <c r="D78" s="12">
        <v>-0.10279530000000001</v>
      </c>
      <c r="E78" s="17">
        <v>0</v>
      </c>
      <c r="F78" s="13">
        <v>45.523333299999997</v>
      </c>
      <c r="G78" s="12">
        <v>5.4809608000000001</v>
      </c>
      <c r="H78" s="12">
        <v>8.5095706</v>
      </c>
      <c r="I78" s="12">
        <v>-0.1884141</v>
      </c>
      <c r="J78" s="12">
        <v>3.0510728</v>
      </c>
      <c r="K78" s="12">
        <v>1.0023332</v>
      </c>
      <c r="L78" s="12">
        <v>0.44638169999999999</v>
      </c>
      <c r="M78" s="12">
        <v>20.398426799999999</v>
      </c>
      <c r="N78" s="12">
        <v>10.8108282</v>
      </c>
      <c r="O78" s="12">
        <v>10.812077499999999</v>
      </c>
      <c r="P78" s="7">
        <v>2761.5</v>
      </c>
      <c r="Q78" s="7">
        <v>495.5</v>
      </c>
      <c r="R78" s="7">
        <v>15.2</v>
      </c>
      <c r="S78" s="12">
        <v>4.1677290999999999</v>
      </c>
      <c r="T78" s="12">
        <v>4.25</v>
      </c>
      <c r="U78" s="12">
        <v>100.8987636</v>
      </c>
      <c r="V78" s="12">
        <v>123.0108333</v>
      </c>
      <c r="W78" s="12">
        <v>3.6310107999999999</v>
      </c>
      <c r="X78" s="12">
        <v>8.1257382000000007</v>
      </c>
      <c r="Y78" s="12">
        <v>6.6667231999999998</v>
      </c>
      <c r="Z78" s="12">
        <v>-3.1120763</v>
      </c>
      <c r="AA78" s="12">
        <v>72.252962800000006</v>
      </c>
      <c r="AB78" s="12">
        <v>15.745593</v>
      </c>
      <c r="AC78" s="12">
        <v>17.9276673</v>
      </c>
      <c r="AD78" s="12">
        <v>49.235585399999998</v>
      </c>
      <c r="AE78" s="12">
        <v>55.161817399999997</v>
      </c>
      <c r="AF78" s="12">
        <v>7.445767</v>
      </c>
      <c r="AG78" s="12">
        <v>66.951435399999994</v>
      </c>
    </row>
    <row r="79" spans="1:33" s="11" customFormat="1" hidden="1" outlineLevel="1" x14ac:dyDescent="0.3">
      <c r="A79" s="11" t="s">
        <v>85</v>
      </c>
      <c r="B79" s="12">
        <v>1.6225508</v>
      </c>
      <c r="C79" s="12">
        <v>100.42</v>
      </c>
      <c r="D79" s="12">
        <v>0.26625840000000001</v>
      </c>
      <c r="E79" s="17">
        <v>0</v>
      </c>
      <c r="F79" s="13">
        <v>45.786666699999998</v>
      </c>
      <c r="G79" s="12">
        <v>3.3009707000000001</v>
      </c>
      <c r="H79" s="12">
        <v>10.254131900000001</v>
      </c>
      <c r="I79" s="12">
        <v>1.1900481000000001</v>
      </c>
      <c r="J79" s="12">
        <v>3.9626196</v>
      </c>
      <c r="K79" s="12">
        <v>3.6895077000000001</v>
      </c>
      <c r="L79" s="12">
        <v>-0.63591600000000004</v>
      </c>
      <c r="M79" s="12">
        <v>-3.1363186000000001</v>
      </c>
      <c r="N79" s="12">
        <v>10.4426343</v>
      </c>
      <c r="O79" s="12">
        <v>5.3603446000000003</v>
      </c>
      <c r="P79" s="7">
        <v>2814</v>
      </c>
      <c r="Q79" s="7">
        <v>450.1</v>
      </c>
      <c r="R79" s="7">
        <v>13.8</v>
      </c>
      <c r="S79" s="12">
        <v>3.0287774000000001</v>
      </c>
      <c r="T79" s="12">
        <v>4</v>
      </c>
      <c r="U79" s="12">
        <v>101.2819928</v>
      </c>
      <c r="V79" s="12">
        <v>123.2951333</v>
      </c>
      <c r="W79" s="12">
        <v>4.9119241000000002</v>
      </c>
      <c r="X79" s="12">
        <v>8.6034694999999992</v>
      </c>
      <c r="Y79" s="12">
        <v>4.1608704000000003</v>
      </c>
      <c r="Z79" s="12">
        <v>-2.5416194999999999</v>
      </c>
      <c r="AA79" s="12">
        <v>71.213550100000006</v>
      </c>
      <c r="AB79" s="12">
        <v>15.285940999999999</v>
      </c>
      <c r="AC79" s="12">
        <v>17.116249799999999</v>
      </c>
      <c r="AD79" s="12">
        <v>48.190935000000003</v>
      </c>
      <c r="AE79" s="12">
        <v>51.806684500000003</v>
      </c>
      <c r="AF79" s="12">
        <v>10.4577835</v>
      </c>
      <c r="AG79" s="12">
        <v>66.756132300000004</v>
      </c>
    </row>
    <row r="80" spans="1:33" s="11" customFormat="1" hidden="1" outlineLevel="1" x14ac:dyDescent="0.3">
      <c r="A80" s="11" t="s">
        <v>86</v>
      </c>
      <c r="B80" s="12">
        <v>1.866331</v>
      </c>
      <c r="C80" s="12">
        <v>100.89333329999999</v>
      </c>
      <c r="D80" s="12">
        <v>0.7690515</v>
      </c>
      <c r="E80" s="17">
        <v>0</v>
      </c>
      <c r="F80" s="13">
        <v>49.186666700000004</v>
      </c>
      <c r="G80" s="12">
        <v>-2.7280367000000001</v>
      </c>
      <c r="H80" s="12">
        <v>7.2580723000000003</v>
      </c>
      <c r="I80" s="12">
        <v>-4.0777124000000002</v>
      </c>
      <c r="J80" s="12">
        <v>2.8689689</v>
      </c>
      <c r="K80" s="12">
        <v>2.6401522000000002</v>
      </c>
      <c r="L80" s="12">
        <v>1.7483716</v>
      </c>
      <c r="M80" s="12">
        <v>-9.7828634000000001</v>
      </c>
      <c r="N80" s="12">
        <v>13.617657299999999</v>
      </c>
      <c r="O80" s="12">
        <v>6.5457168000000001</v>
      </c>
      <c r="P80" s="7">
        <v>2731.4</v>
      </c>
      <c r="Q80" s="7">
        <v>409.8</v>
      </c>
      <c r="R80" s="7">
        <v>13.1</v>
      </c>
      <c r="S80" s="12">
        <v>3.4675202999999999</v>
      </c>
      <c r="T80" s="12">
        <v>4</v>
      </c>
      <c r="U80" s="12">
        <v>101.756467</v>
      </c>
      <c r="V80" s="12">
        <v>123.26143329999999</v>
      </c>
      <c r="W80" s="12">
        <v>4.5834624000000002</v>
      </c>
      <c r="X80" s="12">
        <v>13.877882</v>
      </c>
      <c r="Y80" s="12">
        <v>7.2576858</v>
      </c>
      <c r="Z80" s="12">
        <v>-2.4976055000000001</v>
      </c>
      <c r="AA80" s="12">
        <v>69.118914399999994</v>
      </c>
      <c r="AB80" s="12">
        <v>16.560276699999999</v>
      </c>
      <c r="AC80" s="12">
        <v>19.640144899999999</v>
      </c>
      <c r="AD80" s="12">
        <v>47.875721800000001</v>
      </c>
      <c r="AE80" s="12">
        <v>53.195065900000003</v>
      </c>
      <c r="AF80" s="12">
        <v>10.4829721</v>
      </c>
      <c r="AG80" s="12">
        <v>68.698445699999994</v>
      </c>
    </row>
    <row r="81" spans="1:33" s="11" customFormat="1" hidden="1" outlineLevel="1" x14ac:dyDescent="0.3">
      <c r="A81" s="11" t="s">
        <v>87</v>
      </c>
      <c r="B81" s="12">
        <v>3.0351661999999999</v>
      </c>
      <c r="C81" s="12">
        <v>101</v>
      </c>
      <c r="D81" s="12">
        <v>1.766642</v>
      </c>
      <c r="E81" s="17">
        <v>0</v>
      </c>
      <c r="F81" s="13">
        <v>53.68</v>
      </c>
      <c r="G81" s="12">
        <v>1.7409619000000001</v>
      </c>
      <c r="H81" s="12">
        <v>8.5144248000000005</v>
      </c>
      <c r="I81" s="12">
        <v>1.0961557</v>
      </c>
      <c r="J81" s="12">
        <v>1.7351722999999999</v>
      </c>
      <c r="K81" s="12">
        <v>2.0357528999999999</v>
      </c>
      <c r="L81" s="12">
        <v>1.9740276999999999</v>
      </c>
      <c r="M81" s="12">
        <v>3.5273097999999998</v>
      </c>
      <c r="N81" s="12">
        <v>7.8399831999999998</v>
      </c>
      <c r="O81" s="12">
        <v>8.3234148999999995</v>
      </c>
      <c r="P81" s="7">
        <v>2652.2</v>
      </c>
      <c r="Q81" s="7">
        <v>452</v>
      </c>
      <c r="R81" s="7">
        <v>14.6</v>
      </c>
      <c r="S81" s="12">
        <v>4.2772018000000003</v>
      </c>
      <c r="T81" s="12">
        <v>4</v>
      </c>
      <c r="U81" s="12">
        <v>103.6361148</v>
      </c>
      <c r="V81" s="12">
        <v>123.8784333</v>
      </c>
      <c r="W81" s="12">
        <v>1.1055276000000001</v>
      </c>
      <c r="X81" s="12">
        <v>10.417204</v>
      </c>
      <c r="Y81" s="12">
        <v>14.458097199999999</v>
      </c>
      <c r="Z81" s="12">
        <v>-6.8739483999999997</v>
      </c>
      <c r="AA81" s="12">
        <v>70.552187399999994</v>
      </c>
      <c r="AB81" s="12">
        <v>16.352704800000001</v>
      </c>
      <c r="AC81" s="12">
        <v>20.010039299999999</v>
      </c>
      <c r="AD81" s="12">
        <v>51.681858900000002</v>
      </c>
      <c r="AE81" s="12">
        <v>58.596799699999998</v>
      </c>
      <c r="AF81" s="12">
        <v>11.659253700000001</v>
      </c>
      <c r="AG81" s="12">
        <v>64.898939100000007</v>
      </c>
    </row>
    <row r="82" spans="1:33" s="11" customFormat="1" hidden="1" outlineLevel="1" x14ac:dyDescent="0.3">
      <c r="A82" s="11" t="s">
        <v>88</v>
      </c>
      <c r="B82" s="12">
        <v>2.3084487</v>
      </c>
      <c r="C82" s="12">
        <v>102.11333329999999</v>
      </c>
      <c r="D82" s="12">
        <v>1.6862509999999999</v>
      </c>
      <c r="E82" s="17">
        <v>0</v>
      </c>
      <c r="F82" s="13">
        <v>49.67</v>
      </c>
      <c r="G82" s="12">
        <v>1.8148238000000001</v>
      </c>
      <c r="H82" s="12">
        <v>9.3309035999999992</v>
      </c>
      <c r="I82" s="12">
        <v>2.7524335999999998</v>
      </c>
      <c r="J82" s="12">
        <v>1.8574010000000001</v>
      </c>
      <c r="K82" s="12">
        <v>1.1485025</v>
      </c>
      <c r="L82" s="12">
        <v>3.2966357999999998</v>
      </c>
      <c r="M82" s="12">
        <v>1.8732849</v>
      </c>
      <c r="N82" s="12">
        <v>9.3913977000000006</v>
      </c>
      <c r="O82" s="12">
        <v>8.1283484000000001</v>
      </c>
      <c r="P82" s="7">
        <v>2881</v>
      </c>
      <c r="Q82" s="7">
        <v>384.1</v>
      </c>
      <c r="R82" s="7">
        <v>11.8</v>
      </c>
      <c r="S82" s="12">
        <v>4.6665938000000002</v>
      </c>
      <c r="T82" s="12">
        <v>4</v>
      </c>
      <c r="U82" s="12">
        <v>104.58506319999999</v>
      </c>
      <c r="V82" s="12">
        <v>122.9080333</v>
      </c>
      <c r="W82" s="12">
        <v>3.4406564999999998</v>
      </c>
      <c r="X82" s="12">
        <v>12.8313071</v>
      </c>
      <c r="Y82" s="12">
        <v>12.1036573</v>
      </c>
      <c r="Z82" s="12">
        <v>-3.2325642000000001</v>
      </c>
      <c r="AA82" s="12">
        <v>72.195622299999997</v>
      </c>
      <c r="AB82" s="12">
        <v>15.9992543</v>
      </c>
      <c r="AC82" s="12">
        <v>17.9155312</v>
      </c>
      <c r="AD82" s="12">
        <v>52.750999899999997</v>
      </c>
      <c r="AE82" s="12">
        <v>58.861416200000001</v>
      </c>
      <c r="AF82" s="12">
        <v>10.2673139</v>
      </c>
      <c r="AG82" s="12">
        <v>61.551980999999998</v>
      </c>
    </row>
    <row r="83" spans="1:33" s="11" customFormat="1" hidden="1" outlineLevel="1" x14ac:dyDescent="0.3">
      <c r="A83" s="11" t="s">
        <v>89</v>
      </c>
      <c r="B83" s="12">
        <v>3.0333996999999999</v>
      </c>
      <c r="C83" s="12">
        <v>102.1166667</v>
      </c>
      <c r="D83" s="12">
        <v>1.6895705000000001</v>
      </c>
      <c r="E83" s="17">
        <v>0</v>
      </c>
      <c r="F83" s="13">
        <v>52.11</v>
      </c>
      <c r="G83" s="12">
        <v>-0.73232940000000002</v>
      </c>
      <c r="H83" s="12">
        <v>4.3191433000000004</v>
      </c>
      <c r="I83" s="12">
        <v>3.0967543000000002</v>
      </c>
      <c r="J83" s="12">
        <v>2.2806028999999999</v>
      </c>
      <c r="K83" s="12">
        <v>2.4445203000000002</v>
      </c>
      <c r="L83" s="12">
        <v>3.1606633</v>
      </c>
      <c r="M83" s="12">
        <v>12.387206300000001</v>
      </c>
      <c r="N83" s="12">
        <v>10.0243562</v>
      </c>
      <c r="O83" s="12">
        <v>13.325512</v>
      </c>
      <c r="P83" s="7">
        <v>2881.9</v>
      </c>
      <c r="Q83" s="7">
        <v>428.2</v>
      </c>
      <c r="R83" s="7">
        <v>12.9</v>
      </c>
      <c r="S83" s="12">
        <v>3.9196523999999999</v>
      </c>
      <c r="T83" s="12">
        <v>3.75</v>
      </c>
      <c r="U83" s="12">
        <v>104.2748301</v>
      </c>
      <c r="V83" s="12">
        <v>119.7626667</v>
      </c>
      <c r="W83" s="12">
        <v>7.2005166999999997</v>
      </c>
      <c r="X83" s="12">
        <v>12.500995899999999</v>
      </c>
      <c r="Y83" s="12">
        <v>14.3269571</v>
      </c>
      <c r="Z83" s="12">
        <v>-3.9207974999999999</v>
      </c>
      <c r="AA83" s="12">
        <v>71.163361600000002</v>
      </c>
      <c r="AB83" s="12">
        <v>15.472147400000001</v>
      </c>
      <c r="AC83" s="12">
        <v>18.054495200000002</v>
      </c>
      <c r="AD83" s="12">
        <v>50.000458899999998</v>
      </c>
      <c r="AE83" s="12">
        <v>54.690454899999999</v>
      </c>
      <c r="AF83" s="12">
        <v>8.3629811000000007</v>
      </c>
      <c r="AG83" s="12">
        <v>61.191876200000003</v>
      </c>
    </row>
    <row r="84" spans="1:33" s="11" customFormat="1" hidden="1" outlineLevel="1" x14ac:dyDescent="0.3">
      <c r="A84" s="11" t="s">
        <v>90</v>
      </c>
      <c r="B84" s="12">
        <v>2.9900169999999999</v>
      </c>
      <c r="C84" s="12">
        <v>102.6233333</v>
      </c>
      <c r="D84" s="12">
        <v>1.7146821999999999</v>
      </c>
      <c r="E84" s="17">
        <v>0</v>
      </c>
      <c r="F84" s="13">
        <v>61.53</v>
      </c>
      <c r="G84" s="12">
        <v>2.2099752000000001</v>
      </c>
      <c r="H84" s="12">
        <v>6.4960424999999997</v>
      </c>
      <c r="I84" s="12">
        <v>-2.3248852000000002</v>
      </c>
      <c r="J84" s="12">
        <v>2.4794974999999999</v>
      </c>
      <c r="K84" s="12">
        <v>3.2027204</v>
      </c>
      <c r="L84" s="12">
        <v>3.2302415999999998</v>
      </c>
      <c r="M84" s="12">
        <v>25.071617100000001</v>
      </c>
      <c r="N84" s="12">
        <v>5.7264337000000003</v>
      </c>
      <c r="O84" s="12">
        <v>14.3386757</v>
      </c>
      <c r="P84" s="7">
        <v>2763.6</v>
      </c>
      <c r="Q84" s="7">
        <v>475.6</v>
      </c>
      <c r="R84" s="7">
        <v>14.7</v>
      </c>
      <c r="S84" s="12">
        <v>3.0042789000000001</v>
      </c>
      <c r="T84" s="12">
        <v>3.5</v>
      </c>
      <c r="U84" s="12">
        <v>104.6580592</v>
      </c>
      <c r="V84" s="12">
        <v>119.10666670000001</v>
      </c>
      <c r="W84" s="12">
        <v>3.6718980999999999</v>
      </c>
      <c r="X84" s="12">
        <v>8.6498586999999993</v>
      </c>
      <c r="Y84" s="12">
        <v>15.182945500000001</v>
      </c>
      <c r="Z84" s="12">
        <v>-6.8992081000000001</v>
      </c>
      <c r="AA84" s="12">
        <v>69.633268599999994</v>
      </c>
      <c r="AB84" s="12">
        <v>16.7283054</v>
      </c>
      <c r="AC84" s="12">
        <v>22.1858562</v>
      </c>
      <c r="AD84" s="12">
        <v>47.801848399999997</v>
      </c>
      <c r="AE84" s="12">
        <v>56.349270799999999</v>
      </c>
      <c r="AF84" s="12">
        <v>7.8189074999999999</v>
      </c>
      <c r="AG84" s="12">
        <v>58.615513</v>
      </c>
    </row>
    <row r="85" spans="1:33" s="11" customFormat="1" hidden="1" outlineLevel="1" x14ac:dyDescent="0.3">
      <c r="A85" s="11" t="s">
        <v>91</v>
      </c>
      <c r="B85" s="12">
        <v>2.2828298</v>
      </c>
      <c r="C85" s="12">
        <v>102.5466667</v>
      </c>
      <c r="D85" s="12">
        <v>1.5313532000000001</v>
      </c>
      <c r="E85" s="17">
        <v>0</v>
      </c>
      <c r="F85" s="13">
        <v>66.806666699999994</v>
      </c>
      <c r="G85" s="12">
        <v>7.2879538000000004</v>
      </c>
      <c r="H85" s="12">
        <v>5.2953364000000001</v>
      </c>
      <c r="I85" s="12">
        <v>0.32284380000000001</v>
      </c>
      <c r="J85" s="12">
        <v>5.0531686000000002</v>
      </c>
      <c r="K85" s="12">
        <v>2.8667123999999999</v>
      </c>
      <c r="L85" s="12">
        <v>2.4004588</v>
      </c>
      <c r="M85" s="12">
        <v>29.382351700000001</v>
      </c>
      <c r="N85" s="12">
        <v>7.7771359999999996</v>
      </c>
      <c r="O85" s="12">
        <v>12.7188553</v>
      </c>
      <c r="P85" s="7">
        <v>2688.3</v>
      </c>
      <c r="Q85" s="7">
        <v>468.7</v>
      </c>
      <c r="R85" s="7">
        <v>14.8</v>
      </c>
      <c r="S85" s="12">
        <v>5.0999999999999996</v>
      </c>
      <c r="T85" s="12">
        <v>3.25</v>
      </c>
      <c r="U85" s="12">
        <v>105.2785255</v>
      </c>
      <c r="V85" s="12">
        <v>118.426</v>
      </c>
      <c r="W85" s="12">
        <v>5.8979455999999999</v>
      </c>
      <c r="X85" s="12">
        <v>9.9764506999999991</v>
      </c>
      <c r="Y85" s="12">
        <v>12.4874455</v>
      </c>
      <c r="Z85" s="12">
        <v>-7.3268238999999999</v>
      </c>
      <c r="AA85" s="12">
        <v>68.236463799999996</v>
      </c>
      <c r="AB85" s="12">
        <v>16.559043800000001</v>
      </c>
      <c r="AC85" s="12">
        <v>23.454895199999999</v>
      </c>
      <c r="AD85" s="12">
        <v>50.792685400000003</v>
      </c>
      <c r="AE85" s="12">
        <v>59.043096900000002</v>
      </c>
      <c r="AF85" s="12">
        <v>6.9456644000000001</v>
      </c>
      <c r="AG85" s="12">
        <v>56.142682200000003</v>
      </c>
    </row>
    <row r="86" spans="1:33" s="11" customFormat="1" hidden="1" outlineLevel="1" x14ac:dyDescent="0.3">
      <c r="A86" s="11" t="s">
        <v>92</v>
      </c>
      <c r="B86" s="12">
        <v>2.5023559999999998</v>
      </c>
      <c r="C86" s="12">
        <v>104.0133333</v>
      </c>
      <c r="D86" s="12">
        <v>1.8606777000000001</v>
      </c>
      <c r="E86" s="17">
        <v>0</v>
      </c>
      <c r="F86" s="13">
        <v>74.5</v>
      </c>
      <c r="G86" s="12">
        <v>5.4119779000000001</v>
      </c>
      <c r="H86" s="12">
        <v>4.5867353</v>
      </c>
      <c r="I86" s="12">
        <v>2.3818301000000002</v>
      </c>
      <c r="J86" s="12">
        <v>5.0929095999999996</v>
      </c>
      <c r="K86" s="12">
        <v>3.3015910000000002</v>
      </c>
      <c r="L86" s="12">
        <v>4.9842217</v>
      </c>
      <c r="M86" s="12">
        <v>25.214520199999999</v>
      </c>
      <c r="N86" s="12">
        <v>5.1958118999999998</v>
      </c>
      <c r="O86" s="12">
        <v>9.0130140999999995</v>
      </c>
      <c r="P86" s="7">
        <v>2896.8</v>
      </c>
      <c r="Q86" s="7">
        <v>391.6</v>
      </c>
      <c r="R86" s="7">
        <v>11.9</v>
      </c>
      <c r="S86" s="12">
        <v>5.6</v>
      </c>
      <c r="T86" s="12">
        <v>3</v>
      </c>
      <c r="U86" s="12">
        <v>106.501209</v>
      </c>
      <c r="V86" s="12">
        <v>118.17176670000001</v>
      </c>
      <c r="W86" s="12">
        <v>2.1055844000000001</v>
      </c>
      <c r="X86" s="12">
        <v>7.7024435999999996</v>
      </c>
      <c r="Y86" s="12">
        <v>10.1660214</v>
      </c>
      <c r="Z86" s="12">
        <v>-2.9026519</v>
      </c>
      <c r="AA86" s="12">
        <v>70.216093299999997</v>
      </c>
      <c r="AB86" s="12">
        <v>16.568855599999999</v>
      </c>
      <c r="AC86" s="12">
        <v>20.765428499999999</v>
      </c>
      <c r="AD86" s="12">
        <v>50.764712799999998</v>
      </c>
      <c r="AE86" s="12">
        <v>58.315090300000001</v>
      </c>
      <c r="AF86" s="12">
        <v>8.9513432999999996</v>
      </c>
      <c r="AG86" s="12">
        <v>56.701216799999997</v>
      </c>
    </row>
    <row r="87" spans="1:33" s="11" customFormat="1" hidden="1" outlineLevel="1" x14ac:dyDescent="0.3">
      <c r="A87" s="11" t="s">
        <v>93</v>
      </c>
      <c r="B87" s="12">
        <v>1.7229988000000001</v>
      </c>
      <c r="C87" s="12">
        <v>104.3666667</v>
      </c>
      <c r="D87" s="12">
        <v>2.2033621999999999</v>
      </c>
      <c r="E87" s="17">
        <v>0</v>
      </c>
      <c r="F87" s="13">
        <v>75.223333299999993</v>
      </c>
      <c r="G87" s="12">
        <v>12.1293986</v>
      </c>
      <c r="H87" s="12">
        <v>7.9173425999999996</v>
      </c>
      <c r="I87" s="12">
        <v>1.6394610999999999</v>
      </c>
      <c r="J87" s="12">
        <v>4.3125197000000002</v>
      </c>
      <c r="K87" s="12">
        <v>3.0740785000000002</v>
      </c>
      <c r="L87" s="12">
        <v>4.2408292999999997</v>
      </c>
      <c r="M87" s="12">
        <v>19.5216523</v>
      </c>
      <c r="N87" s="12">
        <v>7.910914</v>
      </c>
      <c r="O87" s="12">
        <v>11.0873016</v>
      </c>
      <c r="P87" s="7">
        <v>2929.3</v>
      </c>
      <c r="Q87" s="7">
        <v>371.8</v>
      </c>
      <c r="R87" s="7">
        <v>11.3</v>
      </c>
      <c r="S87" s="12">
        <v>6.2</v>
      </c>
      <c r="T87" s="12">
        <v>3</v>
      </c>
      <c r="U87" s="12">
        <v>106.7566951</v>
      </c>
      <c r="V87" s="12">
        <v>118.14333329999999</v>
      </c>
      <c r="W87" s="12">
        <v>-1.5361446000000001</v>
      </c>
      <c r="X87" s="12">
        <v>10.3835709</v>
      </c>
      <c r="Y87" s="12">
        <v>15.3931506</v>
      </c>
      <c r="Z87" s="12">
        <v>-4.7142144999999998</v>
      </c>
      <c r="AA87" s="12">
        <v>70.0774531</v>
      </c>
      <c r="AB87" s="12">
        <v>15.929620399999999</v>
      </c>
      <c r="AC87" s="12">
        <v>21.547677</v>
      </c>
      <c r="AD87" s="12">
        <v>50.6950273</v>
      </c>
      <c r="AE87" s="12">
        <v>58.249777799999997</v>
      </c>
      <c r="AF87" s="12">
        <v>11.743917700000001</v>
      </c>
      <c r="AG87" s="12">
        <v>56.684426199999997</v>
      </c>
    </row>
    <row r="88" spans="1:33" s="11" customFormat="1" hidden="1" outlineLevel="1" x14ac:dyDescent="0.3">
      <c r="A88" s="11" t="s">
        <v>94</v>
      </c>
      <c r="B88" s="12">
        <v>1.7730376000000001</v>
      </c>
      <c r="C88" s="12">
        <v>104.64</v>
      </c>
      <c r="D88" s="12">
        <v>1.9651152000000001</v>
      </c>
      <c r="E88" s="17">
        <v>0</v>
      </c>
      <c r="F88" s="13">
        <v>67.713333300000002</v>
      </c>
      <c r="G88" s="12">
        <v>7.0194489000000004</v>
      </c>
      <c r="H88" s="12">
        <v>8.7220470999999993</v>
      </c>
      <c r="I88" s="12">
        <v>-1.7023258999999999</v>
      </c>
      <c r="J88" s="12">
        <v>3.6240701999999998</v>
      </c>
      <c r="K88" s="12">
        <v>2.9756779999999998</v>
      </c>
      <c r="L88" s="12">
        <v>3.3193355000000002</v>
      </c>
      <c r="M88" s="12">
        <v>11.555871</v>
      </c>
      <c r="N88" s="12">
        <v>9.1411520999999993</v>
      </c>
      <c r="O88" s="12">
        <v>10.546253999999999</v>
      </c>
      <c r="P88" s="7">
        <v>2817.4</v>
      </c>
      <c r="Q88" s="7">
        <v>416.6</v>
      </c>
      <c r="R88" s="7">
        <v>12.9</v>
      </c>
      <c r="S88" s="12">
        <v>6.8</v>
      </c>
      <c r="T88" s="12">
        <v>3</v>
      </c>
      <c r="U88" s="12">
        <v>106.7931931</v>
      </c>
      <c r="V88" s="12">
        <v>118.3522667</v>
      </c>
      <c r="W88" s="12">
        <v>-0.82833480000000004</v>
      </c>
      <c r="X88" s="12">
        <v>10.3687083</v>
      </c>
      <c r="Y88" s="12">
        <v>14.018274099999999</v>
      </c>
      <c r="Z88" s="12">
        <v>-4.6556350999999996</v>
      </c>
      <c r="AA88" s="12">
        <v>69.091920400000006</v>
      </c>
      <c r="AB88" s="12">
        <v>17.085645899999999</v>
      </c>
      <c r="AC88" s="12">
        <v>24.8097581</v>
      </c>
      <c r="AD88" s="12">
        <v>49.568277100000003</v>
      </c>
      <c r="AE88" s="12">
        <v>60.5556014</v>
      </c>
      <c r="AF88" s="12">
        <v>12.506304</v>
      </c>
      <c r="AG88" s="12">
        <v>54.353090600000002</v>
      </c>
    </row>
    <row r="89" spans="1:33" s="11" customFormat="1" hidden="1" outlineLevel="1" x14ac:dyDescent="0.3">
      <c r="A89" s="11" t="s">
        <v>95</v>
      </c>
      <c r="B89" s="12">
        <v>1.9308453999999999</v>
      </c>
      <c r="C89" s="12">
        <v>104.17</v>
      </c>
      <c r="D89" s="12">
        <v>1.5830191</v>
      </c>
      <c r="E89" s="17">
        <v>0</v>
      </c>
      <c r="F89" s="13">
        <v>63.17</v>
      </c>
      <c r="G89" s="12">
        <v>9.3696353000000006</v>
      </c>
      <c r="H89" s="12">
        <v>11.022402599999999</v>
      </c>
      <c r="I89" s="12">
        <v>0.98501689999999997</v>
      </c>
      <c r="J89" s="12">
        <v>2.7056288999999998</v>
      </c>
      <c r="K89" s="12">
        <v>3.8225109000000002</v>
      </c>
      <c r="L89" s="12">
        <v>2.0033721</v>
      </c>
      <c r="M89" s="12">
        <v>6.2792303</v>
      </c>
      <c r="N89" s="12">
        <v>6.9518909000000004</v>
      </c>
      <c r="O89" s="12">
        <v>8.9518526000000005</v>
      </c>
      <c r="P89" s="7">
        <v>2810.5</v>
      </c>
      <c r="Q89" s="7">
        <v>387.1</v>
      </c>
      <c r="R89" s="7">
        <v>12.1</v>
      </c>
      <c r="S89" s="12">
        <v>9.2595048999999996</v>
      </c>
      <c r="T89" s="12">
        <v>3</v>
      </c>
      <c r="U89" s="12">
        <v>107.8151376</v>
      </c>
      <c r="V89" s="12">
        <v>118.23050000000001</v>
      </c>
      <c r="W89" s="12">
        <v>-1.5331664</v>
      </c>
      <c r="X89" s="12">
        <v>9.5917618000000004</v>
      </c>
      <c r="Y89" s="12">
        <v>11.2502575</v>
      </c>
      <c r="Z89" s="12">
        <v>-7.5595089</v>
      </c>
      <c r="AA89" s="12">
        <v>68.799008900000004</v>
      </c>
      <c r="AB89" s="12">
        <v>16.7556525</v>
      </c>
      <c r="AC89" s="12">
        <v>24.864741899999999</v>
      </c>
      <c r="AD89" s="12">
        <v>52.1691821</v>
      </c>
      <c r="AE89" s="12">
        <v>62.588585500000001</v>
      </c>
      <c r="AF89" s="12">
        <v>12.157968199999999</v>
      </c>
      <c r="AG89" s="12">
        <v>51.662999999999997</v>
      </c>
    </row>
    <row r="90" spans="1:33" s="11" customFormat="1" hidden="1" outlineLevel="1" x14ac:dyDescent="0.3">
      <c r="A90" s="11" t="s">
        <v>96</v>
      </c>
      <c r="B90" s="12">
        <v>1.5959346999999999</v>
      </c>
      <c r="C90" s="12">
        <v>105.7566667</v>
      </c>
      <c r="D90" s="12">
        <v>1.6760672000000001</v>
      </c>
      <c r="E90" s="17">
        <v>0</v>
      </c>
      <c r="F90" s="13">
        <v>68.923333299999996</v>
      </c>
      <c r="G90" s="12">
        <v>9.7506611000000003</v>
      </c>
      <c r="H90" s="12">
        <v>4.8073588000000003</v>
      </c>
      <c r="I90" s="12">
        <v>0.52094309999999999</v>
      </c>
      <c r="J90" s="12">
        <v>3.019771</v>
      </c>
      <c r="K90" s="12">
        <v>3.9816631</v>
      </c>
      <c r="L90" s="12">
        <v>1.2545569000000001</v>
      </c>
      <c r="M90" s="12">
        <v>11.2471602</v>
      </c>
      <c r="N90" s="12">
        <v>7.2920306999999998</v>
      </c>
      <c r="O90" s="12">
        <v>10.235271600000001</v>
      </c>
      <c r="P90" s="7">
        <v>2916.5</v>
      </c>
      <c r="Q90" s="7">
        <v>334</v>
      </c>
      <c r="R90" s="7">
        <v>10.3</v>
      </c>
      <c r="S90" s="12">
        <v>9.8861071999999997</v>
      </c>
      <c r="T90" s="12">
        <v>3</v>
      </c>
      <c r="U90" s="12">
        <v>108.891829</v>
      </c>
      <c r="V90" s="12">
        <v>117.9654</v>
      </c>
      <c r="W90" s="12">
        <v>-2.6897788</v>
      </c>
      <c r="X90" s="12">
        <v>9.9939336000000001</v>
      </c>
      <c r="Y90" s="12">
        <v>11.3325271</v>
      </c>
      <c r="Z90" s="12">
        <v>-5.7791721999999996</v>
      </c>
      <c r="AA90" s="12">
        <v>70.126986099999996</v>
      </c>
      <c r="AB90" s="12">
        <v>16.6547938</v>
      </c>
      <c r="AC90" s="12">
        <v>22.572951</v>
      </c>
      <c r="AD90" s="12">
        <v>51.781905500000001</v>
      </c>
      <c r="AE90" s="12">
        <v>61.136628899999998</v>
      </c>
      <c r="AF90" s="12">
        <v>9.2214828999999998</v>
      </c>
      <c r="AG90" s="12">
        <v>51.959865399999998</v>
      </c>
    </row>
    <row r="91" spans="1:33" s="11" customFormat="1" hidden="1" outlineLevel="1" x14ac:dyDescent="0.3">
      <c r="A91" s="11" t="s">
        <v>97</v>
      </c>
      <c r="B91" s="12">
        <v>2.3612953000000001</v>
      </c>
      <c r="C91" s="12">
        <v>105.74</v>
      </c>
      <c r="D91" s="12">
        <v>1.3158734999999999</v>
      </c>
      <c r="E91" s="17">
        <v>0</v>
      </c>
      <c r="F91" s="13">
        <v>61.93</v>
      </c>
      <c r="G91" s="12">
        <v>7.0697758999999998</v>
      </c>
      <c r="H91" s="12">
        <v>5.8149021999999997</v>
      </c>
      <c r="I91" s="12">
        <v>1.1538155000000001</v>
      </c>
      <c r="J91" s="12">
        <v>4.9572227</v>
      </c>
      <c r="K91" s="12">
        <v>3.2557727000000001</v>
      </c>
      <c r="L91" s="12">
        <v>3.6376343000000002</v>
      </c>
      <c r="M91" s="12">
        <v>19.869560100000001</v>
      </c>
      <c r="N91" s="12">
        <v>8.0912061000000008</v>
      </c>
      <c r="O91" s="12">
        <v>10.680057</v>
      </c>
      <c r="P91" s="7">
        <v>2938.7</v>
      </c>
      <c r="Q91" s="7">
        <v>308.39999999999998</v>
      </c>
      <c r="R91" s="7">
        <v>9.5</v>
      </c>
      <c r="S91" s="12">
        <v>10.7689884</v>
      </c>
      <c r="T91" s="12">
        <v>2.5</v>
      </c>
      <c r="U91" s="12">
        <v>108.1801177</v>
      </c>
      <c r="V91" s="12">
        <v>117.7191</v>
      </c>
      <c r="W91" s="12">
        <v>1.9883755999999999</v>
      </c>
      <c r="X91" s="12">
        <v>10.5301703</v>
      </c>
      <c r="Y91" s="12">
        <v>9.8229927999999997</v>
      </c>
      <c r="Z91" s="12">
        <v>-4.9168241000000004</v>
      </c>
      <c r="AA91" s="12">
        <v>68.014997800000003</v>
      </c>
      <c r="AB91" s="12">
        <v>16.043058800000001</v>
      </c>
      <c r="AC91" s="12">
        <v>24.114782399999999</v>
      </c>
      <c r="AD91" s="12">
        <v>51.102952399999999</v>
      </c>
      <c r="AE91" s="12">
        <v>59.275798600000002</v>
      </c>
      <c r="AF91" s="12">
        <v>8.3689157000000005</v>
      </c>
      <c r="AG91" s="12">
        <v>52.7805806</v>
      </c>
    </row>
    <row r="92" spans="1:33" s="11" customFormat="1" hidden="1" outlineLevel="1" x14ac:dyDescent="0.3">
      <c r="A92" s="11" t="s">
        <v>98</v>
      </c>
      <c r="B92" s="12">
        <v>1.3592039</v>
      </c>
      <c r="C92" s="12">
        <v>106.0066667</v>
      </c>
      <c r="D92" s="12">
        <v>1.3060653</v>
      </c>
      <c r="E92" s="17">
        <v>0</v>
      </c>
      <c r="F92" s="13">
        <v>63.41</v>
      </c>
      <c r="G92" s="12">
        <v>14.847600999999999</v>
      </c>
      <c r="H92" s="12">
        <v>11.3652733</v>
      </c>
      <c r="I92" s="12">
        <v>-3.1355062999999999</v>
      </c>
      <c r="J92" s="12">
        <v>6.4109815000000001</v>
      </c>
      <c r="K92" s="12">
        <v>3.6128521999999998</v>
      </c>
      <c r="L92" s="12">
        <v>0.97908620000000002</v>
      </c>
      <c r="M92" s="12">
        <v>29.690870799999999</v>
      </c>
      <c r="N92" s="12">
        <v>8.2411021000000009</v>
      </c>
      <c r="O92" s="12">
        <v>12.5122637</v>
      </c>
      <c r="P92" s="7">
        <v>2938.2</v>
      </c>
      <c r="Q92" s="7">
        <v>314.10000000000002</v>
      </c>
      <c r="R92" s="7">
        <v>9.6999999999999993</v>
      </c>
      <c r="S92" s="12">
        <v>11.8904172</v>
      </c>
      <c r="T92" s="12">
        <v>2.25</v>
      </c>
      <c r="U92" s="12">
        <v>108.30786070000001</v>
      </c>
      <c r="V92" s="12">
        <v>117.53226669999999</v>
      </c>
      <c r="W92" s="12">
        <v>3.3410139000000001</v>
      </c>
      <c r="X92" s="12">
        <v>11.021166900000001</v>
      </c>
      <c r="Y92" s="12">
        <v>10.502886500000001</v>
      </c>
      <c r="Z92" s="12">
        <v>-9.1534463000000006</v>
      </c>
      <c r="AA92" s="12">
        <v>66.226910700000005</v>
      </c>
      <c r="AB92" s="12">
        <v>17.027723999999999</v>
      </c>
      <c r="AC92" s="12">
        <v>28.480861999999998</v>
      </c>
      <c r="AD92" s="12">
        <v>49.272645400000002</v>
      </c>
      <c r="AE92" s="12">
        <v>61.008135299999999</v>
      </c>
      <c r="AF92" s="12">
        <v>9.2451091999999999</v>
      </c>
      <c r="AG92" s="12">
        <v>52.822461400000002</v>
      </c>
    </row>
    <row r="93" spans="1:33" s="11" customFormat="1" hidden="1" outlineLevel="1" x14ac:dyDescent="0.3">
      <c r="A93" s="11" t="s">
        <v>99</v>
      </c>
      <c r="B93" s="12">
        <v>-2.2061226999999999</v>
      </c>
      <c r="C93" s="12">
        <v>105.74666670000001</v>
      </c>
      <c r="D93" s="12">
        <v>1.5135516</v>
      </c>
      <c r="E93" s="17">
        <v>0</v>
      </c>
      <c r="F93" s="13">
        <v>50.44</v>
      </c>
      <c r="G93" s="12">
        <v>14.5863423</v>
      </c>
      <c r="H93" s="12">
        <v>2.0779980999999998</v>
      </c>
      <c r="I93" s="12">
        <v>-3.9772056999999998</v>
      </c>
      <c r="J93" s="12">
        <v>5.2724045999999998</v>
      </c>
      <c r="K93" s="12">
        <v>3.5304972000000001</v>
      </c>
      <c r="L93" s="12">
        <v>8.7662759000000001</v>
      </c>
      <c r="M93" s="12">
        <v>12.6214566</v>
      </c>
      <c r="N93" s="12">
        <v>5.2348211999999998</v>
      </c>
      <c r="O93" s="12">
        <v>7.3263487999999999</v>
      </c>
      <c r="P93" s="7">
        <v>2877.4</v>
      </c>
      <c r="Q93" s="7">
        <v>310.3</v>
      </c>
      <c r="R93" s="7">
        <v>9.6999999999999993</v>
      </c>
      <c r="S93" s="12">
        <v>10.361014600000001</v>
      </c>
      <c r="T93" s="12">
        <v>1.75</v>
      </c>
      <c r="U93" s="12">
        <v>109.7312834</v>
      </c>
      <c r="V93" s="12">
        <v>117.5661667</v>
      </c>
      <c r="W93" s="12">
        <v>4.1944708999999998</v>
      </c>
      <c r="X93" s="12">
        <v>5.7099973000000004</v>
      </c>
      <c r="Y93" s="12">
        <v>7.8775000999999998</v>
      </c>
      <c r="Z93" s="12">
        <v>-8.4864765000000002</v>
      </c>
      <c r="AA93" s="12">
        <v>66.548206199999996</v>
      </c>
      <c r="AB93" s="12">
        <v>17.3342837</v>
      </c>
      <c r="AC93" s="12">
        <v>27.2084355</v>
      </c>
      <c r="AD93" s="12">
        <v>50.700122</v>
      </c>
      <c r="AE93" s="12">
        <v>61.791047399999997</v>
      </c>
      <c r="AF93" s="12">
        <v>9.0500094999999998</v>
      </c>
      <c r="AG93" s="12">
        <v>52.780641299999999</v>
      </c>
    </row>
    <row r="94" spans="1:33" s="11" customFormat="1" hidden="1" outlineLevel="1" x14ac:dyDescent="0.3">
      <c r="A94" s="11" t="s">
        <v>100</v>
      </c>
      <c r="B94" s="12">
        <v>-13.380244299999999</v>
      </c>
      <c r="C94" s="12">
        <v>106.50333329999999</v>
      </c>
      <c r="D94" s="12">
        <v>0.70602319999999996</v>
      </c>
      <c r="E94" s="17">
        <v>0</v>
      </c>
      <c r="F94" s="13">
        <v>29.343333300000001</v>
      </c>
      <c r="G94" s="12">
        <v>34.548738700000001</v>
      </c>
      <c r="H94" s="12">
        <v>-13.864582499999999</v>
      </c>
      <c r="I94" s="12">
        <v>-20.121410399999998</v>
      </c>
      <c r="J94" s="12">
        <v>-6.2177658999999998</v>
      </c>
      <c r="K94" s="12">
        <v>-7.8574301000000002</v>
      </c>
      <c r="L94" s="12">
        <v>5.4040834999999996</v>
      </c>
      <c r="M94" s="12">
        <v>-17.7544094</v>
      </c>
      <c r="N94" s="12">
        <v>-18.857790999999999</v>
      </c>
      <c r="O94" s="12">
        <v>-19.686537300000001</v>
      </c>
      <c r="P94" s="7">
        <v>2844.2</v>
      </c>
      <c r="Q94" s="7">
        <v>222.9</v>
      </c>
      <c r="R94" s="7">
        <v>7.3</v>
      </c>
      <c r="S94" s="12">
        <v>8.6568035999999999</v>
      </c>
      <c r="T94" s="12">
        <v>1.25</v>
      </c>
      <c r="U94" s="12">
        <v>109.9685204</v>
      </c>
      <c r="V94" s="12">
        <v>117.5819667</v>
      </c>
      <c r="W94" s="12">
        <v>-7.7088450999999996</v>
      </c>
      <c r="X94" s="12">
        <v>-19.927925999999999</v>
      </c>
      <c r="Y94" s="12">
        <v>-20.773872900000001</v>
      </c>
      <c r="Z94" s="12">
        <v>-2.7475453999999999</v>
      </c>
      <c r="AA94" s="12">
        <v>67.741812899999999</v>
      </c>
      <c r="AB94" s="12">
        <v>18.8852467</v>
      </c>
      <c r="AC94" s="12">
        <v>20.257066099999999</v>
      </c>
      <c r="AD94" s="12">
        <v>43.502130100000002</v>
      </c>
      <c r="AE94" s="12">
        <v>50.386255900000002</v>
      </c>
      <c r="AF94" s="12">
        <v>12.5977961</v>
      </c>
      <c r="AG94" s="12">
        <v>58.160240000000002</v>
      </c>
    </row>
    <row r="95" spans="1:33" s="11" customFormat="1" hidden="1" outlineLevel="1" x14ac:dyDescent="0.3">
      <c r="A95" s="11" t="s">
        <v>101</v>
      </c>
      <c r="B95" s="12">
        <v>-3.6984297000000002</v>
      </c>
      <c r="C95" s="12">
        <v>106.27</v>
      </c>
      <c r="D95" s="12">
        <v>0.50122940000000005</v>
      </c>
      <c r="E95" s="17">
        <v>0</v>
      </c>
      <c r="F95" s="13">
        <v>42.963333300000002</v>
      </c>
      <c r="G95" s="12">
        <v>15.638952</v>
      </c>
      <c r="H95" s="12">
        <v>3.4260351999999998</v>
      </c>
      <c r="I95" s="12">
        <v>-3.5814664</v>
      </c>
      <c r="J95" s="12">
        <v>-1.3005081000000001</v>
      </c>
      <c r="K95" s="12">
        <v>-0.78975410000000001</v>
      </c>
      <c r="L95" s="12">
        <v>-3.1478709999999999</v>
      </c>
      <c r="M95" s="12">
        <v>6.7918285999999997</v>
      </c>
      <c r="N95" s="12">
        <v>-6.6714766000000001</v>
      </c>
      <c r="O95" s="12">
        <v>-2.7109893999999999</v>
      </c>
      <c r="P95" s="7">
        <v>2936.6</v>
      </c>
      <c r="Q95" s="7">
        <v>292</v>
      </c>
      <c r="R95" s="7">
        <v>9</v>
      </c>
      <c r="S95" s="12">
        <v>9.5331223999999999</v>
      </c>
      <c r="T95" s="12">
        <v>1.25</v>
      </c>
      <c r="U95" s="12">
        <v>110.2787536</v>
      </c>
      <c r="V95" s="12">
        <v>117.5851</v>
      </c>
      <c r="W95" s="12">
        <v>3.3593282000000002</v>
      </c>
      <c r="X95" s="12">
        <v>-7.4405922999999996</v>
      </c>
      <c r="Y95" s="12">
        <v>-6.3957192999999997</v>
      </c>
      <c r="Z95" s="12">
        <v>-3.8869468999999999</v>
      </c>
      <c r="AA95" s="12">
        <v>67.784661</v>
      </c>
      <c r="AB95" s="12">
        <v>16.271964499999999</v>
      </c>
      <c r="AC95" s="12">
        <v>23.597886299999999</v>
      </c>
      <c r="AD95" s="12">
        <v>47.363337399999999</v>
      </c>
      <c r="AE95" s="12">
        <v>55.017856199999997</v>
      </c>
      <c r="AF95" s="12">
        <v>14.301381299999999</v>
      </c>
      <c r="AG95" s="12">
        <v>57.690384399999999</v>
      </c>
    </row>
    <row r="96" spans="1:33" s="11" customFormat="1" hidden="1" outlineLevel="1" x14ac:dyDescent="0.3">
      <c r="A96" s="11" t="s">
        <v>102</v>
      </c>
      <c r="B96" s="12">
        <v>-3.2236577</v>
      </c>
      <c r="C96" s="12">
        <v>106.2833333</v>
      </c>
      <c r="D96" s="12">
        <v>0.26098979999999999</v>
      </c>
      <c r="E96" s="17">
        <v>0</v>
      </c>
      <c r="F96" s="13">
        <v>44.29</v>
      </c>
      <c r="G96" s="12">
        <v>8.6063232999999997</v>
      </c>
      <c r="H96" s="12">
        <v>3.5705239</v>
      </c>
      <c r="I96" s="12">
        <v>-5.4788924999999997</v>
      </c>
      <c r="J96" s="12">
        <v>-0.95915760000000005</v>
      </c>
      <c r="K96" s="12">
        <v>-1.8967896</v>
      </c>
      <c r="L96" s="12">
        <v>0.88480990000000004</v>
      </c>
      <c r="M96" s="12">
        <v>-4.2536125</v>
      </c>
      <c r="N96" s="12">
        <v>3.8807912999999998</v>
      </c>
      <c r="O96" s="12">
        <v>0.92425469999999998</v>
      </c>
      <c r="P96" s="7">
        <v>2920.9</v>
      </c>
      <c r="Q96" s="7">
        <v>321</v>
      </c>
      <c r="R96" s="7">
        <v>9.9</v>
      </c>
      <c r="S96" s="12">
        <v>9.2807071000000008</v>
      </c>
      <c r="T96" s="12">
        <v>1</v>
      </c>
      <c r="U96" s="12">
        <v>110.0415165</v>
      </c>
      <c r="V96" s="12">
        <v>117.57716670000001</v>
      </c>
      <c r="W96" s="12">
        <v>1.6722408</v>
      </c>
      <c r="X96" s="12">
        <v>3.8584239</v>
      </c>
      <c r="Y96" s="12">
        <v>-2.6763691999999999</v>
      </c>
      <c r="Z96" s="12">
        <v>-1.6886767</v>
      </c>
      <c r="AA96" s="12">
        <v>64.591933400000002</v>
      </c>
      <c r="AB96" s="12">
        <v>17.5489481</v>
      </c>
      <c r="AC96" s="12">
        <v>25.466211399999999</v>
      </c>
      <c r="AD96" s="12">
        <v>50.894898599999998</v>
      </c>
      <c r="AE96" s="12">
        <v>58.501991400000001</v>
      </c>
      <c r="AF96" s="12">
        <v>11.8483319</v>
      </c>
      <c r="AG96" s="12">
        <v>57.7939218</v>
      </c>
    </row>
    <row r="97" spans="1:33" s="11" customFormat="1" hidden="1" outlineLevel="1" x14ac:dyDescent="0.3">
      <c r="A97" s="11" t="s">
        <v>103</v>
      </c>
      <c r="B97" s="12">
        <v>-0.1765746</v>
      </c>
      <c r="C97" s="12">
        <v>107.21</v>
      </c>
      <c r="D97" s="12">
        <v>1.3838102999999999</v>
      </c>
      <c r="E97" s="17">
        <v>0</v>
      </c>
      <c r="F97" s="13">
        <v>60.82</v>
      </c>
      <c r="G97" s="12">
        <v>3.0615766999999998</v>
      </c>
      <c r="H97" s="12">
        <v>10.711849600000001</v>
      </c>
      <c r="I97" s="12">
        <v>-0.92984310000000003</v>
      </c>
      <c r="J97" s="12">
        <v>1.8767243</v>
      </c>
      <c r="K97" s="12">
        <v>-1.8753820999999999</v>
      </c>
      <c r="L97" s="12">
        <v>1.649114</v>
      </c>
      <c r="M97" s="12">
        <v>-10.256799600000001</v>
      </c>
      <c r="N97" s="12">
        <v>9.4913726</v>
      </c>
      <c r="O97" s="12">
        <v>-1.2910094000000001</v>
      </c>
      <c r="P97" s="7">
        <v>2722.2</v>
      </c>
      <c r="Q97" s="7">
        <v>399.4</v>
      </c>
      <c r="R97" s="7">
        <v>12.8</v>
      </c>
      <c r="S97" s="12">
        <v>7.0777856000000003</v>
      </c>
      <c r="T97" s="12">
        <v>1</v>
      </c>
      <c r="U97" s="12">
        <v>111.24595100000001</v>
      </c>
      <c r="V97" s="12">
        <v>117.5783333</v>
      </c>
      <c r="W97" s="12">
        <v>4.1171088999999998</v>
      </c>
      <c r="X97" s="12">
        <v>12.5493042</v>
      </c>
      <c r="Y97" s="12">
        <v>-1.0749318000000001</v>
      </c>
      <c r="Z97" s="12">
        <v>0.34944170000000002</v>
      </c>
      <c r="AA97" s="12">
        <v>63.943118200000001</v>
      </c>
      <c r="AB97" s="12">
        <v>17.829332699999998</v>
      </c>
      <c r="AC97" s="12">
        <v>21.838142600000001</v>
      </c>
      <c r="AD97" s="12">
        <v>55.169771900000001</v>
      </c>
      <c r="AE97" s="12">
        <v>58.7803653</v>
      </c>
      <c r="AF97" s="12">
        <v>11.918730399999999</v>
      </c>
      <c r="AG97" s="12">
        <v>53.468315099999998</v>
      </c>
    </row>
    <row r="98" spans="1:33" s="11" customFormat="1" hidden="1" outlineLevel="1" x14ac:dyDescent="0.3">
      <c r="A98" s="11" t="s">
        <v>104</v>
      </c>
      <c r="B98" s="12">
        <v>14.630134099999999</v>
      </c>
      <c r="C98" s="12">
        <v>108.82</v>
      </c>
      <c r="D98" s="12">
        <v>2.1752058000000001</v>
      </c>
      <c r="E98" s="17">
        <v>0</v>
      </c>
      <c r="F98" s="13">
        <v>68.833333300000007</v>
      </c>
      <c r="G98" s="12">
        <v>-2.2032308</v>
      </c>
      <c r="H98" s="12">
        <v>45.352450699999999</v>
      </c>
      <c r="I98" s="12">
        <v>-1.7015821</v>
      </c>
      <c r="J98" s="12">
        <v>13.9417028</v>
      </c>
      <c r="K98" s="12">
        <v>17.694339800000002</v>
      </c>
      <c r="L98" s="12">
        <v>-1.4213340999999999</v>
      </c>
      <c r="M98" s="12">
        <v>37.915827100000001</v>
      </c>
      <c r="N98" s="12">
        <v>37.3576835</v>
      </c>
      <c r="O98" s="12">
        <v>42.4091132</v>
      </c>
      <c r="P98" s="7">
        <v>2831.1</v>
      </c>
      <c r="Q98" s="7">
        <v>352</v>
      </c>
      <c r="R98" s="7">
        <v>11.1</v>
      </c>
      <c r="S98" s="12">
        <v>9.6011763000000006</v>
      </c>
      <c r="T98" s="12">
        <v>1</v>
      </c>
      <c r="U98" s="12">
        <v>113.5088279</v>
      </c>
      <c r="V98" s="12">
        <v>117.574</v>
      </c>
      <c r="W98" s="12">
        <v>16.339434199999999</v>
      </c>
      <c r="X98" s="12">
        <v>47.2236367</v>
      </c>
      <c r="Y98" s="12">
        <v>49.479289799999997</v>
      </c>
      <c r="Z98" s="12">
        <v>-5.2411640999999998</v>
      </c>
      <c r="AA98" s="12">
        <v>68.895473800000005</v>
      </c>
      <c r="AB98" s="12">
        <v>16.501072499999999</v>
      </c>
      <c r="AC98" s="12">
        <v>23.924994300000002</v>
      </c>
      <c r="AD98" s="12">
        <v>53.698283699999998</v>
      </c>
      <c r="AE98" s="12">
        <v>63.019824200000002</v>
      </c>
      <c r="AF98" s="12">
        <v>10.6082865</v>
      </c>
      <c r="AG98" s="12">
        <v>53.636920000000003</v>
      </c>
    </row>
    <row r="99" spans="1:33" s="11" customFormat="1" hidden="1" outlineLevel="1" x14ac:dyDescent="0.3">
      <c r="A99" s="11" t="s">
        <v>105</v>
      </c>
      <c r="B99" s="12">
        <v>4.8925850000000004</v>
      </c>
      <c r="C99" s="12">
        <v>109.55666669999999</v>
      </c>
      <c r="D99" s="12">
        <v>3.0927511999999999</v>
      </c>
      <c r="E99" s="17">
        <v>0</v>
      </c>
      <c r="F99" s="13">
        <v>73.47</v>
      </c>
      <c r="G99" s="12">
        <v>11.6572218</v>
      </c>
      <c r="H99" s="12">
        <v>16.304281799999998</v>
      </c>
      <c r="I99" s="12">
        <v>-1.7982423999999999</v>
      </c>
      <c r="J99" s="12">
        <v>7.9437058</v>
      </c>
      <c r="K99" s="12">
        <v>8.3957823000000005</v>
      </c>
      <c r="L99" s="12">
        <v>9.3062201000000009</v>
      </c>
      <c r="M99" s="12">
        <v>7.4804594</v>
      </c>
      <c r="N99" s="12">
        <v>23.449058600000001</v>
      </c>
      <c r="O99" s="12">
        <v>21.6828784</v>
      </c>
      <c r="P99" s="7">
        <v>2924.5</v>
      </c>
      <c r="Q99" s="7">
        <v>341.5</v>
      </c>
      <c r="R99" s="7">
        <v>10.5</v>
      </c>
      <c r="S99" s="12">
        <v>8.9598753000000002</v>
      </c>
      <c r="T99" s="12">
        <v>1</v>
      </c>
      <c r="U99" s="12">
        <v>115.1694877</v>
      </c>
      <c r="V99" s="12">
        <v>117.56573330000001</v>
      </c>
      <c r="W99" s="12">
        <v>2.5246662999999998</v>
      </c>
      <c r="X99" s="12">
        <v>34.026711300000002</v>
      </c>
      <c r="Y99" s="12">
        <v>33.063511699999999</v>
      </c>
      <c r="Z99" s="12">
        <v>-4.8119421999999998</v>
      </c>
      <c r="AA99" s="12">
        <v>67.218827000000005</v>
      </c>
      <c r="AB99" s="12">
        <v>16.283355700000001</v>
      </c>
      <c r="AC99" s="12">
        <v>24.923555</v>
      </c>
      <c r="AD99" s="12">
        <v>55.226638199999996</v>
      </c>
      <c r="AE99" s="12">
        <v>63.652375900000003</v>
      </c>
      <c r="AF99" s="12">
        <v>8.9203571999999998</v>
      </c>
      <c r="AG99" s="12">
        <v>56.106701200000003</v>
      </c>
    </row>
    <row r="100" spans="1:33" s="11" customFormat="1" hidden="1" outlineLevel="1" x14ac:dyDescent="0.3">
      <c r="A100" s="11" t="s">
        <v>106</v>
      </c>
      <c r="B100" s="12">
        <v>5.3916862999999999</v>
      </c>
      <c r="C100" s="12">
        <v>111.5333333</v>
      </c>
      <c r="D100" s="12">
        <v>4.9396268000000001</v>
      </c>
      <c r="E100" s="17">
        <v>0</v>
      </c>
      <c r="F100" s="13">
        <v>79.586666699999995</v>
      </c>
      <c r="G100" s="12">
        <v>26.7810405</v>
      </c>
      <c r="H100" s="12">
        <v>13.428555599999999</v>
      </c>
      <c r="I100" s="12">
        <v>-10.9458102</v>
      </c>
      <c r="J100" s="12">
        <v>7.4679791</v>
      </c>
      <c r="K100" s="12">
        <v>7.4786824000000003</v>
      </c>
      <c r="L100" s="12">
        <v>7.1628676999999996</v>
      </c>
      <c r="M100" s="12">
        <v>10.8270193</v>
      </c>
      <c r="N100" s="12">
        <v>15.096377800000001</v>
      </c>
      <c r="O100" s="12">
        <v>15.3479852</v>
      </c>
      <c r="P100" s="7">
        <v>2917.4</v>
      </c>
      <c r="Q100" s="7">
        <v>316.7</v>
      </c>
      <c r="R100" s="7">
        <v>9.8000000000000007</v>
      </c>
      <c r="S100" s="12">
        <v>11.8083639</v>
      </c>
      <c r="T100" s="12">
        <v>1</v>
      </c>
      <c r="U100" s="12">
        <v>118.0710799</v>
      </c>
      <c r="V100" s="12">
        <v>117.57603330000001</v>
      </c>
      <c r="W100" s="12">
        <v>3.7828946999999999</v>
      </c>
      <c r="X100" s="12">
        <v>26.995548599999999</v>
      </c>
      <c r="Y100" s="12">
        <v>30.3196902</v>
      </c>
      <c r="Z100" s="12">
        <v>-6.4341160000000004</v>
      </c>
      <c r="AA100" s="12">
        <v>63.862698199999997</v>
      </c>
      <c r="AB100" s="12">
        <v>16.884732700000001</v>
      </c>
      <c r="AC100" s="12">
        <v>29.098289600000001</v>
      </c>
      <c r="AD100" s="12">
        <v>55.402311500000003</v>
      </c>
      <c r="AE100" s="12">
        <v>65.248037699999998</v>
      </c>
      <c r="AF100" s="12">
        <v>10.5562054</v>
      </c>
      <c r="AG100" s="12">
        <v>57.107343499999999</v>
      </c>
    </row>
    <row r="101" spans="1:33" hidden="1" outlineLevel="1" x14ac:dyDescent="0.3">
      <c r="A101" t="s">
        <v>108</v>
      </c>
      <c r="B101" s="12">
        <v>5.7284746999999996</v>
      </c>
      <c r="C101" s="12">
        <v>114.2266667</v>
      </c>
      <c r="D101" s="12">
        <v>6.5447875</v>
      </c>
      <c r="E101" s="17">
        <v>0</v>
      </c>
      <c r="F101" s="12">
        <v>100.2966667</v>
      </c>
      <c r="G101" s="12">
        <v>25.861359400000001</v>
      </c>
      <c r="H101" s="12">
        <v>15.207940600000001</v>
      </c>
      <c r="I101" s="12">
        <v>-5.2030371000000004</v>
      </c>
      <c r="J101" s="12">
        <v>4.4544867999999997</v>
      </c>
      <c r="K101" s="12">
        <v>7.0085628</v>
      </c>
      <c r="L101" s="12">
        <v>2.5613342000000001</v>
      </c>
      <c r="M101" s="12">
        <v>36.197954500000002</v>
      </c>
      <c r="N101" s="12">
        <v>18.4997066</v>
      </c>
      <c r="O101" s="12">
        <v>32.936661000000001</v>
      </c>
      <c r="P101" s="7">
        <v>2869.7</v>
      </c>
      <c r="Q101" s="7">
        <v>341.4</v>
      </c>
      <c r="R101" s="7">
        <v>10.6</v>
      </c>
      <c r="S101" s="12">
        <v>13.406337499999999</v>
      </c>
      <c r="T101" s="12">
        <v>1</v>
      </c>
      <c r="U101" s="12">
        <v>120.9361741</v>
      </c>
      <c r="V101" s="12">
        <v>117.6172</v>
      </c>
      <c r="W101" s="12">
        <v>2.1382542</v>
      </c>
      <c r="X101" s="12">
        <v>32.439388399999999</v>
      </c>
      <c r="Y101" s="12">
        <v>53.211154000000001</v>
      </c>
      <c r="Z101" s="12">
        <v>-11.816417100000001</v>
      </c>
      <c r="AA101" s="12">
        <v>66.520974699999996</v>
      </c>
      <c r="AB101" s="12">
        <v>17.615718300000001</v>
      </c>
      <c r="AC101" s="12">
        <v>31.1994024</v>
      </c>
      <c r="AD101" s="12">
        <v>65.291490100000004</v>
      </c>
      <c r="AE101" s="12">
        <v>80.627585499999995</v>
      </c>
      <c r="AF101" s="12">
        <v>10.5377493</v>
      </c>
      <c r="AG101" s="12">
        <v>51.281520899999997</v>
      </c>
    </row>
    <row r="102" spans="1:33" outlineLevel="1" collapsed="1" x14ac:dyDescent="0.3">
      <c r="A102" t="s">
        <v>109</v>
      </c>
      <c r="B102" s="12">
        <v>4.2015890999999996</v>
      </c>
      <c r="C102" s="12">
        <v>118.4333333</v>
      </c>
      <c r="D102" s="12">
        <v>8.8341604</v>
      </c>
      <c r="E102" s="17">
        <v>0</v>
      </c>
      <c r="F102" s="12">
        <v>113.5433333</v>
      </c>
      <c r="G102" s="12">
        <v>4.6545500999999998</v>
      </c>
      <c r="H102" s="12">
        <v>17.019524100000002</v>
      </c>
      <c r="I102" s="12">
        <v>3.3040894999999999</v>
      </c>
      <c r="J102" s="12">
        <v>4.0125764000000004</v>
      </c>
      <c r="K102" s="12">
        <v>4.0571941000000002</v>
      </c>
      <c r="L102" s="12">
        <v>4.9915789000000004</v>
      </c>
      <c r="M102" s="12">
        <v>12.095359800000001</v>
      </c>
      <c r="N102" s="12">
        <v>20.454096499999999</v>
      </c>
      <c r="O102" s="12">
        <v>21.181379</v>
      </c>
      <c r="P102" s="7">
        <v>2953.5</v>
      </c>
      <c r="Q102" s="7">
        <v>287.2</v>
      </c>
      <c r="R102" s="7">
        <v>8.9</v>
      </c>
      <c r="S102" s="12">
        <v>13.5963136</v>
      </c>
      <c r="T102" s="12">
        <v>2.5</v>
      </c>
      <c r="U102" s="12">
        <v>125.589671</v>
      </c>
      <c r="V102" s="12">
        <v>117.5714667</v>
      </c>
      <c r="W102" s="12">
        <v>4.4336384999999998</v>
      </c>
      <c r="X102" s="12">
        <v>35.785913100000002</v>
      </c>
      <c r="Y102" s="12">
        <v>42.863488699999998</v>
      </c>
      <c r="Z102" s="12">
        <v>-9.0764811999999999</v>
      </c>
      <c r="AA102" s="12">
        <v>69.663591199999999</v>
      </c>
      <c r="AB102" s="12">
        <v>16.405549600000001</v>
      </c>
      <c r="AC102" s="12">
        <v>28.870381500000001</v>
      </c>
      <c r="AD102" s="12">
        <v>63.450640200000002</v>
      </c>
      <c r="AE102" s="12">
        <v>78.390162500000002</v>
      </c>
      <c r="AF102" s="12">
        <v>9.5648163000000004</v>
      </c>
      <c r="AG102" s="12">
        <v>52.330728999999998</v>
      </c>
    </row>
    <row r="103" spans="1:33" ht="13.8" customHeight="1" outlineLevel="1" x14ac:dyDescent="0.3">
      <c r="A103" t="s">
        <v>110</v>
      </c>
      <c r="B103" s="12">
        <v>2.5907767000000002</v>
      </c>
      <c r="C103" s="12">
        <v>120.83</v>
      </c>
      <c r="D103" s="12">
        <v>10.289956500000001</v>
      </c>
      <c r="E103" s="17">
        <v>0.75</v>
      </c>
      <c r="F103" s="12">
        <v>100.7133333</v>
      </c>
      <c r="G103" s="12">
        <v>1.490837</v>
      </c>
      <c r="H103" s="12">
        <v>14.070307</v>
      </c>
      <c r="I103" s="12">
        <v>3.0643904000000002</v>
      </c>
      <c r="J103" s="12">
        <v>1.2451658000000001</v>
      </c>
      <c r="K103" s="12">
        <v>3.4386760000000001</v>
      </c>
      <c r="L103" s="12">
        <v>-3.8276979999999998</v>
      </c>
      <c r="M103" s="12">
        <v>-13.1435458</v>
      </c>
      <c r="N103" s="12">
        <v>16.1966207</v>
      </c>
      <c r="O103" s="12">
        <v>9.4654130999999992</v>
      </c>
      <c r="P103" s="7">
        <v>2942</v>
      </c>
      <c r="Q103" s="7">
        <v>288.89999999999998</v>
      </c>
      <c r="R103" s="7">
        <v>8.9</v>
      </c>
      <c r="S103" s="12">
        <v>14.8462639</v>
      </c>
      <c r="T103" s="12">
        <v>3.5</v>
      </c>
      <c r="U103" s="12">
        <v>130.48040510000001</v>
      </c>
      <c r="V103" s="12">
        <v>117.3578</v>
      </c>
      <c r="W103" s="12">
        <v>-0.62270029999999998</v>
      </c>
      <c r="X103" s="12">
        <v>31.796302900000001</v>
      </c>
      <c r="Y103" s="12">
        <v>28.5996506</v>
      </c>
      <c r="Z103" s="12">
        <v>-2.6020577999999999</v>
      </c>
      <c r="AA103" s="12">
        <v>70.421724900000001</v>
      </c>
      <c r="AB103" s="12">
        <v>15.0744075</v>
      </c>
      <c r="AC103" s="12">
        <v>22.4690662</v>
      </c>
      <c r="AD103" s="12">
        <v>64.391936900000005</v>
      </c>
      <c r="AE103" s="12">
        <v>72.357135499999998</v>
      </c>
      <c r="AF103" s="12">
        <v>8.0813573000000005</v>
      </c>
      <c r="AG103" s="12">
        <v>54.100186000000001</v>
      </c>
    </row>
    <row r="104" spans="1:33" outlineLevel="1" x14ac:dyDescent="0.3">
      <c r="A104" t="s">
        <v>111</v>
      </c>
      <c r="B104" s="12">
        <v>1.4006327999999999</v>
      </c>
      <c r="C104" s="12">
        <v>123.8</v>
      </c>
      <c r="D104" s="12">
        <v>10.9982068</v>
      </c>
      <c r="E104" s="17">
        <v>1.9166666999999999</v>
      </c>
      <c r="F104" s="12">
        <v>88.556666699999994</v>
      </c>
      <c r="G104" s="12">
        <v>16.681598300000001</v>
      </c>
      <c r="H104" s="12">
        <v>11.7367077</v>
      </c>
      <c r="I104" s="12">
        <v>-13.1560904</v>
      </c>
      <c r="J104" s="12">
        <v>0.81304240000000005</v>
      </c>
      <c r="K104" s="12">
        <v>1.5968815000000001</v>
      </c>
      <c r="L104" s="12">
        <v>-1.8403314</v>
      </c>
      <c r="M104" s="12">
        <v>-12.006925499999999</v>
      </c>
      <c r="N104" s="12">
        <v>12.0532811</v>
      </c>
      <c r="O104" s="12">
        <v>5.0603521999999996</v>
      </c>
      <c r="P104" s="7">
        <v>2888.7</v>
      </c>
      <c r="Q104" s="7">
        <v>291.10000000000002</v>
      </c>
      <c r="R104" s="7">
        <v>9.1999999999999993</v>
      </c>
      <c r="S104" s="12">
        <v>13.4129019</v>
      </c>
      <c r="T104" s="12">
        <v>5</v>
      </c>
      <c r="U104" s="12">
        <v>135.86386239999999</v>
      </c>
      <c r="V104" s="12">
        <v>117.3104</v>
      </c>
      <c r="W104" s="12">
        <v>0.7131537</v>
      </c>
      <c r="X104" s="12">
        <v>28.176206700000002</v>
      </c>
      <c r="Y104" s="12">
        <v>20.374860000000002</v>
      </c>
      <c r="Z104" s="12">
        <v>-5.0018599000000004</v>
      </c>
      <c r="AA104" s="12">
        <v>66.387853800000002</v>
      </c>
      <c r="AB104" s="12">
        <v>15.915927399999999</v>
      </c>
      <c r="AC104" s="12">
        <v>24.554275700000002</v>
      </c>
      <c r="AD104" s="12">
        <v>62.556218000000001</v>
      </c>
      <c r="AE104" s="12">
        <v>69.414274899999995</v>
      </c>
      <c r="AF104" s="12">
        <v>6.0618961000000002</v>
      </c>
      <c r="AG104" s="12">
        <v>55.593291600000001</v>
      </c>
    </row>
    <row r="105" spans="1:33" x14ac:dyDescent="0.3">
      <c r="A105" t="s">
        <v>112</v>
      </c>
      <c r="B105" s="12">
        <v>1.3448477999999999</v>
      </c>
      <c r="C105" s="12">
        <v>124.9666667</v>
      </c>
      <c r="D105" s="12">
        <v>9.4023579000000002</v>
      </c>
      <c r="E105" s="17">
        <v>3</v>
      </c>
      <c r="F105" s="12">
        <v>81.173333299999996</v>
      </c>
      <c r="G105" s="12">
        <v>4.4073342999999996</v>
      </c>
      <c r="H105" s="12">
        <v>12.875103899999999</v>
      </c>
      <c r="I105" s="12">
        <v>-1.3858538</v>
      </c>
      <c r="J105" s="12">
        <v>0.90382720000000005</v>
      </c>
      <c r="K105" s="12">
        <v>-8.4356399999999998E-2</v>
      </c>
      <c r="L105" s="12">
        <v>-5.1228803999999997</v>
      </c>
      <c r="M105" s="12">
        <v>-14.5442009</v>
      </c>
      <c r="N105" s="12">
        <v>8.2657386000000006</v>
      </c>
      <c r="O105" s="12">
        <v>-1.5816827</v>
      </c>
      <c r="P105" s="7">
        <v>2837.6</v>
      </c>
      <c r="Q105" s="7">
        <v>317.2</v>
      </c>
      <c r="R105" s="7">
        <v>10.1</v>
      </c>
      <c r="S105" s="12">
        <v>15.4534474</v>
      </c>
      <c r="T105" s="12">
        <v>5.75</v>
      </c>
      <c r="U105" s="12">
        <v>140.29837130000001</v>
      </c>
      <c r="V105" s="12">
        <v>117.3348333</v>
      </c>
      <c r="W105" s="12">
        <v>2.4376254999999998</v>
      </c>
      <c r="X105" s="12">
        <v>20.511472999999999</v>
      </c>
      <c r="Y105" s="12">
        <v>5.5005077</v>
      </c>
      <c r="Z105" s="12">
        <v>-1.0335974999999999</v>
      </c>
      <c r="AA105" s="12">
        <v>65.512034400000005</v>
      </c>
      <c r="AB105" s="12">
        <v>15.7881228</v>
      </c>
      <c r="AC105" s="12">
        <v>24.0735937</v>
      </c>
      <c r="AD105" s="12">
        <v>66.864450700000006</v>
      </c>
      <c r="AE105" s="12">
        <v>72.238195899999994</v>
      </c>
      <c r="AF105" s="12">
        <v>4.1935212000000002</v>
      </c>
      <c r="AG105" s="12">
        <v>51.376860600000001</v>
      </c>
    </row>
    <row r="106" spans="1:33" x14ac:dyDescent="0.3">
      <c r="A106" t="s">
        <v>113</v>
      </c>
      <c r="B106" s="12">
        <v>0.20197219999999999</v>
      </c>
      <c r="C106" s="12">
        <v>126.9766667</v>
      </c>
      <c r="D106" s="12">
        <v>7.2136222999999999</v>
      </c>
      <c r="E106" s="17">
        <v>3.75</v>
      </c>
      <c r="F106" s="12">
        <v>78.316666699999999</v>
      </c>
      <c r="G106" s="12">
        <v>11.1032975</v>
      </c>
      <c r="H106" s="12">
        <v>11.754951800000001</v>
      </c>
      <c r="I106" s="12">
        <v>3.4517310999999999</v>
      </c>
      <c r="J106" s="12">
        <v>1.6337358</v>
      </c>
      <c r="K106" s="12">
        <v>-0.5492861</v>
      </c>
      <c r="L106" s="12">
        <v>-1.5837973000000001</v>
      </c>
      <c r="M106" s="12">
        <v>-13.266042499999999</v>
      </c>
      <c r="N106" s="12">
        <v>2.4200135</v>
      </c>
      <c r="O106" s="12">
        <v>-5.4853014</v>
      </c>
      <c r="P106" s="7">
        <v>2876.6</v>
      </c>
      <c r="Q106" s="7">
        <v>306.60000000000002</v>
      </c>
      <c r="R106" s="7">
        <v>9.6</v>
      </c>
      <c r="S106" s="12">
        <v>15.364332900000001</v>
      </c>
      <c r="T106" s="12">
        <v>6.25</v>
      </c>
      <c r="U106" s="12">
        <v>143.85692779999999</v>
      </c>
      <c r="V106" s="12">
        <v>117.2795333</v>
      </c>
      <c r="W106" s="12">
        <v>0.79430299999999998</v>
      </c>
      <c r="X106" s="12">
        <v>9.2811056999999995</v>
      </c>
      <c r="Y106" s="12">
        <v>-6.1681721999999999</v>
      </c>
      <c r="Z106" s="12">
        <v>-2.3328321999999999</v>
      </c>
      <c r="AA106" s="12">
        <v>68.590179699999993</v>
      </c>
      <c r="AB106" s="12">
        <v>15.7292424</v>
      </c>
      <c r="AC106" s="12">
        <v>19.449387699999999</v>
      </c>
      <c r="AD106" s="12">
        <v>59.934941299999998</v>
      </c>
      <c r="AE106" s="12">
        <v>63.703746099999996</v>
      </c>
      <c r="AF106" s="12">
        <v>2.6008301</v>
      </c>
      <c r="AG106" s="12">
        <v>52.036835500000002</v>
      </c>
    </row>
    <row r="107" spans="1:33" x14ac:dyDescent="0.3">
      <c r="A107" t="s">
        <v>114</v>
      </c>
      <c r="B107" s="12">
        <v>-0.19771859999999999</v>
      </c>
      <c r="C107" s="12">
        <v>127.6866667</v>
      </c>
      <c r="D107" s="12">
        <v>5.6746392999999999</v>
      </c>
      <c r="E107" s="17">
        <v>4.25</v>
      </c>
      <c r="F107" s="12">
        <v>86.66</v>
      </c>
      <c r="G107" s="12">
        <v>20.115393399999999</v>
      </c>
      <c r="H107" s="12">
        <v>7.6842021999999996</v>
      </c>
      <c r="I107" s="12">
        <v>-1.4017297</v>
      </c>
      <c r="J107" s="12">
        <v>3.6346143999999998</v>
      </c>
      <c r="K107" s="12">
        <v>1.3082126999999999</v>
      </c>
      <c r="L107" s="12">
        <v>1.7100272999999999</v>
      </c>
      <c r="M107" s="12">
        <v>11.049484400000001</v>
      </c>
      <c r="N107" s="12">
        <v>-1.4829787999999999</v>
      </c>
      <c r="O107" s="12">
        <v>-1.1920256</v>
      </c>
      <c r="P107" s="7">
        <v>2888.5</v>
      </c>
      <c r="Q107" s="7">
        <v>285.7</v>
      </c>
      <c r="R107" s="7">
        <v>9</v>
      </c>
      <c r="S107" s="12">
        <v>14.163877899999999</v>
      </c>
      <c r="T107" s="12">
        <v>6.5</v>
      </c>
      <c r="U107" s="12">
        <v>145.38984439999999</v>
      </c>
      <c r="V107" s="12">
        <v>117.2141</v>
      </c>
      <c r="W107" s="12">
        <v>3.6741668999999999</v>
      </c>
      <c r="X107" s="12">
        <v>2.7738119999999999</v>
      </c>
      <c r="Y107" s="12">
        <v>-3.9158265999999999</v>
      </c>
      <c r="Z107" s="12">
        <v>-1.1615126</v>
      </c>
      <c r="AA107" s="12">
        <v>69.680789599999997</v>
      </c>
      <c r="AB107" s="12">
        <v>15.024217500000001</v>
      </c>
      <c r="AC107" s="12">
        <v>18.4738139</v>
      </c>
      <c r="AD107" s="12">
        <v>57.685887700000002</v>
      </c>
      <c r="AE107" s="12">
        <v>60.8647086</v>
      </c>
      <c r="AF107" s="12">
        <v>1.6003029</v>
      </c>
      <c r="AG107" s="7" t="s">
        <v>107</v>
      </c>
    </row>
    <row r="108" spans="1:33" x14ac:dyDescent="0.3">
      <c r="A108" t="s">
        <v>115</v>
      </c>
      <c r="B108" s="7" t="s">
        <v>107</v>
      </c>
      <c r="C108" s="12">
        <v>127.9933333</v>
      </c>
      <c r="D108" s="12">
        <v>3.3871836000000002</v>
      </c>
      <c r="E108" s="17">
        <v>4.5</v>
      </c>
      <c r="F108" s="12">
        <v>83.723333299999993</v>
      </c>
      <c r="G108" s="7" t="s">
        <v>107</v>
      </c>
      <c r="H108" s="7" t="s">
        <v>107</v>
      </c>
      <c r="I108" s="7" t="s">
        <v>107</v>
      </c>
      <c r="J108" s="7" t="s">
        <v>107</v>
      </c>
      <c r="K108" s="7" t="s">
        <v>107</v>
      </c>
      <c r="L108" s="7" t="s">
        <v>107</v>
      </c>
      <c r="M108" s="7" t="s">
        <v>107</v>
      </c>
      <c r="N108" s="7" t="s">
        <v>107</v>
      </c>
      <c r="O108" s="7" t="s">
        <v>107</v>
      </c>
      <c r="P108" s="7" t="s">
        <v>107</v>
      </c>
      <c r="Q108" s="7" t="s">
        <v>107</v>
      </c>
      <c r="R108" s="7" t="s">
        <v>107</v>
      </c>
      <c r="S108" s="7" t="s">
        <v>107</v>
      </c>
      <c r="T108" s="12">
        <v>6.5</v>
      </c>
      <c r="U108" s="12">
        <v>146.776769</v>
      </c>
      <c r="V108" s="12">
        <v>117.1842</v>
      </c>
      <c r="W108" s="7" t="s">
        <v>107</v>
      </c>
      <c r="X108" s="7" t="s">
        <v>107</v>
      </c>
      <c r="Y108" s="7" t="s">
        <v>107</v>
      </c>
      <c r="Z108" s="7" t="s">
        <v>107</v>
      </c>
      <c r="AA108" s="7" t="s">
        <v>107</v>
      </c>
      <c r="AB108" s="7" t="s">
        <v>107</v>
      </c>
      <c r="AC108" s="7" t="s">
        <v>107</v>
      </c>
      <c r="AD108" s="7" t="s">
        <v>107</v>
      </c>
      <c r="AE108" s="7" t="s">
        <v>107</v>
      </c>
      <c r="AF108" s="12">
        <v>1.1569046000000001</v>
      </c>
      <c r="AG108" s="7" t="s">
        <v>107</v>
      </c>
    </row>
  </sheetData>
  <pageMargins left="0.7" right="0.7" top="0.75" bottom="0.75" header="0.3" footer="0.3"/>
  <pageSetup paperSize="9" orientation="portrait" horizontalDpi="90" verticalDpi="90"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093E7-56EB-4E3E-AA78-81D231A6F01F}">
  <sheetPr codeName="Tabelle21">
    <tabColor rgb="FF7030A0"/>
  </sheetPr>
  <dimension ref="A1:AG108"/>
  <sheetViews>
    <sheetView workbookViewId="0">
      <pane xSplit="1" ySplit="12" topLeftCell="X106" activePane="bottomRight" state="frozen"/>
      <selection activeCell="E12" sqref="E12"/>
      <selection pane="topRight" activeCell="E12" sqref="E12"/>
      <selection pane="bottomLeft" activeCell="E12" sqref="E12"/>
      <selection pane="bottomRight"/>
    </sheetView>
  </sheetViews>
  <sheetFormatPr defaultColWidth="9.109375" defaultRowHeight="14.4" outlineLevelRow="1" x14ac:dyDescent="0.3"/>
  <cols>
    <col min="2" max="2" width="11.5546875" bestFit="1" customWidth="1"/>
    <col min="4" max="4" width="12.44140625" customWidth="1"/>
    <col min="7" max="7" width="12.44140625" bestFit="1" customWidth="1"/>
    <col min="8" max="8" width="12.33203125" customWidth="1"/>
    <col min="18" max="18" width="11.109375" bestFit="1" customWidth="1"/>
    <col min="19" max="19" width="12.44140625" bestFit="1" customWidth="1"/>
    <col min="24" max="24" width="12.5546875" bestFit="1" customWidth="1"/>
    <col min="25" max="25" width="12.6640625" bestFit="1" customWidth="1"/>
    <col min="27" max="27" width="13.6640625" customWidth="1"/>
    <col min="33" max="33" width="9.109375" style="15"/>
  </cols>
  <sheetData>
    <row r="1" spans="1:33" s="8" customFormat="1" x14ac:dyDescent="0.3">
      <c r="A1" s="8" t="s">
        <v>0</v>
      </c>
      <c r="B1" s="8" t="s">
        <v>1</v>
      </c>
      <c r="C1" s="8" t="s">
        <v>2</v>
      </c>
      <c r="D1" s="8" t="s">
        <v>3</v>
      </c>
      <c r="E1" s="14" t="s">
        <v>4</v>
      </c>
      <c r="F1" s="8" t="s">
        <v>5</v>
      </c>
      <c r="G1" s="8" t="s">
        <v>6</v>
      </c>
      <c r="H1" s="8" t="s">
        <v>254</v>
      </c>
      <c r="I1" s="8" t="s">
        <v>7</v>
      </c>
      <c r="J1" s="8" t="s">
        <v>230</v>
      </c>
      <c r="K1" s="8" t="s">
        <v>231</v>
      </c>
      <c r="L1" s="8" t="s">
        <v>232</v>
      </c>
      <c r="M1" s="8" t="s">
        <v>233</v>
      </c>
      <c r="N1" s="8" t="s">
        <v>234</v>
      </c>
      <c r="O1" s="8" t="s">
        <v>235</v>
      </c>
      <c r="P1" s="8" t="s">
        <v>8</v>
      </c>
      <c r="Q1" s="8" t="s">
        <v>9</v>
      </c>
      <c r="R1" s="8" t="s">
        <v>10</v>
      </c>
      <c r="S1" s="8" t="s">
        <v>11</v>
      </c>
      <c r="T1" s="14" t="s">
        <v>12</v>
      </c>
      <c r="U1" s="8" t="s">
        <v>13</v>
      </c>
      <c r="V1" s="8" t="s">
        <v>14</v>
      </c>
      <c r="W1" s="8" t="s">
        <v>15</v>
      </c>
      <c r="X1" s="8" t="s">
        <v>16</v>
      </c>
      <c r="Y1" s="8" t="s">
        <v>17</v>
      </c>
      <c r="Z1" s="8" t="s">
        <v>18</v>
      </c>
      <c r="AA1" s="9" t="s">
        <v>248</v>
      </c>
      <c r="AB1" s="8" t="s">
        <v>236</v>
      </c>
      <c r="AC1" s="8" t="s">
        <v>237</v>
      </c>
      <c r="AD1" s="8" t="s">
        <v>238</v>
      </c>
      <c r="AE1" s="8" t="s">
        <v>239</v>
      </c>
      <c r="AF1" s="14" t="s">
        <v>255</v>
      </c>
      <c r="AG1" s="9"/>
    </row>
    <row r="2" spans="1:33" s="10" customFormat="1" outlineLevel="1" x14ac:dyDescent="0.3">
      <c r="A2" s="16" t="s">
        <v>1292</v>
      </c>
      <c r="B2" s="26"/>
      <c r="C2" s="26"/>
      <c r="D2" s="26" t="s">
        <v>198</v>
      </c>
      <c r="E2" s="26"/>
      <c r="F2" s="26"/>
      <c r="G2" s="26" t="s">
        <v>986</v>
      </c>
      <c r="H2" s="26" t="s">
        <v>988</v>
      </c>
      <c r="I2" s="26"/>
      <c r="J2" s="26" t="s">
        <v>991</v>
      </c>
      <c r="K2" s="26" t="s">
        <v>993</v>
      </c>
      <c r="L2" s="26" t="s">
        <v>995</v>
      </c>
      <c r="M2" s="26" t="s">
        <v>997</v>
      </c>
      <c r="N2" s="26" t="s">
        <v>999</v>
      </c>
      <c r="O2" s="26" t="s">
        <v>1001</v>
      </c>
      <c r="P2" s="26"/>
      <c r="Q2" s="26"/>
      <c r="R2" s="26"/>
      <c r="S2" s="26" t="s">
        <v>1263</v>
      </c>
      <c r="T2" s="26"/>
      <c r="U2" s="26"/>
      <c r="V2" s="26"/>
      <c r="W2" s="26" t="s">
        <v>1006</v>
      </c>
      <c r="X2" s="26" t="s">
        <v>1009</v>
      </c>
      <c r="Y2" s="26" t="s">
        <v>1011</v>
      </c>
      <c r="Z2" s="26"/>
      <c r="AA2" s="26"/>
      <c r="AB2" s="26"/>
      <c r="AC2" s="26"/>
      <c r="AD2" s="26"/>
      <c r="AE2" s="26"/>
      <c r="AF2" s="26" t="s">
        <v>884</v>
      </c>
      <c r="AG2" s="26"/>
    </row>
    <row r="3" spans="1:33" outlineLevel="1" x14ac:dyDescent="0.3">
      <c r="A3" s="16" t="s">
        <v>1293</v>
      </c>
      <c r="B3" s="27" t="s">
        <v>123</v>
      </c>
      <c r="C3" s="27" t="s">
        <v>195</v>
      </c>
      <c r="D3" s="27" t="s">
        <v>195</v>
      </c>
      <c r="E3" s="27" t="s">
        <v>186</v>
      </c>
      <c r="F3" s="27" t="s">
        <v>125</v>
      </c>
      <c r="G3" s="27" t="s">
        <v>125</v>
      </c>
      <c r="H3" s="27" t="s">
        <v>125</v>
      </c>
      <c r="I3" s="27" t="s">
        <v>125</v>
      </c>
      <c r="J3" s="27" t="s">
        <v>123</v>
      </c>
      <c r="K3" s="27" t="s">
        <v>839</v>
      </c>
      <c r="L3" s="27" t="s">
        <v>326</v>
      </c>
      <c r="M3" s="27" t="s">
        <v>326</v>
      </c>
      <c r="N3" s="27" t="s">
        <v>326</v>
      </c>
      <c r="O3" s="27" t="s">
        <v>326</v>
      </c>
      <c r="P3" s="27" t="s">
        <v>1280</v>
      </c>
      <c r="Q3" s="27" t="s">
        <v>1280</v>
      </c>
      <c r="R3" s="27" t="s">
        <v>1280</v>
      </c>
      <c r="S3" s="27" t="s">
        <v>1270</v>
      </c>
      <c r="T3" s="27" t="s">
        <v>1076</v>
      </c>
      <c r="U3" s="27" t="s">
        <v>195</v>
      </c>
      <c r="V3" s="27" t="s">
        <v>125</v>
      </c>
      <c r="W3" s="27" t="s">
        <v>1008</v>
      </c>
      <c r="X3" s="27" t="s">
        <v>207</v>
      </c>
      <c r="Y3" s="27" t="s">
        <v>207</v>
      </c>
      <c r="Z3" s="27" t="s">
        <v>125</v>
      </c>
      <c r="AA3" s="27" t="s">
        <v>839</v>
      </c>
      <c r="AB3" s="27" t="s">
        <v>125</v>
      </c>
      <c r="AC3" s="27" t="s">
        <v>125</v>
      </c>
      <c r="AD3" s="27" t="s">
        <v>125</v>
      </c>
      <c r="AE3" s="27" t="s">
        <v>125</v>
      </c>
      <c r="AF3" s="27" t="s">
        <v>125</v>
      </c>
      <c r="AG3" s="23"/>
    </row>
    <row r="4" spans="1:33" outlineLevel="1" x14ac:dyDescent="0.3">
      <c r="A4" s="16" t="s">
        <v>1288</v>
      </c>
      <c r="B4" s="2">
        <v>144396</v>
      </c>
      <c r="C4" s="2">
        <v>77811</v>
      </c>
      <c r="D4" s="2">
        <v>77812</v>
      </c>
      <c r="E4" s="2">
        <v>144399</v>
      </c>
      <c r="F4" s="27">
        <v>101874</v>
      </c>
      <c r="G4" s="27">
        <v>122264</v>
      </c>
      <c r="H4" s="27">
        <v>122262</v>
      </c>
      <c r="I4" s="27">
        <v>122272</v>
      </c>
      <c r="J4" s="2">
        <v>89046</v>
      </c>
      <c r="K4" s="2">
        <v>90883</v>
      </c>
      <c r="L4" s="2">
        <v>90927</v>
      </c>
      <c r="M4" s="2">
        <v>90949</v>
      </c>
      <c r="N4" s="2">
        <v>90993</v>
      </c>
      <c r="O4" s="2">
        <v>91015</v>
      </c>
      <c r="P4" s="2">
        <v>122250</v>
      </c>
      <c r="Q4" s="2">
        <v>122254</v>
      </c>
      <c r="R4" s="2">
        <v>122255</v>
      </c>
      <c r="S4" s="2">
        <v>143588</v>
      </c>
      <c r="T4" s="2">
        <v>122322</v>
      </c>
      <c r="U4" s="2">
        <v>101902</v>
      </c>
      <c r="V4" s="27">
        <v>92959</v>
      </c>
      <c r="W4" s="2">
        <v>144812</v>
      </c>
      <c r="X4" s="2">
        <v>92972</v>
      </c>
      <c r="Y4" s="2">
        <v>92973</v>
      </c>
      <c r="Z4" s="27">
        <v>92958</v>
      </c>
      <c r="AA4" s="2">
        <v>90355</v>
      </c>
      <c r="AB4" s="27">
        <v>90399</v>
      </c>
      <c r="AC4" s="27">
        <v>90421</v>
      </c>
      <c r="AD4" s="27">
        <v>90509</v>
      </c>
      <c r="AE4" s="27">
        <v>90531</v>
      </c>
      <c r="AF4" s="27">
        <v>89629</v>
      </c>
      <c r="AG4" s="27"/>
    </row>
    <row r="5" spans="1:33" outlineLevel="1" x14ac:dyDescent="0.3">
      <c r="A5" t="s">
        <v>1291</v>
      </c>
      <c r="B5" s="27" t="s">
        <v>221</v>
      </c>
      <c r="C5" s="27" t="s">
        <v>194</v>
      </c>
      <c r="D5" s="27" t="s">
        <v>199</v>
      </c>
      <c r="E5" s="27" t="s">
        <v>253</v>
      </c>
      <c r="F5" s="27" t="s">
        <v>189</v>
      </c>
      <c r="G5" s="27" t="s">
        <v>987</v>
      </c>
      <c r="H5" s="27" t="s">
        <v>989</v>
      </c>
      <c r="I5" s="27" t="s">
        <v>990</v>
      </c>
      <c r="J5" s="27" t="s">
        <v>992</v>
      </c>
      <c r="K5" s="27" t="s">
        <v>994</v>
      </c>
      <c r="L5" s="27" t="s">
        <v>996</v>
      </c>
      <c r="M5" s="27" t="s">
        <v>998</v>
      </c>
      <c r="N5" s="27" t="s">
        <v>1000</v>
      </c>
      <c r="O5" s="27" t="s">
        <v>1002</v>
      </c>
      <c r="P5" s="27" t="s">
        <v>1003</v>
      </c>
      <c r="Q5" s="27" t="s">
        <v>1004</v>
      </c>
      <c r="R5" s="27" t="s">
        <v>1005</v>
      </c>
      <c r="S5" s="27" t="s">
        <v>1264</v>
      </c>
      <c r="T5" s="27" t="s">
        <v>1310</v>
      </c>
      <c r="U5" s="27" t="s">
        <v>1077</v>
      </c>
      <c r="V5" s="27" t="s">
        <v>1075</v>
      </c>
      <c r="W5" s="27" t="s">
        <v>1007</v>
      </c>
      <c r="X5" s="27" t="s">
        <v>1010</v>
      </c>
      <c r="Y5" s="27" t="s">
        <v>1012</v>
      </c>
      <c r="Z5" s="27" t="s">
        <v>1013</v>
      </c>
      <c r="AA5" s="27" t="s">
        <v>1014</v>
      </c>
      <c r="AB5" s="27" t="s">
        <v>1015</v>
      </c>
      <c r="AC5" s="27" t="s">
        <v>1016</v>
      </c>
      <c r="AD5" s="27" t="s">
        <v>1017</v>
      </c>
      <c r="AE5" s="27" t="s">
        <v>1018</v>
      </c>
      <c r="AF5" s="27" t="s">
        <v>885</v>
      </c>
      <c r="AG5" s="27"/>
    </row>
    <row r="6" spans="1:33" outlineLevel="1" x14ac:dyDescent="0.3">
      <c r="A6" t="s">
        <v>1289</v>
      </c>
      <c r="B6" s="27" t="s">
        <v>222</v>
      </c>
      <c r="C6" s="27" t="s">
        <v>196</v>
      </c>
      <c r="D6" s="27" t="s">
        <v>196</v>
      </c>
      <c r="E6" s="27" t="s">
        <v>187</v>
      </c>
      <c r="F6" s="27" t="s">
        <v>190</v>
      </c>
      <c r="G6" s="27" t="s">
        <v>886</v>
      </c>
      <c r="H6" s="27" t="s">
        <v>886</v>
      </c>
      <c r="I6" s="27" t="s">
        <v>886</v>
      </c>
      <c r="J6" s="27" t="s">
        <v>886</v>
      </c>
      <c r="K6" s="27" t="s">
        <v>886</v>
      </c>
      <c r="L6" s="27" t="s">
        <v>886</v>
      </c>
      <c r="M6" s="27" t="s">
        <v>886</v>
      </c>
      <c r="N6" s="27" t="s">
        <v>886</v>
      </c>
      <c r="O6" s="27" t="s">
        <v>886</v>
      </c>
      <c r="P6" s="27" t="s">
        <v>886</v>
      </c>
      <c r="Q6" s="27" t="s">
        <v>886</v>
      </c>
      <c r="R6" s="27" t="s">
        <v>886</v>
      </c>
      <c r="S6" s="27" t="s">
        <v>886</v>
      </c>
      <c r="T6" s="27" t="s">
        <v>886</v>
      </c>
      <c r="U6" s="27" t="s">
        <v>886</v>
      </c>
      <c r="V6" s="27" t="s">
        <v>886</v>
      </c>
      <c r="W6" s="27" t="s">
        <v>886</v>
      </c>
      <c r="X6" s="27" t="s">
        <v>886</v>
      </c>
      <c r="Y6" s="27" t="s">
        <v>886</v>
      </c>
      <c r="Z6" s="27" t="s">
        <v>886</v>
      </c>
      <c r="AA6" s="27" t="s">
        <v>886</v>
      </c>
      <c r="AB6" s="27" t="s">
        <v>886</v>
      </c>
      <c r="AC6" s="27" t="s">
        <v>886</v>
      </c>
      <c r="AD6" s="27" t="s">
        <v>886</v>
      </c>
      <c r="AE6" s="27" t="s">
        <v>886</v>
      </c>
      <c r="AF6" s="27" t="s">
        <v>886</v>
      </c>
      <c r="AG6" s="23"/>
    </row>
    <row r="7" spans="1:33" outlineLevel="1" x14ac:dyDescent="0.3">
      <c r="A7" t="s">
        <v>1290</v>
      </c>
      <c r="B7" s="27" t="s">
        <v>223</v>
      </c>
      <c r="C7" s="27" t="s">
        <v>197</v>
      </c>
      <c r="D7" s="27" t="s">
        <v>197</v>
      </c>
      <c r="E7" s="27" t="s">
        <v>188</v>
      </c>
      <c r="F7" s="27" t="s">
        <v>191</v>
      </c>
      <c r="G7" s="27" t="s">
        <v>887</v>
      </c>
      <c r="H7" s="27" t="s">
        <v>887</v>
      </c>
      <c r="I7" s="27" t="s">
        <v>887</v>
      </c>
      <c r="J7" s="27" t="s">
        <v>887</v>
      </c>
      <c r="K7" s="27" t="s">
        <v>887</v>
      </c>
      <c r="L7" s="27" t="s">
        <v>887</v>
      </c>
      <c r="M7" s="27" t="s">
        <v>887</v>
      </c>
      <c r="N7" s="27" t="s">
        <v>887</v>
      </c>
      <c r="O7" s="27" t="s">
        <v>887</v>
      </c>
      <c r="P7" s="27" t="s">
        <v>887</v>
      </c>
      <c r="Q7" s="27" t="s">
        <v>887</v>
      </c>
      <c r="R7" s="27" t="s">
        <v>887</v>
      </c>
      <c r="S7" s="27" t="s">
        <v>887</v>
      </c>
      <c r="T7" s="27" t="s">
        <v>887</v>
      </c>
      <c r="U7" s="27" t="s">
        <v>887</v>
      </c>
      <c r="V7" s="27" t="s">
        <v>887</v>
      </c>
      <c r="W7" s="27" t="s">
        <v>887</v>
      </c>
      <c r="X7" s="27" t="s">
        <v>887</v>
      </c>
      <c r="Y7" s="27" t="s">
        <v>887</v>
      </c>
      <c r="Z7" s="27" t="s">
        <v>887</v>
      </c>
      <c r="AA7" s="27" t="s">
        <v>887</v>
      </c>
      <c r="AB7" s="27" t="s">
        <v>887</v>
      </c>
      <c r="AC7" s="27" t="s">
        <v>887</v>
      </c>
      <c r="AD7" s="27" t="s">
        <v>887</v>
      </c>
      <c r="AE7" s="27" t="s">
        <v>887</v>
      </c>
      <c r="AF7" s="27" t="s">
        <v>887</v>
      </c>
      <c r="AG7" s="23"/>
    </row>
    <row r="8" spans="1:33" outlineLevel="1" x14ac:dyDescent="0.3">
      <c r="A8" s="16" t="s">
        <v>489</v>
      </c>
      <c r="B8" s="27" t="s">
        <v>120</v>
      </c>
      <c r="C8" s="27" t="s">
        <v>163</v>
      </c>
      <c r="D8" s="27" t="s">
        <v>163</v>
      </c>
      <c r="E8" s="27" t="s">
        <v>159</v>
      </c>
      <c r="F8" s="27"/>
      <c r="G8" s="27" t="s">
        <v>179</v>
      </c>
      <c r="H8" s="27" t="s">
        <v>173</v>
      </c>
      <c r="I8" s="27" t="s">
        <v>182</v>
      </c>
      <c r="J8" s="27" t="s">
        <v>120</v>
      </c>
      <c r="K8" s="27" t="s">
        <v>126</v>
      </c>
      <c r="L8" s="27" t="s">
        <v>129</v>
      </c>
      <c r="M8" s="27" t="s">
        <v>132</v>
      </c>
      <c r="N8" s="27" t="s">
        <v>135</v>
      </c>
      <c r="O8" s="27" t="s">
        <v>138</v>
      </c>
      <c r="P8" s="27" t="s">
        <v>141</v>
      </c>
      <c r="Q8" s="27" t="s">
        <v>146</v>
      </c>
      <c r="R8" s="27" t="s">
        <v>149</v>
      </c>
      <c r="S8" s="27" t="s">
        <v>1265</v>
      </c>
      <c r="T8" s="27" t="s">
        <v>159</v>
      </c>
      <c r="U8" s="27" t="s">
        <v>163</v>
      </c>
      <c r="V8" s="27" t="s">
        <v>168</v>
      </c>
      <c r="W8" s="27" t="s">
        <v>217</v>
      </c>
      <c r="X8" s="27" t="s">
        <v>208</v>
      </c>
      <c r="Y8" s="27" t="s">
        <v>213</v>
      </c>
      <c r="Z8" s="27" t="s">
        <v>204</v>
      </c>
      <c r="AA8" s="27" t="s">
        <v>126</v>
      </c>
      <c r="AB8" s="27" t="s">
        <v>129</v>
      </c>
      <c r="AC8" s="27" t="s">
        <v>132</v>
      </c>
      <c r="AD8" s="27" t="s">
        <v>135</v>
      </c>
      <c r="AE8" s="27" t="s">
        <v>138</v>
      </c>
      <c r="AF8" s="27" t="s">
        <v>351</v>
      </c>
      <c r="AG8" s="23"/>
    </row>
    <row r="9" spans="1:33" outlineLevel="1" x14ac:dyDescent="0.3">
      <c r="A9" s="16" t="s">
        <v>490</v>
      </c>
      <c r="B9" s="27" t="s">
        <v>121</v>
      </c>
      <c r="C9" s="27" t="s">
        <v>164</v>
      </c>
      <c r="D9" s="27" t="s">
        <v>164</v>
      </c>
      <c r="E9" s="27" t="s">
        <v>160</v>
      </c>
      <c r="F9" s="27"/>
      <c r="G9" s="27" t="s">
        <v>180</v>
      </c>
      <c r="H9" s="27" t="s">
        <v>174</v>
      </c>
      <c r="I9" s="27" t="s">
        <v>183</v>
      </c>
      <c r="J9" s="27" t="s">
        <v>121</v>
      </c>
      <c r="K9" s="27" t="s">
        <v>127</v>
      </c>
      <c r="L9" s="27" t="s">
        <v>130</v>
      </c>
      <c r="M9" s="27" t="s">
        <v>133</v>
      </c>
      <c r="N9" s="27" t="s">
        <v>136</v>
      </c>
      <c r="O9" s="27" t="s">
        <v>139</v>
      </c>
      <c r="P9" s="27" t="s">
        <v>142</v>
      </c>
      <c r="Q9" s="27" t="s">
        <v>147</v>
      </c>
      <c r="R9" s="27" t="s">
        <v>150</v>
      </c>
      <c r="S9" s="27" t="s">
        <v>1266</v>
      </c>
      <c r="T9" s="27" t="s">
        <v>160</v>
      </c>
      <c r="U9" s="27" t="s">
        <v>164</v>
      </c>
      <c r="V9" s="27" t="s">
        <v>169</v>
      </c>
      <c r="W9" s="27" t="s">
        <v>218</v>
      </c>
      <c r="X9" s="27" t="s">
        <v>209</v>
      </c>
      <c r="Y9" s="27" t="s">
        <v>214</v>
      </c>
      <c r="Z9" s="27" t="s">
        <v>205</v>
      </c>
      <c r="AA9" s="27" t="s">
        <v>127</v>
      </c>
      <c r="AB9" s="27" t="s">
        <v>130</v>
      </c>
      <c r="AC9" s="27" t="s">
        <v>133</v>
      </c>
      <c r="AD9" s="27" t="s">
        <v>136</v>
      </c>
      <c r="AE9" s="27" t="s">
        <v>139</v>
      </c>
      <c r="AF9" s="27" t="s">
        <v>352</v>
      </c>
      <c r="AG9" s="24"/>
    </row>
    <row r="10" spans="1:33" outlineLevel="1" x14ac:dyDescent="0.3">
      <c r="A10" s="16" t="s">
        <v>491</v>
      </c>
      <c r="B10" s="27" t="s">
        <v>224</v>
      </c>
      <c r="C10" s="27" t="s">
        <v>165</v>
      </c>
      <c r="D10" s="27" t="s">
        <v>200</v>
      </c>
      <c r="E10" s="27" t="s">
        <v>226</v>
      </c>
      <c r="F10" s="27"/>
      <c r="G10" s="27" t="s">
        <v>175</v>
      </c>
      <c r="H10" s="27" t="s">
        <v>175</v>
      </c>
      <c r="I10" s="27" t="s">
        <v>184</v>
      </c>
      <c r="J10" s="27" t="s">
        <v>122</v>
      </c>
      <c r="K10" s="27" t="s">
        <v>122</v>
      </c>
      <c r="L10" s="27" t="s">
        <v>122</v>
      </c>
      <c r="M10" s="27" t="s">
        <v>122</v>
      </c>
      <c r="N10" s="27" t="s">
        <v>122</v>
      </c>
      <c r="O10" s="27" t="s">
        <v>122</v>
      </c>
      <c r="P10" s="27" t="s">
        <v>143</v>
      </c>
      <c r="Q10" s="27" t="s">
        <v>143</v>
      </c>
      <c r="R10" s="27" t="s">
        <v>151</v>
      </c>
      <c r="S10" s="27" t="s">
        <v>156</v>
      </c>
      <c r="T10" s="27" t="s">
        <v>447</v>
      </c>
      <c r="U10" s="27" t="s">
        <v>165</v>
      </c>
      <c r="V10" s="27" t="s">
        <v>170</v>
      </c>
      <c r="W10" s="27" t="s">
        <v>219</v>
      </c>
      <c r="X10" s="27" t="s">
        <v>210</v>
      </c>
      <c r="Y10" s="27" t="s">
        <v>210</v>
      </c>
      <c r="Z10" s="27" t="s">
        <v>184</v>
      </c>
      <c r="AA10" s="27" t="s">
        <v>184</v>
      </c>
      <c r="AB10" s="27" t="s">
        <v>184</v>
      </c>
      <c r="AC10" s="27" t="s">
        <v>184</v>
      </c>
      <c r="AD10" s="27" t="s">
        <v>184</v>
      </c>
      <c r="AE10" s="27" t="s">
        <v>184</v>
      </c>
      <c r="AF10" s="27" t="s">
        <v>156</v>
      </c>
      <c r="AG10" s="23"/>
    </row>
    <row r="11" spans="1:33" ht="15.6" customHeight="1" outlineLevel="1" x14ac:dyDescent="0.3">
      <c r="A11" s="16" t="s">
        <v>492</v>
      </c>
      <c r="B11" s="27" t="s">
        <v>225</v>
      </c>
      <c r="C11" s="27" t="s">
        <v>166</v>
      </c>
      <c r="D11" s="27" t="s">
        <v>201</v>
      </c>
      <c r="E11" s="27" t="s">
        <v>227</v>
      </c>
      <c r="F11" s="27"/>
      <c r="G11" s="27" t="s">
        <v>176</v>
      </c>
      <c r="H11" s="27" t="s">
        <v>176</v>
      </c>
      <c r="I11" s="27" t="s">
        <v>185</v>
      </c>
      <c r="J11" s="27" t="s">
        <v>118</v>
      </c>
      <c r="K11" s="27" t="s">
        <v>118</v>
      </c>
      <c r="L11" s="27" t="s">
        <v>118</v>
      </c>
      <c r="M11" s="27" t="s">
        <v>118</v>
      </c>
      <c r="N11" s="27" t="s">
        <v>118</v>
      </c>
      <c r="O11" s="27" t="s">
        <v>118</v>
      </c>
      <c r="P11" s="27" t="s">
        <v>144</v>
      </c>
      <c r="Q11" s="27" t="s">
        <v>144</v>
      </c>
      <c r="R11" s="27" t="s">
        <v>152</v>
      </c>
      <c r="S11" s="27" t="s">
        <v>157</v>
      </c>
      <c r="T11" s="27" t="s">
        <v>448</v>
      </c>
      <c r="U11" s="27" t="s">
        <v>166</v>
      </c>
      <c r="V11" s="27" t="s">
        <v>171</v>
      </c>
      <c r="W11" s="27" t="s">
        <v>220</v>
      </c>
      <c r="X11" s="27" t="s">
        <v>211</v>
      </c>
      <c r="Y11" s="27" t="s">
        <v>211</v>
      </c>
      <c r="Z11" s="27" t="s">
        <v>185</v>
      </c>
      <c r="AA11" s="27" t="s">
        <v>185</v>
      </c>
      <c r="AB11" s="27" t="s">
        <v>185</v>
      </c>
      <c r="AC11" s="27" t="s">
        <v>185</v>
      </c>
      <c r="AD11" s="27" t="s">
        <v>185</v>
      </c>
      <c r="AE11" s="27" t="s">
        <v>185</v>
      </c>
      <c r="AF11" s="27" t="s">
        <v>157</v>
      </c>
      <c r="AG11" s="23"/>
    </row>
    <row r="12" spans="1:33" outlineLevel="1" x14ac:dyDescent="0.3">
      <c r="B12" s="4" t="str">
        <f>INDEX({"31/01/2024 @ 15:43","macro_id=DBGlobal","label_id=144396","time=Q","year_from=2000","year_to=2023","direction=V","opt_font=true","fontsize=8","opt_color=true","col_desc=Calculation:10;Footnote 1:9;ID:8;Label:7;Reporter:6:s;Reporter:5:long;Indicator:4:s;Indicator:3:l;Unit:2:s;Unit:1:long;","numberformat=0.00","auto_tr=1999|2015","com=true","comp=4"},1,1)</f>
        <v>31/01/2024 @ 15:43</v>
      </c>
      <c r="C12" s="4" t="str">
        <f>INDEX({"31/01/2024 @ 15:43","macro_id=DBGlobal","label_id=77811","time=Q","year_from=2000","year_to=2023","direction=V","opt_font=true","fontsize=8","opt_color=true","col_desc=Calculation:10;Footnote 1:9;ID:8;Label:7;Reporter:6:s;Reporter:5:long;Indicator:4:s;Indicator:3:l;Unit:2:s;Unit:1:long;","numberformat=0.00","auto_tr=1999|2015","com=true","comp=4"},1,1)</f>
        <v>31/01/2024 @ 15:43</v>
      </c>
      <c r="D12" s="6" t="str">
        <f>INDEX({"31/01/2024 @ 15:43","macro_id=DBGlobal","label_id=77812","calc=SubScal(L_77812,100)","time=Q","year_from=2000","year_to=2023","direction=V","opt_font=true","fontsize=8","opt_color=true","col_desc=Calculation:10;Footnote 1:9;ID:8;Label:7;Reporter:6:s;Reporter:5:long;Indicator:4:s;Indicator:3:l;Unit:2:s;Unit:1:long;","numberformat=0.00","auto_tr=1999|2015","com=true","comp=4"},1,1)</f>
        <v>31/01/2024 @ 15:43</v>
      </c>
      <c r="E12" s="4" t="str">
        <f>INDEX({"31/01/2024 @ 15:43","macro_id=DBGlobal","label_id=144399","time=Q","year_from=2000","year_to=2023","direction=V","opt_font=true","fontsize=8","opt_color=true","col_desc=Calculation:10;Footnote 1:9;ID:8;Label:7;Reporter:6:s;Reporter:5:long;Indicator:4:s;Indicator:3:l;Unit:2:s;Unit:1:long;","numberformat=0.00","auto_tr=1999|2015","com=true","comp=4"},1,1)</f>
        <v>31/01/2024 @ 15:43</v>
      </c>
      <c r="F12" s="4" t="str">
        <f>INDEX({"31/01/2024 @ 15:43","macro_id=DBGlobal","label_id=101874","time=Q","year_from=2000","year_to=2023","direction=V","opt_font=true","fontsize=8","opt_color=true","col_desc=Calculation:10;Footnote 1:9;ID:8;Label:7;Reporter:6:s;Reporter:5:long;Indicator:4:s;Indicator:3:l;Unit:2:s;Unit:1:long;","numberformat=0.00","auto_tr=1999|2015","com=true","comp=4"},1,1)</f>
        <v>31/01/2024 @ 15:43</v>
      </c>
      <c r="G12" s="5" t="str">
        <f>INDEX({"31/01/2024 @ 15:43","macro_id=DBGlobal","label_id=122264","calc=SubScal(CPPY=100(L_122264),100)","time=Q","year_from=2000","year_to=2023","direction=V","opt_font=true","fontsize=8","opt_color=true","col_desc=Calculation:10;Footnote 1:9;ID:8;Label:7;Reporter:6:s;Reporter:5:long;Indicator:4:s;Indicator:3:l;Unit:2:s;Unit:1:long;","numberformat=0.00","auto_tr=1999|2015","com=true","comp=4"},1,1)</f>
        <v>31/01/2024 @ 15:43</v>
      </c>
      <c r="H12" s="5" t="str">
        <f>INDEX({"31/01/2024 @ 15:43","macro_id=DBGlobal","label_id=122262","calc=SubScal(CPPY=100(L_122262),100)","time=Q","year_from=2000","year_to=2023","direction=V","opt_font=true","fontsize=8","opt_color=true","col_desc=Calculation:10;Footnote 1:9;ID:8;Label:7;Reporter:6:s;Reporter:5:long;Indicator:4:s;Indicator:3:l;Unit:2:s;Unit:1:long;","numberformat=0.00","auto_tr=1999|2015","com=true","comp=4"},1,1)</f>
        <v>31/01/2024 @ 15:43</v>
      </c>
      <c r="I12" s="1" t="str">
        <f>INDEX({"31/01/2024 @ 15:43","macro_id=DBGlobal","label_id=122272","time=Q","year_from=2000","year_to=2023","direction=V","opt_font=true","fontsize=8","opt_color=true","col_desc=Calculation:10;Footnote 1:9;ID:8;Label:7;Reporter:6:s;Reporter:5:long;Indicator:4:s;Indicator:3:l;Unit:2:s;Unit:1:long;","numberformat=0.00","auto_tr=1999|2015","com=true","comp=4"},1,1)</f>
        <v>31/01/2024 @ 15:43</v>
      </c>
      <c r="J12" s="5" t="str">
        <f>INDEX({"31/01/2024 @ 15:43","macro_id=DBGlobal","label_id=89046","calc=SubScal(CPPY=100(L_89046),100)","time=Q","year_from=2000","year_to=2023","direction=V","opt_font=true","fontsize=8","opt_color=true","col_desc=Calculation:10;Footnote 1:9;ID:8;Label:7;Reporter:6:s;Reporter:5:long;Indicator:4:s;Indicator:3:l;Unit:2:s;Unit:1:long;","numberformat=0.00","auto_tr=1999|2015","com=true","comp=4"},1,1)</f>
        <v>31/01/2024 @ 15:43</v>
      </c>
      <c r="K12" s="5" t="str">
        <f>INDEX({"31/01/2024 @ 15:43","macro_id=DBGlobal","label_id=90883","calc=SubScal(CPPY=100(L_90883),100)","time=Q","year_from=2000","year_to=2023","direction=V","opt_font=true","fontsize=8","opt_color=true","col_desc=Calculation:10;Footnote 1:9;ID:8;Label:7;Reporter:6:s;Reporter:5:long;Indicator:4:s;Indicator:3:l;Unit:2:s;Unit:1:long;","numberformat=0.00","auto_tr=1999|2015","com=true","comp=4"},1,1)</f>
        <v>31/01/2024 @ 15:43</v>
      </c>
      <c r="L12" s="5" t="str">
        <f>INDEX({"31/01/2024 @ 15:43","macro_id=DBGlobal","label_id=90927","calc=SubScal(CPPY=100(L_90927),100)","time=Q","year_from=2000","year_to=2023","direction=V","opt_font=true","fontsize=8","opt_color=true","col_desc=Calculation:10;Footnote 1:9;ID:8;Label:7;Reporter:6:s;Reporter:5:long;Indicator:4:s;Indicator:3:l;Unit:2:s;Unit:1:long;","numberformat=0.00","auto_tr=1999|2015","com=true","comp=4"},1,1)</f>
        <v>31/01/2024 @ 15:43</v>
      </c>
      <c r="M12" s="5" t="str">
        <f>INDEX({"31/01/2024 @ 15:43","macro_id=DBGlobal","label_id=90949","calc=SubScal(CPPY=100(L_90949),100)","time=Q","year_from=2000","year_to=2023","direction=V","opt_font=true","fontsize=8","opt_color=true","col_desc=Calculation:10;Footnote 1:9;ID:8;Label:7;Reporter:6:s;Reporter:5:long;Indicator:4:s;Indicator:3:l;Unit:2:s;Unit:1:long;","numberformat=0.00","auto_tr=1999|2015","com=true","comp=4"},1,1)</f>
        <v>31/01/2024 @ 15:43</v>
      </c>
      <c r="N12" s="5" t="str">
        <f>INDEX({"31/01/2024 @ 15:43","macro_id=DBGlobal","label_id=90993","calc=SubScal(CPPY=100(L_90993),100)","time=Q","year_from=2000","year_to=2023","direction=V","opt_font=true","fontsize=8","opt_color=true","col_desc=Calculation:10;Footnote 1:9;ID:8;Label:7;Reporter:6:s;Reporter:5:long;Indicator:4:s;Indicator:3:l;Unit:2:s;Unit:1:long;","numberformat=0.00","auto_tr=1999|2015","com=true","comp=4"},1,1)</f>
        <v>31/01/2024 @ 15:43</v>
      </c>
      <c r="O12" s="5" t="str">
        <f>INDEX({"31/01/2024 @ 15:43","macro_id=DBGlobal","label_id=91015","calc=SubScal(CPPY=100(L_91015),100)","time=Q","year_from=2000","year_to=2023","direction=V","opt_font=true","fontsize=8","opt_color=true","col_desc=Calculation:10;Footnote 1:9;ID:8;Label:7;Reporter:6:s;Reporter:5:long;Indicator:4:s;Indicator:3:l;Unit:2:s;Unit:1:long;","numberformat=0.00","auto_tr=1999|2015","com=true","comp=4"},1,1)</f>
        <v>31/01/2024 @ 15:43</v>
      </c>
      <c r="P12" s="1" t="str">
        <f>INDEX({"31/01/2024 @ 15:43","macro_id=DBGlobal","label_id=122250","time=Q","year_from=2000","year_to=2023","direction=V","opt_font=true","fontsize=8","opt_color=true","col_desc=Calculation:10;Footnote 1:9;ID:8;Label:7;Reporter:6:s;Reporter:5:long;Indicator:4:s;Indicator:3:l;Unit:2:s;Unit:1:long;","numberformat=0.00","auto_tr=1999|2015","com=true","comp=4"},1,1)</f>
        <v>31/01/2024 @ 15:43</v>
      </c>
      <c r="Q12" s="1" t="str">
        <f>INDEX({"31/01/2024 @ 15:43","macro_id=DBGlobal","label_id=122254","time=Q","year_from=2000","year_to=2023","direction=V","opt_font=true","fontsize=8","opt_color=true","col_desc=Calculation:10;Footnote 1:9;ID:8;Label:7;Reporter:6:s;Reporter:5:long;Indicator:4:s;Indicator:3:l;Unit:2:s;Unit:1:long;","numberformat=0.00","auto_tr=1999|2015","com=true","comp=4"},1,1)</f>
        <v>31/01/2024 @ 15:43</v>
      </c>
      <c r="R12" s="1" t="str">
        <f>INDEX({"31/01/2024 @ 15:43","macro_id=DBGlobal","label_id=122255","time=Q","year_from=2000","year_to=2023","direction=V","opt_font=true","fontsize=8","opt_color=true","col_desc=Calculation:10;Footnote 1:9;ID:8;Label:7;Reporter:6:s;Reporter:5:long;Indicator:4:s;Indicator:3:l;Unit:2:s;Unit:1:long;","numberformat=0.00","auto_tr=1999|2015","com=true","comp=4"},1,1)</f>
        <v>31/01/2024 @ 15:43</v>
      </c>
      <c r="S12" s="6" t="str">
        <f>INDEX({"31/01/2024 @ 15:43","macro_id=DBGlobal","label_id=143588","calc=SubScal(L_143588,100)","time=Q","year_from=2000","year_to=2023","direction=V","opt_font=true","fontsize=8","opt_color=true","col_desc=Calculation:10;Footnote 1:9;ID:8;Label:7;Reporter:6:s;Reporter:5:long;Indicator:4:s;Indicator:3:l;Unit:2:s;Unit:1:long;","numberformat=0.00","auto_tr=1999|2015","com=true","comp=4"},1,1)</f>
        <v>31/01/2024 @ 15:43</v>
      </c>
      <c r="T12" s="1" t="str">
        <f>INDEX({"31/01/2024 @ 15:43","macro_id=DBGlobal","label_id=122322","time=Q","year_from=2000","year_to=2023","direction=V","opt_font=true","fontsize=8","opt_color=true","col_desc=Calculation:10;Footnote 1:9;ID:8;Label:7;Reporter:6:s;Reporter:5:long;Indicator:4:s;Indicator:3:l;Unit:2:s;Unit:1:long;","numberformat=0.00","auto_tr=1999|2015","com=true","comp=4"},1,1)</f>
        <v>31/01/2024 @ 15:43</v>
      </c>
      <c r="U12" s="1" t="str">
        <f>INDEX({"31/01/2024 @ 15:43","macro_id=DBGlobal","label_id=101902","time=Q","year_from=2000","year_to=2023","direction=V","opt_font=true","fontsize=8","opt_color=true","col_desc=Calculation:10;Footnote 1:9;ID:8;Label:7;Reporter:6:s;Reporter:5:long;Indicator:4:s;Indicator:3:l;Unit:2:s;Unit:1:long;","numberformat=0.00","auto_tr=1999|2015","com=true","comp=4"},1,1)</f>
        <v>31/01/2024 @ 15:43</v>
      </c>
      <c r="V12" s="4" t="str">
        <f>INDEX({"31/01/2024 @ 15:43","macro_id=DBGlobal","label_id=92959","time=Q","year_from=2000","year_to=2023","direction=V","opt_font=true","fontsize=8","opt_color=true","col_desc=Calculation:10;Footnote 1:9;ID:8;Label:7;Reporter:6:s;Reporter:5:long;Indicator:4:s;Indicator:3:l;Unit:2:s;Unit:1:long;","numberformat=0.00","auto_tr=1999|2015","com=true","comp=4"},1,1)</f>
        <v>31/01/2024 @ 15:43</v>
      </c>
      <c r="W12" s="5" t="str">
        <f>INDEX({"31/01/2024 @ 15:43","macro_id=DBGlobal","label_id=144812","calc=SubScal(L_144812,100)","time=Q","year_from=2000","year_to=2023","direction=V","opt_font=true","fontsize=8","opt_color=true","col_desc=Calculation:10;Footnote 1:9;ID:8;Label:7;Reporter:6:s;Reporter:5:long;Indicator:4:s;Indicator:3:l;Unit:2:s;Unit:1:long;","numberformat=0.00","auto_tr=1999|2015","com=true","comp=4"},1,1)</f>
        <v>31/01/2024 @ 15:43</v>
      </c>
      <c r="X12" s="6" t="str">
        <f>INDEX({"31/01/2024 @ 15:43","macro_id=DBGlobal","label_id=92972","calc=SubScal(CPPY=100(AddNull(L_92972,L_92965)),100)","time=Q","year_from=2000","year_to=2023","direction=V","opt_font=true","fontsize=8","opt_color=true","col_desc=Calculation:10;Footnote 1:9;ID:8;Label:7;Reporter:6:s;Reporter:5:long;Indicator:4:s;Indicator:3:l;Unit:2:s;Unit:1:long;","numberformat=0.00","auto_tr=1999|2015","com=true","comp=4"},1,1)</f>
        <v>31/01/2024 @ 15:43</v>
      </c>
      <c r="Y12" s="6" t="str">
        <f>INDEX({"31/01/2024 @ 15:43","macro_id=DBGlobal","label_id=92973","calc=SubScal(CPPY=100(AddNull(L_92973,L_92967)),100)","time=Q","year_from=2000","year_to=2023","direction=V","opt_font=true","fontsize=8","opt_color=true","col_desc=Calculation:10;Footnote 1:9;ID:8;Label:7;Reporter:6:s;Reporter:5:long;Indicator:4:s;Indicator:3:l;Unit:2:s;Unit:1:long;","numberformat=0.00","auto_tr=1999|2015","com=true","comp=4"},1,1)</f>
        <v>31/01/2024 @ 15:43</v>
      </c>
      <c r="Z12" s="1" t="str">
        <f>INDEX({"31/01/2024 @ 15:43","macro_id=DBGlobal","label_id=92958","time=Q","year_from=2000","year_to=2023","direction=V","opt_font=true","fontsize=8","opt_color=true","col_desc=Calculation:10;Footnote 1:9;ID:8;Label:7;Reporter:6:s;Reporter:5:long;Indicator:4:s;Indicator:3:l;Unit:2:s;Unit:1:long;","numberformat=0.00","auto_tr=1999|2015","com=true","comp=4"},1,1)</f>
        <v>31/01/2024 @ 15:43</v>
      </c>
      <c r="AA12" s="1" t="str">
        <f>INDEX({"31/01/2024 @ 15:43","macro_id=DBGlobal","label_id=90355","time=Q","year_from=2000","year_to=2023","direction=V","opt_font=true","fontsize=8","opt_color=true","col_desc=Calculation:10;Footnote 1:9;ID:8;Label:7;Reporter:6:s;Reporter:5:long;Indicator:4:s;Indicator:3:l;Unit:2:s;Unit:1:long;","numberformat=0.00","auto_tr=1999|2015","com=true","comp=4"},1,1)</f>
        <v>31/01/2024 @ 15:43</v>
      </c>
      <c r="AB12" s="1" t="str">
        <f>INDEX({"31/01/2024 @ 15:43","macro_id=DBGlobal","label_id=90399","time=Q","year_from=2000","year_to=2023","direction=V","opt_font=true","fontsize=8","opt_color=true","col_desc=Calculation:10;Footnote 1:9;ID:8;Label:7;Reporter:6:s;Reporter:5:long;Indicator:4:s;Indicator:3:l;Unit:2:s;Unit:1:long;","numberformat=0.00","auto_tr=1999|2015","com=true","comp=4"},1,1)</f>
        <v>31/01/2024 @ 15:43</v>
      </c>
      <c r="AC12" s="1" t="str">
        <f>INDEX({"31/01/2024 @ 15:43","macro_id=DBGlobal","label_id=90421","time=Q","year_from=2000","year_to=2023","direction=V","opt_font=true","fontsize=8","opt_color=true","col_desc=Calculation:10;Footnote 1:9;ID:8;Label:7;Reporter:6:s;Reporter:5:long;Indicator:4:s;Indicator:3:l;Unit:2:s;Unit:1:long;","numberformat=0.00","auto_tr=1999|2015","com=true","comp=4"},1,1)</f>
        <v>31/01/2024 @ 15:43</v>
      </c>
      <c r="AD12" s="1" t="str">
        <f>INDEX({"31/01/2024 @ 15:43","macro_id=DBGlobal","label_id=90509","time=Q","year_from=2000","year_to=2023","direction=V","opt_font=true","fontsize=8","opt_color=true","col_desc=Calculation:10;Footnote 1:9;ID:8;Label:7;Reporter:6:s;Reporter:5:long;Indicator:4:s;Indicator:3:l;Unit:2:s;Unit:1:long;","numberformat=0.00","auto_tr=1999|2015","com=true","comp=4"},1,1)</f>
        <v>31/01/2024 @ 15:43</v>
      </c>
      <c r="AE12" s="1" t="str">
        <f>INDEX({"31/01/2024 @ 15:43","macro_id=DBGlobal","label_id=90531","time=Q","year_from=2000","year_to=2023","direction=V","opt_font=true","fontsize=8","opt_color=true","col_desc=Calculation:10;Footnote 1:9;ID:8;Label:7;Reporter:6:s;Reporter:5:long;Indicator:4:s;Indicator:3:l;Unit:2:s;Unit:1:long;","numberformat=0.00","auto_tr=1999|2015","com=true","comp=4"},1,1)</f>
        <v>31/01/2024 @ 15:43</v>
      </c>
      <c r="AF12" s="5" t="str">
        <f>INDEX({"31/01/2024 @ 15:43","macro_id=DBGlobal","label_id=89629","calc=SubScal(L_89629,100)","time=Q","year_from=2000","year_to=2023","direction=V","opt_font=true","fontsize=8","opt_color=true","col_desc=Calculation:10;Footnote 1:9;ID:8;Label:7;Reporter:6:s;Reporter:5:long;Indicator:4:s;Indicator:3:l;Unit:2:s;Unit:1:long;","numberformat=0.00","auto_tr=1999|2015","com=true","comp=4"},1,1)</f>
        <v>31/01/2024 @ 15:43</v>
      </c>
      <c r="AG12" s="25" t="str">
        <f>INDEX({"31/01/2024 @ 15:43","macro_id=DBGlobal","label_id=xkbgdtpx_help_q&gt;mdb-h","time=Q","year_from=2000","year_to=2023","direction=V","opt_font=true","fontsize=8","opt_color=true","col_desc=Calculation:10;Footnote 1:9;ID:8;Label:7;Reporter:6:s;Reporter:5:long;Indicator:4:s;Indicator:3:l;Unit:2:s;Unit:1:long;","numberformat=0.00","auto_tr=1999|2015","com=true","comp=4"},1,1)</f>
        <v>31/01/2024 @ 15:43</v>
      </c>
    </row>
    <row r="13" spans="1:33" s="11" customFormat="1" x14ac:dyDescent="0.3">
      <c r="A13" s="11" t="s">
        <v>19</v>
      </c>
      <c r="B13" s="12">
        <v>4.8214176000000002</v>
      </c>
      <c r="C13" s="12">
        <v>73.989999999999995</v>
      </c>
      <c r="D13" s="12">
        <v>1.7557532</v>
      </c>
      <c r="E13" s="12">
        <v>3.25</v>
      </c>
      <c r="F13" s="13">
        <v>26.926666699999998</v>
      </c>
      <c r="G13" s="7" t="s">
        <v>107</v>
      </c>
      <c r="H13" s="7" t="s">
        <v>107</v>
      </c>
      <c r="I13" s="7" t="s">
        <v>107</v>
      </c>
      <c r="J13" s="7" t="s">
        <v>107</v>
      </c>
      <c r="K13" s="7" t="s">
        <v>107</v>
      </c>
      <c r="L13" s="7" t="s">
        <v>107</v>
      </c>
      <c r="M13" s="7" t="s">
        <v>107</v>
      </c>
      <c r="N13" s="7" t="s">
        <v>107</v>
      </c>
      <c r="O13" s="7" t="s">
        <v>107</v>
      </c>
      <c r="P13" s="7" t="s">
        <v>107</v>
      </c>
      <c r="Q13" s="7" t="s">
        <v>107</v>
      </c>
      <c r="R13" s="7" t="s">
        <v>107</v>
      </c>
      <c r="S13" s="7" t="s">
        <v>107</v>
      </c>
      <c r="T13" s="7" t="s">
        <v>107</v>
      </c>
      <c r="U13" s="7" t="s">
        <v>107</v>
      </c>
      <c r="V13" s="7" t="s">
        <v>107</v>
      </c>
      <c r="W13" s="7" t="s">
        <v>107</v>
      </c>
      <c r="X13" s="7" t="s">
        <v>107</v>
      </c>
      <c r="Y13" s="7" t="s">
        <v>107</v>
      </c>
      <c r="Z13" s="7" t="s">
        <v>107</v>
      </c>
      <c r="AA13" s="7" t="s">
        <v>107</v>
      </c>
      <c r="AB13" s="7" t="s">
        <v>107</v>
      </c>
      <c r="AC13" s="7" t="s">
        <v>107</v>
      </c>
      <c r="AD13" s="7" t="s">
        <v>107</v>
      </c>
      <c r="AE13" s="7" t="s">
        <v>107</v>
      </c>
      <c r="AF13" s="7" t="s">
        <v>107</v>
      </c>
      <c r="AG13" s="22" t="s">
        <v>107</v>
      </c>
    </row>
    <row r="14" spans="1:33" s="11" customFormat="1" outlineLevel="1" x14ac:dyDescent="0.3">
      <c r="A14" s="11" t="s">
        <v>20</v>
      </c>
      <c r="B14" s="12">
        <v>4.3154814000000004</v>
      </c>
      <c r="C14" s="12">
        <v>74.493333300000003</v>
      </c>
      <c r="D14" s="12">
        <v>1.6742492</v>
      </c>
      <c r="E14" s="12">
        <v>3.9166666999999999</v>
      </c>
      <c r="F14" s="13">
        <v>26.766666699999998</v>
      </c>
      <c r="G14" s="7" t="s">
        <v>107</v>
      </c>
      <c r="H14" s="7" t="s">
        <v>107</v>
      </c>
      <c r="I14" s="7" t="s">
        <v>107</v>
      </c>
      <c r="J14" s="7" t="s">
        <v>107</v>
      </c>
      <c r="K14" s="7" t="s">
        <v>107</v>
      </c>
      <c r="L14" s="7" t="s">
        <v>107</v>
      </c>
      <c r="M14" s="7" t="s">
        <v>107</v>
      </c>
      <c r="N14" s="7" t="s">
        <v>107</v>
      </c>
      <c r="O14" s="7" t="s">
        <v>107</v>
      </c>
      <c r="P14" s="7" t="s">
        <v>107</v>
      </c>
      <c r="Q14" s="7" t="s">
        <v>107</v>
      </c>
      <c r="R14" s="7" t="s">
        <v>107</v>
      </c>
      <c r="S14" s="7" t="s">
        <v>107</v>
      </c>
      <c r="T14" s="7" t="s">
        <v>107</v>
      </c>
      <c r="U14" s="7" t="s">
        <v>107</v>
      </c>
      <c r="V14" s="7" t="s">
        <v>107</v>
      </c>
      <c r="W14" s="7" t="s">
        <v>107</v>
      </c>
      <c r="X14" s="7" t="s">
        <v>107</v>
      </c>
      <c r="Y14" s="7" t="s">
        <v>107</v>
      </c>
      <c r="Z14" s="7" t="s">
        <v>107</v>
      </c>
      <c r="AA14" s="7" t="s">
        <v>107</v>
      </c>
      <c r="AB14" s="7" t="s">
        <v>107</v>
      </c>
      <c r="AC14" s="7" t="s">
        <v>107</v>
      </c>
      <c r="AD14" s="7" t="s">
        <v>107</v>
      </c>
      <c r="AE14" s="7" t="s">
        <v>107</v>
      </c>
      <c r="AF14" s="7" t="s">
        <v>107</v>
      </c>
      <c r="AG14" s="22" t="s">
        <v>107</v>
      </c>
    </row>
    <row r="15" spans="1:33" s="11" customFormat="1" outlineLevel="1" x14ac:dyDescent="0.3">
      <c r="A15" s="11" t="s">
        <v>21</v>
      </c>
      <c r="B15" s="12">
        <v>3.5071058000000002</v>
      </c>
      <c r="C15" s="12">
        <v>74.819999999999993</v>
      </c>
      <c r="D15" s="12">
        <v>1.9670194000000001</v>
      </c>
      <c r="E15" s="17">
        <v>4.3333332999999996</v>
      </c>
      <c r="F15" s="13">
        <v>30.673333299999999</v>
      </c>
      <c r="G15" s="7" t="s">
        <v>107</v>
      </c>
      <c r="H15" s="7" t="s">
        <v>107</v>
      </c>
      <c r="I15" s="7" t="s">
        <v>107</v>
      </c>
      <c r="J15" s="7" t="s">
        <v>107</v>
      </c>
      <c r="K15" s="7" t="s">
        <v>107</v>
      </c>
      <c r="L15" s="7" t="s">
        <v>107</v>
      </c>
      <c r="M15" s="7" t="s">
        <v>107</v>
      </c>
      <c r="N15" s="7" t="s">
        <v>107</v>
      </c>
      <c r="O15" s="7" t="s">
        <v>107</v>
      </c>
      <c r="P15" s="7" t="s">
        <v>107</v>
      </c>
      <c r="Q15" s="7" t="s">
        <v>107</v>
      </c>
      <c r="R15" s="7" t="s">
        <v>107</v>
      </c>
      <c r="S15" s="7" t="s">
        <v>107</v>
      </c>
      <c r="T15" s="7" t="s">
        <v>107</v>
      </c>
      <c r="U15" s="7" t="s">
        <v>107</v>
      </c>
      <c r="V15" s="7" t="s">
        <v>107</v>
      </c>
      <c r="W15" s="7" t="s">
        <v>107</v>
      </c>
      <c r="X15" s="7" t="s">
        <v>107</v>
      </c>
      <c r="Y15" s="7" t="s">
        <v>107</v>
      </c>
      <c r="Z15" s="7" t="s">
        <v>107</v>
      </c>
      <c r="AA15" s="7" t="s">
        <v>107</v>
      </c>
      <c r="AB15" s="7" t="s">
        <v>107</v>
      </c>
      <c r="AC15" s="7" t="s">
        <v>107</v>
      </c>
      <c r="AD15" s="7" t="s">
        <v>107</v>
      </c>
      <c r="AE15" s="7" t="s">
        <v>107</v>
      </c>
      <c r="AF15" s="7" t="s">
        <v>107</v>
      </c>
      <c r="AG15" s="22" t="s">
        <v>107</v>
      </c>
    </row>
    <row r="16" spans="1:33" s="11" customFormat="1" outlineLevel="1" x14ac:dyDescent="0.3">
      <c r="A16" s="11" t="s">
        <v>22</v>
      </c>
      <c r="B16" s="12">
        <v>2.8994336000000001</v>
      </c>
      <c r="C16" s="12">
        <v>75.3</v>
      </c>
      <c r="D16" s="12">
        <v>2.2218200000000001</v>
      </c>
      <c r="E16" s="17">
        <v>4.75</v>
      </c>
      <c r="F16" s="13">
        <v>29.7233333</v>
      </c>
      <c r="G16" s="7" t="s">
        <v>107</v>
      </c>
      <c r="H16" s="7" t="s">
        <v>107</v>
      </c>
      <c r="I16" s="7" t="s">
        <v>107</v>
      </c>
      <c r="J16" s="7" t="s">
        <v>107</v>
      </c>
      <c r="K16" s="7" t="s">
        <v>107</v>
      </c>
      <c r="L16" s="7" t="s">
        <v>107</v>
      </c>
      <c r="M16" s="7" t="s">
        <v>107</v>
      </c>
      <c r="N16" s="7" t="s">
        <v>107</v>
      </c>
      <c r="O16" s="7" t="s">
        <v>107</v>
      </c>
      <c r="P16" s="7" t="s">
        <v>107</v>
      </c>
      <c r="Q16" s="7" t="s">
        <v>107</v>
      </c>
      <c r="R16" s="7" t="s">
        <v>107</v>
      </c>
      <c r="S16" s="7" t="s">
        <v>107</v>
      </c>
      <c r="T16" s="7" t="s">
        <v>107</v>
      </c>
      <c r="U16" s="7" t="s">
        <v>107</v>
      </c>
      <c r="V16" s="7" t="s">
        <v>107</v>
      </c>
      <c r="W16" s="7" t="s">
        <v>107</v>
      </c>
      <c r="X16" s="7" t="s">
        <v>107</v>
      </c>
      <c r="Y16" s="7" t="s">
        <v>107</v>
      </c>
      <c r="Z16" s="7" t="s">
        <v>107</v>
      </c>
      <c r="AA16" s="7" t="s">
        <v>107</v>
      </c>
      <c r="AB16" s="7" t="s">
        <v>107</v>
      </c>
      <c r="AC16" s="7" t="s">
        <v>107</v>
      </c>
      <c r="AD16" s="7" t="s">
        <v>107</v>
      </c>
      <c r="AE16" s="7" t="s">
        <v>107</v>
      </c>
      <c r="AF16" s="7" t="s">
        <v>107</v>
      </c>
      <c r="AG16" s="22" t="s">
        <v>107</v>
      </c>
    </row>
    <row r="17" spans="1:33" s="11" customFormat="1" outlineLevel="1" x14ac:dyDescent="0.3">
      <c r="A17" s="11" t="s">
        <v>23</v>
      </c>
      <c r="B17" s="12">
        <v>3.0047543999999999</v>
      </c>
      <c r="C17" s="12">
        <v>75.393333299999995</v>
      </c>
      <c r="D17" s="12">
        <v>1.8966527</v>
      </c>
      <c r="E17" s="17">
        <v>4.75</v>
      </c>
      <c r="F17" s="13">
        <v>25.873333299999999</v>
      </c>
      <c r="G17" s="7" t="s">
        <v>107</v>
      </c>
      <c r="H17" s="7" t="s">
        <v>107</v>
      </c>
      <c r="I17" s="7" t="s">
        <v>107</v>
      </c>
      <c r="J17" s="7" t="s">
        <v>107</v>
      </c>
      <c r="K17" s="7" t="s">
        <v>107</v>
      </c>
      <c r="L17" s="7" t="s">
        <v>107</v>
      </c>
      <c r="M17" s="7" t="s">
        <v>107</v>
      </c>
      <c r="N17" s="7" t="s">
        <v>107</v>
      </c>
      <c r="O17" s="7" t="s">
        <v>107</v>
      </c>
      <c r="P17" s="7" t="s">
        <v>107</v>
      </c>
      <c r="Q17" s="7" t="s">
        <v>107</v>
      </c>
      <c r="R17" s="7" t="s">
        <v>107</v>
      </c>
      <c r="S17" s="7" t="s">
        <v>107</v>
      </c>
      <c r="T17" s="7" t="s">
        <v>107</v>
      </c>
      <c r="U17" s="7" t="s">
        <v>107</v>
      </c>
      <c r="V17" s="12">
        <v>1</v>
      </c>
      <c r="W17" s="7" t="s">
        <v>107</v>
      </c>
      <c r="X17" s="7" t="s">
        <v>107</v>
      </c>
      <c r="Y17" s="7" t="s">
        <v>107</v>
      </c>
      <c r="Z17" s="7" t="s">
        <v>107</v>
      </c>
      <c r="AA17" s="7" t="s">
        <v>107</v>
      </c>
      <c r="AB17" s="7" t="s">
        <v>107</v>
      </c>
      <c r="AC17" s="7" t="s">
        <v>107</v>
      </c>
      <c r="AD17" s="7" t="s">
        <v>107</v>
      </c>
      <c r="AE17" s="7" t="s">
        <v>107</v>
      </c>
      <c r="AF17" s="7" t="s">
        <v>107</v>
      </c>
      <c r="AG17" s="22" t="s">
        <v>107</v>
      </c>
    </row>
    <row r="18" spans="1:33" s="11" customFormat="1" outlineLevel="1" x14ac:dyDescent="0.3">
      <c r="A18" s="11" t="s">
        <v>24</v>
      </c>
      <c r="B18" s="12">
        <v>2.2522867999999998</v>
      </c>
      <c r="C18" s="12">
        <v>76.483333299999998</v>
      </c>
      <c r="D18" s="12">
        <v>2.6713800000000001</v>
      </c>
      <c r="E18" s="17">
        <v>4.5833332999999996</v>
      </c>
      <c r="F18" s="13">
        <v>27.273333300000001</v>
      </c>
      <c r="G18" s="7" t="s">
        <v>107</v>
      </c>
      <c r="H18" s="7" t="s">
        <v>107</v>
      </c>
      <c r="I18" s="7" t="s">
        <v>107</v>
      </c>
      <c r="J18" s="7" t="s">
        <v>107</v>
      </c>
      <c r="K18" s="7" t="s">
        <v>107</v>
      </c>
      <c r="L18" s="7" t="s">
        <v>107</v>
      </c>
      <c r="M18" s="7" t="s">
        <v>107</v>
      </c>
      <c r="N18" s="7" t="s">
        <v>107</v>
      </c>
      <c r="O18" s="7" t="s">
        <v>107</v>
      </c>
      <c r="P18" s="7" t="s">
        <v>107</v>
      </c>
      <c r="Q18" s="7" t="s">
        <v>107</v>
      </c>
      <c r="R18" s="7" t="s">
        <v>107</v>
      </c>
      <c r="S18" s="7" t="s">
        <v>107</v>
      </c>
      <c r="T18" s="7" t="s">
        <v>107</v>
      </c>
      <c r="U18" s="7" t="s">
        <v>107</v>
      </c>
      <c r="V18" s="12">
        <v>1</v>
      </c>
      <c r="W18" s="7" t="s">
        <v>107</v>
      </c>
      <c r="X18" s="7" t="s">
        <v>107</v>
      </c>
      <c r="Y18" s="7" t="s">
        <v>107</v>
      </c>
      <c r="Z18" s="7" t="s">
        <v>107</v>
      </c>
      <c r="AA18" s="7" t="s">
        <v>107</v>
      </c>
      <c r="AB18" s="7" t="s">
        <v>107</v>
      </c>
      <c r="AC18" s="7" t="s">
        <v>107</v>
      </c>
      <c r="AD18" s="7" t="s">
        <v>107</v>
      </c>
      <c r="AE18" s="7" t="s">
        <v>107</v>
      </c>
      <c r="AF18" s="7" t="s">
        <v>107</v>
      </c>
      <c r="AG18" s="22" t="s">
        <v>107</v>
      </c>
    </row>
    <row r="19" spans="1:33" s="11" customFormat="1" outlineLevel="1" x14ac:dyDescent="0.3">
      <c r="A19" s="11" t="s">
        <v>25</v>
      </c>
      <c r="B19" s="12">
        <v>1.8991327</v>
      </c>
      <c r="C19" s="12">
        <v>76.516666700000002</v>
      </c>
      <c r="D19" s="12">
        <v>2.2676647000000001</v>
      </c>
      <c r="E19" s="17">
        <v>4.1666667000000004</v>
      </c>
      <c r="F19" s="13">
        <v>25.303333299999998</v>
      </c>
      <c r="G19" s="7" t="s">
        <v>107</v>
      </c>
      <c r="H19" s="7" t="s">
        <v>107</v>
      </c>
      <c r="I19" s="7" t="s">
        <v>107</v>
      </c>
      <c r="J19" s="7" t="s">
        <v>107</v>
      </c>
      <c r="K19" s="7" t="s">
        <v>107</v>
      </c>
      <c r="L19" s="7" t="s">
        <v>107</v>
      </c>
      <c r="M19" s="7" t="s">
        <v>107</v>
      </c>
      <c r="N19" s="7" t="s">
        <v>107</v>
      </c>
      <c r="O19" s="7" t="s">
        <v>107</v>
      </c>
      <c r="P19" s="7" t="s">
        <v>107</v>
      </c>
      <c r="Q19" s="7" t="s">
        <v>107</v>
      </c>
      <c r="R19" s="7" t="s">
        <v>107</v>
      </c>
      <c r="S19" s="7" t="s">
        <v>107</v>
      </c>
      <c r="T19" s="7" t="s">
        <v>107</v>
      </c>
      <c r="U19" s="7" t="s">
        <v>107</v>
      </c>
      <c r="V19" s="12">
        <v>1</v>
      </c>
      <c r="W19" s="7" t="s">
        <v>107</v>
      </c>
      <c r="X19" s="7" t="s">
        <v>107</v>
      </c>
      <c r="Y19" s="7" t="s">
        <v>107</v>
      </c>
      <c r="Z19" s="7" t="s">
        <v>107</v>
      </c>
      <c r="AA19" s="7" t="s">
        <v>107</v>
      </c>
      <c r="AB19" s="7" t="s">
        <v>107</v>
      </c>
      <c r="AC19" s="7" t="s">
        <v>107</v>
      </c>
      <c r="AD19" s="7" t="s">
        <v>107</v>
      </c>
      <c r="AE19" s="7" t="s">
        <v>107</v>
      </c>
      <c r="AF19" s="7" t="s">
        <v>107</v>
      </c>
      <c r="AG19" s="22" t="s">
        <v>107</v>
      </c>
    </row>
    <row r="20" spans="1:33" s="11" customFormat="1" outlineLevel="1" x14ac:dyDescent="0.3">
      <c r="A20" s="11" t="s">
        <v>26</v>
      </c>
      <c r="B20" s="12">
        <v>1.4300580000000001</v>
      </c>
      <c r="C20" s="12">
        <v>76.746666700000006</v>
      </c>
      <c r="D20" s="12">
        <v>1.9212041</v>
      </c>
      <c r="E20" s="17">
        <v>3.4166666999999999</v>
      </c>
      <c r="F20" s="13">
        <v>19.350000000000001</v>
      </c>
      <c r="G20" s="7" t="s">
        <v>107</v>
      </c>
      <c r="H20" s="7" t="s">
        <v>107</v>
      </c>
      <c r="I20" s="7" t="s">
        <v>107</v>
      </c>
      <c r="J20" s="7" t="s">
        <v>107</v>
      </c>
      <c r="K20" s="7" t="s">
        <v>107</v>
      </c>
      <c r="L20" s="7" t="s">
        <v>107</v>
      </c>
      <c r="M20" s="7" t="s">
        <v>107</v>
      </c>
      <c r="N20" s="7" t="s">
        <v>107</v>
      </c>
      <c r="O20" s="7" t="s">
        <v>107</v>
      </c>
      <c r="P20" s="7" t="s">
        <v>107</v>
      </c>
      <c r="Q20" s="7" t="s">
        <v>107</v>
      </c>
      <c r="R20" s="7" t="s">
        <v>107</v>
      </c>
      <c r="S20" s="7" t="s">
        <v>107</v>
      </c>
      <c r="T20" s="7" t="s">
        <v>107</v>
      </c>
      <c r="U20" s="7" t="s">
        <v>107</v>
      </c>
      <c r="V20" s="12">
        <v>1</v>
      </c>
      <c r="W20" s="7" t="s">
        <v>107</v>
      </c>
      <c r="X20" s="7" t="s">
        <v>107</v>
      </c>
      <c r="Y20" s="7" t="s">
        <v>107</v>
      </c>
      <c r="Z20" s="7" t="s">
        <v>107</v>
      </c>
      <c r="AA20" s="7" t="s">
        <v>107</v>
      </c>
      <c r="AB20" s="7" t="s">
        <v>107</v>
      </c>
      <c r="AC20" s="7" t="s">
        <v>107</v>
      </c>
      <c r="AD20" s="7" t="s">
        <v>107</v>
      </c>
      <c r="AE20" s="7" t="s">
        <v>107</v>
      </c>
      <c r="AF20" s="7" t="s">
        <v>107</v>
      </c>
      <c r="AG20" s="22" t="s">
        <v>107</v>
      </c>
    </row>
    <row r="21" spans="1:33" s="11" customFormat="1" outlineLevel="1" x14ac:dyDescent="0.3">
      <c r="A21" s="11" t="s">
        <v>27</v>
      </c>
      <c r="B21" s="12">
        <v>7.1740499999999999E-2</v>
      </c>
      <c r="C21" s="12">
        <v>77.180000000000007</v>
      </c>
      <c r="D21" s="12">
        <v>2.3697940000000002</v>
      </c>
      <c r="E21" s="17">
        <v>3.25</v>
      </c>
      <c r="F21" s="13">
        <v>21.1333333</v>
      </c>
      <c r="G21" s="7" t="s">
        <v>107</v>
      </c>
      <c r="H21" s="7" t="s">
        <v>107</v>
      </c>
      <c r="I21" s="7" t="s">
        <v>107</v>
      </c>
      <c r="J21" s="7" t="s">
        <v>107</v>
      </c>
      <c r="K21" s="7" t="s">
        <v>107</v>
      </c>
      <c r="L21" s="7" t="s">
        <v>107</v>
      </c>
      <c r="M21" s="7" t="s">
        <v>107</v>
      </c>
      <c r="N21" s="7" t="s">
        <v>107</v>
      </c>
      <c r="O21" s="7" t="s">
        <v>107</v>
      </c>
      <c r="P21" s="7" t="s">
        <v>107</v>
      </c>
      <c r="Q21" s="7" t="s">
        <v>107</v>
      </c>
      <c r="R21" s="7" t="s">
        <v>107</v>
      </c>
      <c r="S21" s="7" t="s">
        <v>107</v>
      </c>
      <c r="T21" s="7" t="s">
        <v>107</v>
      </c>
      <c r="U21" s="7" t="s">
        <v>107</v>
      </c>
      <c r="V21" s="12">
        <v>1</v>
      </c>
      <c r="W21" s="7" t="s">
        <v>107</v>
      </c>
      <c r="X21" s="7" t="s">
        <v>107</v>
      </c>
      <c r="Y21" s="7" t="s">
        <v>107</v>
      </c>
      <c r="Z21" s="7" t="s">
        <v>107</v>
      </c>
      <c r="AA21" s="7" t="s">
        <v>107</v>
      </c>
      <c r="AB21" s="7" t="s">
        <v>107</v>
      </c>
      <c r="AC21" s="7" t="s">
        <v>107</v>
      </c>
      <c r="AD21" s="7" t="s">
        <v>107</v>
      </c>
      <c r="AE21" s="7" t="s">
        <v>107</v>
      </c>
      <c r="AF21" s="7" t="s">
        <v>107</v>
      </c>
      <c r="AG21" s="22" t="s">
        <v>107</v>
      </c>
    </row>
    <row r="22" spans="1:33" s="11" customFormat="1" outlineLevel="1" x14ac:dyDescent="0.3">
      <c r="A22" s="11" t="s">
        <v>28</v>
      </c>
      <c r="B22" s="12">
        <v>1.2490021</v>
      </c>
      <c r="C22" s="12">
        <v>77.933333300000001</v>
      </c>
      <c r="D22" s="12">
        <v>1.8958379000000001</v>
      </c>
      <c r="E22" s="17">
        <v>3.25</v>
      </c>
      <c r="F22" s="13">
        <v>25.053333299999998</v>
      </c>
      <c r="G22" s="7" t="s">
        <v>107</v>
      </c>
      <c r="H22" s="7" t="s">
        <v>107</v>
      </c>
      <c r="I22" s="7" t="s">
        <v>107</v>
      </c>
      <c r="J22" s="7" t="s">
        <v>107</v>
      </c>
      <c r="K22" s="7" t="s">
        <v>107</v>
      </c>
      <c r="L22" s="7" t="s">
        <v>107</v>
      </c>
      <c r="M22" s="7" t="s">
        <v>107</v>
      </c>
      <c r="N22" s="7" t="s">
        <v>107</v>
      </c>
      <c r="O22" s="7" t="s">
        <v>107</v>
      </c>
      <c r="P22" s="7" t="s">
        <v>107</v>
      </c>
      <c r="Q22" s="7" t="s">
        <v>107</v>
      </c>
      <c r="R22" s="7" t="s">
        <v>107</v>
      </c>
      <c r="S22" s="7" t="s">
        <v>107</v>
      </c>
      <c r="T22" s="7" t="s">
        <v>107</v>
      </c>
      <c r="U22" s="7" t="s">
        <v>107</v>
      </c>
      <c r="V22" s="12">
        <v>1</v>
      </c>
      <c r="W22" s="7" t="s">
        <v>107</v>
      </c>
      <c r="X22" s="7" t="s">
        <v>107</v>
      </c>
      <c r="Y22" s="7" t="s">
        <v>107</v>
      </c>
      <c r="Z22" s="7" t="s">
        <v>107</v>
      </c>
      <c r="AA22" s="7" t="s">
        <v>107</v>
      </c>
      <c r="AB22" s="7" t="s">
        <v>107</v>
      </c>
      <c r="AC22" s="7" t="s">
        <v>107</v>
      </c>
      <c r="AD22" s="7" t="s">
        <v>107</v>
      </c>
      <c r="AE22" s="7" t="s">
        <v>107</v>
      </c>
      <c r="AF22" s="7" t="s">
        <v>107</v>
      </c>
      <c r="AG22" s="22" t="s">
        <v>107</v>
      </c>
    </row>
    <row r="23" spans="1:33" s="11" customFormat="1" outlineLevel="1" x14ac:dyDescent="0.3">
      <c r="A23" s="11" t="s">
        <v>29</v>
      </c>
      <c r="B23" s="12">
        <v>1.6677649999999999</v>
      </c>
      <c r="C23" s="12">
        <v>77.973333299999993</v>
      </c>
      <c r="D23" s="12">
        <v>1.9037246000000001</v>
      </c>
      <c r="E23" s="17">
        <v>3.25</v>
      </c>
      <c r="F23" s="13">
        <v>26.93</v>
      </c>
      <c r="G23" s="7" t="s">
        <v>107</v>
      </c>
      <c r="H23" s="7" t="s">
        <v>107</v>
      </c>
      <c r="I23" s="7" t="s">
        <v>107</v>
      </c>
      <c r="J23" s="7" t="s">
        <v>107</v>
      </c>
      <c r="K23" s="7" t="s">
        <v>107</v>
      </c>
      <c r="L23" s="7" t="s">
        <v>107</v>
      </c>
      <c r="M23" s="7" t="s">
        <v>107</v>
      </c>
      <c r="N23" s="7" t="s">
        <v>107</v>
      </c>
      <c r="O23" s="7" t="s">
        <v>107</v>
      </c>
      <c r="P23" s="7" t="s">
        <v>107</v>
      </c>
      <c r="Q23" s="7" t="s">
        <v>107</v>
      </c>
      <c r="R23" s="7" t="s">
        <v>107</v>
      </c>
      <c r="S23" s="7" t="s">
        <v>107</v>
      </c>
      <c r="T23" s="7" t="s">
        <v>107</v>
      </c>
      <c r="U23" s="12">
        <v>76.8</v>
      </c>
      <c r="V23" s="12">
        <v>1</v>
      </c>
      <c r="W23" s="7" t="s">
        <v>107</v>
      </c>
      <c r="X23" s="7" t="s">
        <v>107</v>
      </c>
      <c r="Y23" s="7" t="s">
        <v>107</v>
      </c>
      <c r="Z23" s="7" t="s">
        <v>107</v>
      </c>
      <c r="AA23" s="7" t="s">
        <v>107</v>
      </c>
      <c r="AB23" s="7" t="s">
        <v>107</v>
      </c>
      <c r="AC23" s="7" t="s">
        <v>107</v>
      </c>
      <c r="AD23" s="7" t="s">
        <v>107</v>
      </c>
      <c r="AE23" s="7" t="s">
        <v>107</v>
      </c>
      <c r="AF23" s="7" t="s">
        <v>107</v>
      </c>
      <c r="AG23" s="22" t="s">
        <v>107</v>
      </c>
    </row>
    <row r="24" spans="1:33" s="11" customFormat="1" outlineLevel="1" x14ac:dyDescent="0.3">
      <c r="A24" s="11" t="s">
        <v>30</v>
      </c>
      <c r="B24" s="12">
        <v>1.208337</v>
      </c>
      <c r="C24" s="12">
        <v>78.4033333</v>
      </c>
      <c r="D24" s="12">
        <v>2.158617</v>
      </c>
      <c r="E24" s="17">
        <v>3.0833333000000001</v>
      </c>
      <c r="F24" s="13">
        <v>26.736666700000001</v>
      </c>
      <c r="G24" s="7" t="s">
        <v>107</v>
      </c>
      <c r="H24" s="7" t="s">
        <v>107</v>
      </c>
      <c r="I24" s="7" t="s">
        <v>107</v>
      </c>
      <c r="J24" s="7" t="s">
        <v>107</v>
      </c>
      <c r="K24" s="7" t="s">
        <v>107</v>
      </c>
      <c r="L24" s="7" t="s">
        <v>107</v>
      </c>
      <c r="M24" s="7" t="s">
        <v>107</v>
      </c>
      <c r="N24" s="7" t="s">
        <v>107</v>
      </c>
      <c r="O24" s="7" t="s">
        <v>107</v>
      </c>
      <c r="P24" s="7" t="s">
        <v>107</v>
      </c>
      <c r="Q24" s="7" t="s">
        <v>107</v>
      </c>
      <c r="R24" s="7" t="s">
        <v>107</v>
      </c>
      <c r="S24" s="7" t="s">
        <v>107</v>
      </c>
      <c r="T24" s="7" t="s">
        <v>107</v>
      </c>
      <c r="U24" s="12">
        <v>79.400000000000006</v>
      </c>
      <c r="V24" s="12">
        <v>1</v>
      </c>
      <c r="W24" s="7" t="s">
        <v>107</v>
      </c>
      <c r="X24" s="7" t="s">
        <v>107</v>
      </c>
      <c r="Y24" s="7" t="s">
        <v>107</v>
      </c>
      <c r="Z24" s="7" t="s">
        <v>107</v>
      </c>
      <c r="AA24" s="7" t="s">
        <v>107</v>
      </c>
      <c r="AB24" s="7" t="s">
        <v>107</v>
      </c>
      <c r="AC24" s="7" t="s">
        <v>107</v>
      </c>
      <c r="AD24" s="7" t="s">
        <v>107</v>
      </c>
      <c r="AE24" s="7" t="s">
        <v>107</v>
      </c>
      <c r="AF24" s="7" t="s">
        <v>107</v>
      </c>
      <c r="AG24" s="22" t="s">
        <v>107</v>
      </c>
    </row>
    <row r="25" spans="1:33" s="11" customFormat="1" outlineLevel="1" x14ac:dyDescent="0.3">
      <c r="A25" s="11" t="s">
        <v>31</v>
      </c>
      <c r="B25" s="12">
        <v>1.0748135000000001</v>
      </c>
      <c r="C25" s="12">
        <v>78.856666700000005</v>
      </c>
      <c r="D25" s="12">
        <v>2.1724109</v>
      </c>
      <c r="E25" s="17">
        <v>2.6666666999999999</v>
      </c>
      <c r="F25" s="13">
        <v>31.52</v>
      </c>
      <c r="G25" s="7" t="s">
        <v>107</v>
      </c>
      <c r="H25" s="7" t="s">
        <v>107</v>
      </c>
      <c r="I25" s="7" t="s">
        <v>107</v>
      </c>
      <c r="J25" s="7" t="s">
        <v>107</v>
      </c>
      <c r="K25" s="7" t="s">
        <v>107</v>
      </c>
      <c r="L25" s="7" t="s">
        <v>107</v>
      </c>
      <c r="M25" s="7" t="s">
        <v>107</v>
      </c>
      <c r="N25" s="7" t="s">
        <v>107</v>
      </c>
      <c r="O25" s="7" t="s">
        <v>107</v>
      </c>
      <c r="P25" s="7" t="s">
        <v>107</v>
      </c>
      <c r="Q25" s="7" t="s">
        <v>107</v>
      </c>
      <c r="R25" s="7" t="s">
        <v>107</v>
      </c>
      <c r="S25" s="7" t="s">
        <v>107</v>
      </c>
      <c r="T25" s="7" t="s">
        <v>107</v>
      </c>
      <c r="U25" s="12">
        <v>80.400000000000006</v>
      </c>
      <c r="V25" s="12">
        <v>1</v>
      </c>
      <c r="W25" s="7" t="s">
        <v>107</v>
      </c>
      <c r="X25" s="7" t="s">
        <v>107</v>
      </c>
      <c r="Y25" s="7" t="s">
        <v>107</v>
      </c>
      <c r="Z25" s="7" t="s">
        <v>107</v>
      </c>
      <c r="AA25" s="7" t="s">
        <v>107</v>
      </c>
      <c r="AB25" s="7" t="s">
        <v>107</v>
      </c>
      <c r="AC25" s="7" t="s">
        <v>107</v>
      </c>
      <c r="AD25" s="7" t="s">
        <v>107</v>
      </c>
      <c r="AE25" s="7" t="s">
        <v>107</v>
      </c>
      <c r="AF25" s="7" t="s">
        <v>107</v>
      </c>
      <c r="AG25" s="22" t="s">
        <v>107</v>
      </c>
    </row>
    <row r="26" spans="1:33" s="11" customFormat="1" outlineLevel="1" x14ac:dyDescent="0.3">
      <c r="A26" s="11" t="s">
        <v>32</v>
      </c>
      <c r="B26" s="12">
        <v>0.33264589999999999</v>
      </c>
      <c r="C26" s="12">
        <v>79.37</v>
      </c>
      <c r="D26" s="12">
        <v>1.843456</v>
      </c>
      <c r="E26" s="17">
        <v>2.3333333000000001</v>
      </c>
      <c r="F26" s="13">
        <v>26.17</v>
      </c>
      <c r="G26" s="7" t="s">
        <v>107</v>
      </c>
      <c r="H26" s="7" t="s">
        <v>107</v>
      </c>
      <c r="I26" s="7" t="s">
        <v>107</v>
      </c>
      <c r="J26" s="7" t="s">
        <v>107</v>
      </c>
      <c r="K26" s="7" t="s">
        <v>107</v>
      </c>
      <c r="L26" s="7" t="s">
        <v>107</v>
      </c>
      <c r="M26" s="7" t="s">
        <v>107</v>
      </c>
      <c r="N26" s="7" t="s">
        <v>107</v>
      </c>
      <c r="O26" s="7" t="s">
        <v>107</v>
      </c>
      <c r="P26" s="7" t="s">
        <v>107</v>
      </c>
      <c r="Q26" s="7" t="s">
        <v>107</v>
      </c>
      <c r="R26" s="7" t="s">
        <v>107</v>
      </c>
      <c r="S26" s="7" t="s">
        <v>107</v>
      </c>
      <c r="T26" s="7" t="s">
        <v>107</v>
      </c>
      <c r="U26" s="12">
        <v>79.033333299999995</v>
      </c>
      <c r="V26" s="12">
        <v>1</v>
      </c>
      <c r="W26" s="7" t="s">
        <v>107</v>
      </c>
      <c r="X26" s="7" t="s">
        <v>107</v>
      </c>
      <c r="Y26" s="7" t="s">
        <v>107</v>
      </c>
      <c r="Z26" s="7" t="s">
        <v>107</v>
      </c>
      <c r="AA26" s="7" t="s">
        <v>107</v>
      </c>
      <c r="AB26" s="7" t="s">
        <v>107</v>
      </c>
      <c r="AC26" s="7" t="s">
        <v>107</v>
      </c>
      <c r="AD26" s="7" t="s">
        <v>107</v>
      </c>
      <c r="AE26" s="7" t="s">
        <v>107</v>
      </c>
      <c r="AF26" s="7" t="s">
        <v>107</v>
      </c>
      <c r="AG26" s="22" t="s">
        <v>107</v>
      </c>
    </row>
    <row r="27" spans="1:33" s="11" customFormat="1" outlineLevel="1" x14ac:dyDescent="0.3">
      <c r="A27" s="11" t="s">
        <v>33</v>
      </c>
      <c r="B27" s="12">
        <v>0.71308099999999996</v>
      </c>
      <c r="C27" s="12">
        <v>79.47</v>
      </c>
      <c r="D27" s="12">
        <v>1.9194597</v>
      </c>
      <c r="E27" s="17">
        <v>2</v>
      </c>
      <c r="F27" s="13">
        <v>28.45</v>
      </c>
      <c r="G27" s="7" t="s">
        <v>107</v>
      </c>
      <c r="H27" s="7" t="s">
        <v>107</v>
      </c>
      <c r="I27" s="7" t="s">
        <v>107</v>
      </c>
      <c r="J27" s="7" t="s">
        <v>107</v>
      </c>
      <c r="K27" s="7" t="s">
        <v>107</v>
      </c>
      <c r="L27" s="7" t="s">
        <v>107</v>
      </c>
      <c r="M27" s="7" t="s">
        <v>107</v>
      </c>
      <c r="N27" s="7" t="s">
        <v>107</v>
      </c>
      <c r="O27" s="7" t="s">
        <v>107</v>
      </c>
      <c r="P27" s="7" t="s">
        <v>107</v>
      </c>
      <c r="Q27" s="7" t="s">
        <v>107</v>
      </c>
      <c r="R27" s="7" t="s">
        <v>107</v>
      </c>
      <c r="S27" s="7" t="s">
        <v>107</v>
      </c>
      <c r="T27" s="7" t="s">
        <v>107</v>
      </c>
      <c r="U27" s="12">
        <v>76.733333299999998</v>
      </c>
      <c r="V27" s="12">
        <v>1</v>
      </c>
      <c r="W27" s="7" t="s">
        <v>107</v>
      </c>
      <c r="X27" s="7" t="s">
        <v>107</v>
      </c>
      <c r="Y27" s="7" t="s">
        <v>107</v>
      </c>
      <c r="Z27" s="7" t="s">
        <v>107</v>
      </c>
      <c r="AA27" s="7" t="s">
        <v>107</v>
      </c>
      <c r="AB27" s="7" t="s">
        <v>107</v>
      </c>
      <c r="AC27" s="7" t="s">
        <v>107</v>
      </c>
      <c r="AD27" s="7" t="s">
        <v>107</v>
      </c>
      <c r="AE27" s="7" t="s">
        <v>107</v>
      </c>
      <c r="AF27" s="12">
        <v>6189.6551724000001</v>
      </c>
      <c r="AG27" s="22" t="s">
        <v>107</v>
      </c>
    </row>
    <row r="28" spans="1:33" s="11" customFormat="1" outlineLevel="1" x14ac:dyDescent="0.3">
      <c r="A28" s="11" t="s">
        <v>34</v>
      </c>
      <c r="B28" s="12">
        <v>1.3127310999999999</v>
      </c>
      <c r="C28" s="12">
        <v>79.913333300000005</v>
      </c>
      <c r="D28" s="12">
        <v>1.9259385</v>
      </c>
      <c r="E28" s="17">
        <v>2</v>
      </c>
      <c r="F28" s="13">
        <v>29.39</v>
      </c>
      <c r="G28" s="7" t="s">
        <v>107</v>
      </c>
      <c r="H28" s="7" t="s">
        <v>107</v>
      </c>
      <c r="I28" s="7" t="s">
        <v>107</v>
      </c>
      <c r="J28" s="7" t="s">
        <v>107</v>
      </c>
      <c r="K28" s="7" t="s">
        <v>107</v>
      </c>
      <c r="L28" s="7" t="s">
        <v>107</v>
      </c>
      <c r="M28" s="7" t="s">
        <v>107</v>
      </c>
      <c r="N28" s="7" t="s">
        <v>107</v>
      </c>
      <c r="O28" s="7" t="s">
        <v>107</v>
      </c>
      <c r="P28" s="7" t="s">
        <v>107</v>
      </c>
      <c r="Q28" s="7" t="s">
        <v>107</v>
      </c>
      <c r="R28" s="7" t="s">
        <v>107</v>
      </c>
      <c r="S28" s="7" t="s">
        <v>107</v>
      </c>
      <c r="T28" s="7" t="s">
        <v>107</v>
      </c>
      <c r="U28" s="12">
        <v>80.033333299999995</v>
      </c>
      <c r="V28" s="12">
        <v>1</v>
      </c>
      <c r="W28" s="7" t="s">
        <v>107</v>
      </c>
      <c r="X28" s="7" t="s">
        <v>107</v>
      </c>
      <c r="Y28" s="7" t="s">
        <v>107</v>
      </c>
      <c r="Z28" s="7" t="s">
        <v>107</v>
      </c>
      <c r="AA28" s="7" t="s">
        <v>107</v>
      </c>
      <c r="AB28" s="7" t="s">
        <v>107</v>
      </c>
      <c r="AC28" s="7" t="s">
        <v>107</v>
      </c>
      <c r="AD28" s="7" t="s">
        <v>107</v>
      </c>
      <c r="AE28" s="7" t="s">
        <v>107</v>
      </c>
      <c r="AF28" s="12">
        <v>585.98032330000001</v>
      </c>
      <c r="AG28" s="22" t="s">
        <v>107</v>
      </c>
    </row>
    <row r="29" spans="1:33" s="11" customFormat="1" outlineLevel="1" x14ac:dyDescent="0.3">
      <c r="A29" s="11" t="s">
        <v>35</v>
      </c>
      <c r="B29" s="12">
        <v>2.4350660999999998</v>
      </c>
      <c r="C29" s="12">
        <v>80.113333299999994</v>
      </c>
      <c r="D29" s="12">
        <v>1.5936086</v>
      </c>
      <c r="E29" s="17">
        <v>2</v>
      </c>
      <c r="F29" s="13">
        <v>31.923333299999999</v>
      </c>
      <c r="G29" s="7" t="s">
        <v>107</v>
      </c>
      <c r="H29" s="7" t="s">
        <v>107</v>
      </c>
      <c r="I29" s="7" t="s">
        <v>107</v>
      </c>
      <c r="J29" s="7" t="s">
        <v>107</v>
      </c>
      <c r="K29" s="7" t="s">
        <v>107</v>
      </c>
      <c r="L29" s="7" t="s">
        <v>107</v>
      </c>
      <c r="M29" s="7" t="s">
        <v>107</v>
      </c>
      <c r="N29" s="7" t="s">
        <v>107</v>
      </c>
      <c r="O29" s="7" t="s">
        <v>107</v>
      </c>
      <c r="P29" s="7" t="s">
        <v>107</v>
      </c>
      <c r="Q29" s="7" t="s">
        <v>107</v>
      </c>
      <c r="R29" s="7" t="s">
        <v>107</v>
      </c>
      <c r="S29" s="7" t="s">
        <v>107</v>
      </c>
      <c r="T29" s="7" t="s">
        <v>107</v>
      </c>
      <c r="U29" s="12">
        <v>80.266666700000002</v>
      </c>
      <c r="V29" s="12">
        <v>1</v>
      </c>
      <c r="W29" s="7" t="s">
        <v>107</v>
      </c>
      <c r="X29" s="7" t="s">
        <v>107</v>
      </c>
      <c r="Y29" s="7" t="s">
        <v>107</v>
      </c>
      <c r="Z29" s="7" t="s">
        <v>107</v>
      </c>
      <c r="AA29" s="7" t="s">
        <v>107</v>
      </c>
      <c r="AB29" s="7" t="s">
        <v>107</v>
      </c>
      <c r="AC29" s="7" t="s">
        <v>107</v>
      </c>
      <c r="AD29" s="7" t="s">
        <v>107</v>
      </c>
      <c r="AE29" s="7" t="s">
        <v>107</v>
      </c>
      <c r="AF29" s="12">
        <v>290.28771</v>
      </c>
      <c r="AG29" s="22" t="s">
        <v>107</v>
      </c>
    </row>
    <row r="30" spans="1:33" s="11" customFormat="1" outlineLevel="1" x14ac:dyDescent="0.3">
      <c r="A30" s="11" t="s">
        <v>36</v>
      </c>
      <c r="B30" s="12">
        <v>2.9592486</v>
      </c>
      <c r="C30" s="12">
        <v>81.069999999999993</v>
      </c>
      <c r="D30" s="12">
        <v>2.1418672000000001</v>
      </c>
      <c r="E30" s="17">
        <v>2</v>
      </c>
      <c r="F30" s="13">
        <v>35.446666700000002</v>
      </c>
      <c r="G30" s="7" t="s">
        <v>107</v>
      </c>
      <c r="H30" s="7" t="s">
        <v>107</v>
      </c>
      <c r="I30" s="7" t="s">
        <v>107</v>
      </c>
      <c r="J30" s="7" t="s">
        <v>107</v>
      </c>
      <c r="K30" s="7" t="s">
        <v>107</v>
      </c>
      <c r="L30" s="7" t="s">
        <v>107</v>
      </c>
      <c r="M30" s="7" t="s">
        <v>107</v>
      </c>
      <c r="N30" s="7" t="s">
        <v>107</v>
      </c>
      <c r="O30" s="7" t="s">
        <v>107</v>
      </c>
      <c r="P30" s="7" t="s">
        <v>107</v>
      </c>
      <c r="Q30" s="7" t="s">
        <v>107</v>
      </c>
      <c r="R30" s="7" t="s">
        <v>107</v>
      </c>
      <c r="S30" s="7" t="s">
        <v>107</v>
      </c>
      <c r="T30" s="12">
        <v>14.956</v>
      </c>
      <c r="U30" s="12">
        <v>78.866666699999996</v>
      </c>
      <c r="V30" s="12">
        <v>1</v>
      </c>
      <c r="W30" s="7" t="s">
        <v>107</v>
      </c>
      <c r="X30" s="7" t="s">
        <v>107</v>
      </c>
      <c r="Y30" s="7" t="s">
        <v>107</v>
      </c>
      <c r="Z30" s="7" t="s">
        <v>107</v>
      </c>
      <c r="AA30" s="7" t="s">
        <v>107</v>
      </c>
      <c r="AB30" s="7" t="s">
        <v>107</v>
      </c>
      <c r="AC30" s="7" t="s">
        <v>107</v>
      </c>
      <c r="AD30" s="7" t="s">
        <v>107</v>
      </c>
      <c r="AE30" s="7" t="s">
        <v>107</v>
      </c>
      <c r="AF30" s="12">
        <v>192.7040805</v>
      </c>
      <c r="AG30" s="22" t="s">
        <v>107</v>
      </c>
    </row>
    <row r="31" spans="1:33" s="11" customFormat="1" outlineLevel="1" x14ac:dyDescent="0.3">
      <c r="A31" s="11" t="s">
        <v>37</v>
      </c>
      <c r="B31" s="12">
        <v>2.4141233999999998</v>
      </c>
      <c r="C31" s="12">
        <v>81.156666700000002</v>
      </c>
      <c r="D31" s="12">
        <v>2.1223942</v>
      </c>
      <c r="E31" s="17">
        <v>2</v>
      </c>
      <c r="F31" s="13">
        <v>41.386666699999999</v>
      </c>
      <c r="G31" s="7" t="s">
        <v>107</v>
      </c>
      <c r="H31" s="7" t="s">
        <v>107</v>
      </c>
      <c r="I31" s="7" t="s">
        <v>107</v>
      </c>
      <c r="J31" s="7" t="s">
        <v>107</v>
      </c>
      <c r="K31" s="7" t="s">
        <v>107</v>
      </c>
      <c r="L31" s="7" t="s">
        <v>107</v>
      </c>
      <c r="M31" s="7" t="s">
        <v>107</v>
      </c>
      <c r="N31" s="7" t="s">
        <v>107</v>
      </c>
      <c r="O31" s="7" t="s">
        <v>107</v>
      </c>
      <c r="P31" s="7" t="s">
        <v>107</v>
      </c>
      <c r="Q31" s="7" t="s">
        <v>107</v>
      </c>
      <c r="R31" s="7" t="s">
        <v>107</v>
      </c>
      <c r="S31" s="7" t="s">
        <v>107</v>
      </c>
      <c r="T31" s="12">
        <v>14.581</v>
      </c>
      <c r="U31" s="12">
        <v>76.733333299999998</v>
      </c>
      <c r="V31" s="12">
        <v>1</v>
      </c>
      <c r="W31" s="7" t="s">
        <v>107</v>
      </c>
      <c r="X31" s="7" t="s">
        <v>107</v>
      </c>
      <c r="Y31" s="7" t="s">
        <v>107</v>
      </c>
      <c r="Z31" s="7" t="s">
        <v>107</v>
      </c>
      <c r="AA31" s="7" t="s">
        <v>107</v>
      </c>
      <c r="AB31" s="7" t="s">
        <v>107</v>
      </c>
      <c r="AC31" s="7" t="s">
        <v>107</v>
      </c>
      <c r="AD31" s="7" t="s">
        <v>107</v>
      </c>
      <c r="AE31" s="7" t="s">
        <v>107</v>
      </c>
      <c r="AF31" s="12">
        <v>147.1175073</v>
      </c>
      <c r="AG31" s="22" t="s">
        <v>107</v>
      </c>
    </row>
    <row r="32" spans="1:33" s="11" customFormat="1" outlineLevel="1" x14ac:dyDescent="0.3">
      <c r="A32" s="11" t="s">
        <v>38</v>
      </c>
      <c r="B32" s="12">
        <v>2.308249</v>
      </c>
      <c r="C32" s="12">
        <v>81.663333300000005</v>
      </c>
      <c r="D32" s="12">
        <v>2.1898724000000001</v>
      </c>
      <c r="E32" s="17">
        <v>2</v>
      </c>
      <c r="F32" s="13">
        <v>44.163333299999998</v>
      </c>
      <c r="G32" s="7" t="s">
        <v>107</v>
      </c>
      <c r="H32" s="7" t="s">
        <v>107</v>
      </c>
      <c r="I32" s="7" t="s">
        <v>107</v>
      </c>
      <c r="J32" s="7" t="s">
        <v>107</v>
      </c>
      <c r="K32" s="7" t="s">
        <v>107</v>
      </c>
      <c r="L32" s="7" t="s">
        <v>107</v>
      </c>
      <c r="M32" s="7" t="s">
        <v>107</v>
      </c>
      <c r="N32" s="7" t="s">
        <v>107</v>
      </c>
      <c r="O32" s="7" t="s">
        <v>107</v>
      </c>
      <c r="P32" s="7" t="s">
        <v>107</v>
      </c>
      <c r="Q32" s="7" t="s">
        <v>107</v>
      </c>
      <c r="R32" s="7" t="s">
        <v>107</v>
      </c>
      <c r="S32" s="7" t="s">
        <v>107</v>
      </c>
      <c r="T32" s="12">
        <v>15.167</v>
      </c>
      <c r="U32" s="12">
        <v>76.966666700000005</v>
      </c>
      <c r="V32" s="12">
        <v>1</v>
      </c>
      <c r="W32" s="7" t="s">
        <v>107</v>
      </c>
      <c r="X32" s="7" t="s">
        <v>107</v>
      </c>
      <c r="Y32" s="7" t="s">
        <v>107</v>
      </c>
      <c r="Z32" s="7" t="s">
        <v>107</v>
      </c>
      <c r="AA32" s="7" t="s">
        <v>107</v>
      </c>
      <c r="AB32" s="7" t="s">
        <v>107</v>
      </c>
      <c r="AC32" s="7" t="s">
        <v>107</v>
      </c>
      <c r="AD32" s="7" t="s">
        <v>107</v>
      </c>
      <c r="AE32" s="7" t="s">
        <v>107</v>
      </c>
      <c r="AF32" s="12">
        <v>114.39745430000001</v>
      </c>
      <c r="AG32" s="22" t="s">
        <v>107</v>
      </c>
    </row>
    <row r="33" spans="1:33" s="11" customFormat="1" outlineLevel="1" x14ac:dyDescent="0.3">
      <c r="A33" s="11" t="s">
        <v>39</v>
      </c>
      <c r="B33" s="12">
        <v>1.1277817999999999</v>
      </c>
      <c r="C33" s="12">
        <v>81.773333300000004</v>
      </c>
      <c r="D33" s="12">
        <v>2.0720646</v>
      </c>
      <c r="E33" s="17">
        <v>2</v>
      </c>
      <c r="F33" s="13">
        <v>47.696666700000002</v>
      </c>
      <c r="G33" s="7" t="s">
        <v>107</v>
      </c>
      <c r="H33" s="7" t="s">
        <v>107</v>
      </c>
      <c r="I33" s="7" t="s">
        <v>107</v>
      </c>
      <c r="J33" s="7" t="s">
        <v>107</v>
      </c>
      <c r="K33" s="7" t="s">
        <v>107</v>
      </c>
      <c r="L33" s="7" t="s">
        <v>107</v>
      </c>
      <c r="M33" s="7" t="s">
        <v>107</v>
      </c>
      <c r="N33" s="7" t="s">
        <v>107</v>
      </c>
      <c r="O33" s="7" t="s">
        <v>107</v>
      </c>
      <c r="P33" s="7" t="s">
        <v>107</v>
      </c>
      <c r="Q33" s="7" t="s">
        <v>107</v>
      </c>
      <c r="R33" s="7" t="s">
        <v>107</v>
      </c>
      <c r="S33" s="7" t="s">
        <v>107</v>
      </c>
      <c r="T33" s="12">
        <v>16.213999999999999</v>
      </c>
      <c r="U33" s="12">
        <v>77.466666700000005</v>
      </c>
      <c r="V33" s="12">
        <v>1</v>
      </c>
      <c r="W33" s="7" t="s">
        <v>107</v>
      </c>
      <c r="X33" s="7" t="s">
        <v>107</v>
      </c>
      <c r="Y33" s="7" t="s">
        <v>107</v>
      </c>
      <c r="Z33" s="7" t="s">
        <v>107</v>
      </c>
      <c r="AA33" s="7" t="s">
        <v>107</v>
      </c>
      <c r="AB33" s="7" t="s">
        <v>107</v>
      </c>
      <c r="AC33" s="7" t="s">
        <v>107</v>
      </c>
      <c r="AD33" s="7" t="s">
        <v>107</v>
      </c>
      <c r="AE33" s="7" t="s">
        <v>107</v>
      </c>
      <c r="AF33" s="12">
        <v>89.512676799999994</v>
      </c>
      <c r="AG33" s="22" t="s">
        <v>107</v>
      </c>
    </row>
    <row r="34" spans="1:33" s="11" customFormat="1" outlineLevel="1" x14ac:dyDescent="0.3">
      <c r="A34" s="11" t="s">
        <v>40</v>
      </c>
      <c r="B34" s="12">
        <v>2.2042253999999999</v>
      </c>
      <c r="C34" s="12">
        <v>82.71</v>
      </c>
      <c r="D34" s="12">
        <v>2.0229431</v>
      </c>
      <c r="E34" s="17">
        <v>2</v>
      </c>
      <c r="F34" s="13">
        <v>51.626666700000001</v>
      </c>
      <c r="G34" s="7" t="s">
        <v>107</v>
      </c>
      <c r="H34" s="7" t="s">
        <v>107</v>
      </c>
      <c r="I34" s="7" t="s">
        <v>107</v>
      </c>
      <c r="J34" s="7" t="s">
        <v>107</v>
      </c>
      <c r="K34" s="7" t="s">
        <v>107</v>
      </c>
      <c r="L34" s="7" t="s">
        <v>107</v>
      </c>
      <c r="M34" s="7" t="s">
        <v>107</v>
      </c>
      <c r="N34" s="7" t="s">
        <v>107</v>
      </c>
      <c r="O34" s="7" t="s">
        <v>107</v>
      </c>
      <c r="P34" s="7" t="s">
        <v>107</v>
      </c>
      <c r="Q34" s="7" t="s">
        <v>107</v>
      </c>
      <c r="R34" s="7" t="s">
        <v>107</v>
      </c>
      <c r="S34" s="7" t="s">
        <v>107</v>
      </c>
      <c r="T34" s="12">
        <v>15.111000000000001</v>
      </c>
      <c r="U34" s="12">
        <v>77.233333299999998</v>
      </c>
      <c r="V34" s="12">
        <v>1</v>
      </c>
      <c r="W34" s="7" t="s">
        <v>107</v>
      </c>
      <c r="X34" s="7" t="s">
        <v>107</v>
      </c>
      <c r="Y34" s="7" t="s">
        <v>107</v>
      </c>
      <c r="Z34" s="7" t="s">
        <v>107</v>
      </c>
      <c r="AA34" s="7" t="s">
        <v>107</v>
      </c>
      <c r="AB34" s="7" t="s">
        <v>107</v>
      </c>
      <c r="AC34" s="7" t="s">
        <v>107</v>
      </c>
      <c r="AD34" s="7" t="s">
        <v>107</v>
      </c>
      <c r="AE34" s="7" t="s">
        <v>107</v>
      </c>
      <c r="AF34" s="12">
        <v>72.589211500000005</v>
      </c>
      <c r="AG34" s="22" t="s">
        <v>107</v>
      </c>
    </row>
    <row r="35" spans="1:33" s="11" customFormat="1" outlineLevel="1" x14ac:dyDescent="0.3">
      <c r="A35" s="11" t="s">
        <v>41</v>
      </c>
      <c r="B35" s="12">
        <v>2.0830310000000001</v>
      </c>
      <c r="C35" s="12">
        <v>83.016666700000002</v>
      </c>
      <c r="D35" s="12">
        <v>2.2918634999999998</v>
      </c>
      <c r="E35" s="17">
        <v>2</v>
      </c>
      <c r="F35" s="13">
        <v>61.47</v>
      </c>
      <c r="G35" s="7" t="s">
        <v>107</v>
      </c>
      <c r="H35" s="7" t="s">
        <v>107</v>
      </c>
      <c r="I35" s="7" t="s">
        <v>107</v>
      </c>
      <c r="J35" s="7" t="s">
        <v>107</v>
      </c>
      <c r="K35" s="7" t="s">
        <v>107</v>
      </c>
      <c r="L35" s="7" t="s">
        <v>107</v>
      </c>
      <c r="M35" s="7" t="s">
        <v>107</v>
      </c>
      <c r="N35" s="7" t="s">
        <v>107</v>
      </c>
      <c r="O35" s="7" t="s">
        <v>107</v>
      </c>
      <c r="P35" s="7" t="s">
        <v>107</v>
      </c>
      <c r="Q35" s="7" t="s">
        <v>107</v>
      </c>
      <c r="R35" s="7" t="s">
        <v>107</v>
      </c>
      <c r="S35" s="7" t="s">
        <v>107</v>
      </c>
      <c r="T35" s="12">
        <v>15.16</v>
      </c>
      <c r="U35" s="12">
        <v>76.3</v>
      </c>
      <c r="V35" s="12">
        <v>1</v>
      </c>
      <c r="W35" s="7" t="s">
        <v>107</v>
      </c>
      <c r="X35" s="7" t="s">
        <v>107</v>
      </c>
      <c r="Y35" s="7" t="s">
        <v>107</v>
      </c>
      <c r="Z35" s="7" t="s">
        <v>107</v>
      </c>
      <c r="AA35" s="7" t="s">
        <v>107</v>
      </c>
      <c r="AB35" s="7" t="s">
        <v>107</v>
      </c>
      <c r="AC35" s="7" t="s">
        <v>107</v>
      </c>
      <c r="AD35" s="7" t="s">
        <v>107</v>
      </c>
      <c r="AE35" s="7" t="s">
        <v>107</v>
      </c>
      <c r="AF35" s="12">
        <v>60.363211700000001</v>
      </c>
      <c r="AG35" s="22" t="s">
        <v>107</v>
      </c>
    </row>
    <row r="36" spans="1:33" s="11" customFormat="1" outlineLevel="1" x14ac:dyDescent="0.3">
      <c r="A36" s="11" t="s">
        <v>42</v>
      </c>
      <c r="B36" s="12">
        <v>2.0666498999999998</v>
      </c>
      <c r="C36" s="12">
        <v>83.51</v>
      </c>
      <c r="D36" s="12">
        <v>2.2613167999999999</v>
      </c>
      <c r="E36" s="17">
        <v>2.0833333000000001</v>
      </c>
      <c r="F36" s="13">
        <v>56.88</v>
      </c>
      <c r="G36" s="7" t="s">
        <v>107</v>
      </c>
      <c r="H36" s="7" t="s">
        <v>107</v>
      </c>
      <c r="I36" s="7" t="s">
        <v>107</v>
      </c>
      <c r="J36" s="7" t="s">
        <v>107</v>
      </c>
      <c r="K36" s="7" t="s">
        <v>107</v>
      </c>
      <c r="L36" s="7" t="s">
        <v>107</v>
      </c>
      <c r="M36" s="7" t="s">
        <v>107</v>
      </c>
      <c r="N36" s="7" t="s">
        <v>107</v>
      </c>
      <c r="O36" s="7" t="s">
        <v>107</v>
      </c>
      <c r="P36" s="7" t="s">
        <v>107</v>
      </c>
      <c r="Q36" s="7" t="s">
        <v>107</v>
      </c>
      <c r="R36" s="7" t="s">
        <v>107</v>
      </c>
      <c r="S36" s="7" t="s">
        <v>107</v>
      </c>
      <c r="T36" s="12">
        <v>14.471</v>
      </c>
      <c r="U36" s="12">
        <v>77.5</v>
      </c>
      <c r="V36" s="12">
        <v>1</v>
      </c>
      <c r="W36" s="7" t="s">
        <v>107</v>
      </c>
      <c r="X36" s="7" t="s">
        <v>107</v>
      </c>
      <c r="Y36" s="7" t="s">
        <v>107</v>
      </c>
      <c r="Z36" s="7" t="s">
        <v>107</v>
      </c>
      <c r="AA36" s="7" t="s">
        <v>107</v>
      </c>
      <c r="AB36" s="7" t="s">
        <v>107</v>
      </c>
      <c r="AC36" s="7" t="s">
        <v>107</v>
      </c>
      <c r="AD36" s="7" t="s">
        <v>107</v>
      </c>
      <c r="AE36" s="7" t="s">
        <v>107</v>
      </c>
      <c r="AF36" s="12">
        <v>50.496544</v>
      </c>
      <c r="AG36" s="22" t="s">
        <v>107</v>
      </c>
    </row>
    <row r="37" spans="1:33" s="11" customFormat="1" outlineLevel="1" x14ac:dyDescent="0.3">
      <c r="A37" s="11" t="s">
        <v>43</v>
      </c>
      <c r="B37" s="12">
        <v>3.8191847000000001</v>
      </c>
      <c r="C37" s="12">
        <v>83.573333300000002</v>
      </c>
      <c r="D37" s="12">
        <v>2.2012065999999999</v>
      </c>
      <c r="E37" s="17">
        <v>2.3333333000000001</v>
      </c>
      <c r="F37" s="13">
        <v>61.753333300000001</v>
      </c>
      <c r="G37" s="7" t="s">
        <v>107</v>
      </c>
      <c r="H37" s="7" t="s">
        <v>107</v>
      </c>
      <c r="I37" s="7" t="s">
        <v>107</v>
      </c>
      <c r="J37" s="7" t="s">
        <v>107</v>
      </c>
      <c r="K37" s="7" t="s">
        <v>107</v>
      </c>
      <c r="L37" s="7" t="s">
        <v>107</v>
      </c>
      <c r="M37" s="7" t="s">
        <v>107</v>
      </c>
      <c r="N37" s="7" t="s">
        <v>107</v>
      </c>
      <c r="O37" s="7" t="s">
        <v>107</v>
      </c>
      <c r="P37" s="7" t="s">
        <v>107</v>
      </c>
      <c r="Q37" s="7" t="s">
        <v>107</v>
      </c>
      <c r="R37" s="7" t="s">
        <v>107</v>
      </c>
      <c r="S37" s="12">
        <v>3.4285714</v>
      </c>
      <c r="T37" s="12">
        <v>14.699</v>
      </c>
      <c r="U37" s="12">
        <v>78</v>
      </c>
      <c r="V37" s="12">
        <v>1</v>
      </c>
      <c r="W37" s="7" t="s">
        <v>107</v>
      </c>
      <c r="X37" s="7" t="s">
        <v>107</v>
      </c>
      <c r="Y37" s="7" t="s">
        <v>107</v>
      </c>
      <c r="Z37" s="7" t="s">
        <v>107</v>
      </c>
      <c r="AA37" s="7" t="s">
        <v>107</v>
      </c>
      <c r="AB37" s="7" t="s">
        <v>107</v>
      </c>
      <c r="AC37" s="7" t="s">
        <v>107</v>
      </c>
      <c r="AD37" s="7" t="s">
        <v>107</v>
      </c>
      <c r="AE37" s="7" t="s">
        <v>107</v>
      </c>
      <c r="AF37" s="12">
        <v>43.451909399999998</v>
      </c>
      <c r="AG37" s="22" t="s">
        <v>107</v>
      </c>
    </row>
    <row r="38" spans="1:33" s="11" customFormat="1" outlineLevel="1" x14ac:dyDescent="0.3">
      <c r="A38" s="11" t="s">
        <v>44</v>
      </c>
      <c r="B38" s="12">
        <v>2.9723983</v>
      </c>
      <c r="C38" s="12">
        <v>84.693333300000006</v>
      </c>
      <c r="D38" s="12">
        <v>2.3979365000000001</v>
      </c>
      <c r="E38" s="17">
        <v>2.5833333000000001</v>
      </c>
      <c r="F38" s="13">
        <v>69.533333299999995</v>
      </c>
      <c r="G38" s="7" t="s">
        <v>107</v>
      </c>
      <c r="H38" s="7" t="s">
        <v>107</v>
      </c>
      <c r="I38" s="7" t="s">
        <v>107</v>
      </c>
      <c r="J38" s="7" t="s">
        <v>107</v>
      </c>
      <c r="K38" s="7" t="s">
        <v>107</v>
      </c>
      <c r="L38" s="7" t="s">
        <v>107</v>
      </c>
      <c r="M38" s="7" t="s">
        <v>107</v>
      </c>
      <c r="N38" s="7" t="s">
        <v>107</v>
      </c>
      <c r="O38" s="7" t="s">
        <v>107</v>
      </c>
      <c r="P38" s="7" t="s">
        <v>107</v>
      </c>
      <c r="Q38" s="7" t="s">
        <v>107</v>
      </c>
      <c r="R38" s="7" t="s">
        <v>107</v>
      </c>
      <c r="S38" s="12">
        <v>4.1509434000000001</v>
      </c>
      <c r="T38" s="12">
        <v>14.516999999999999</v>
      </c>
      <c r="U38" s="12">
        <v>77.833333300000007</v>
      </c>
      <c r="V38" s="12">
        <v>1</v>
      </c>
      <c r="W38" s="7" t="s">
        <v>107</v>
      </c>
      <c r="X38" s="7" t="s">
        <v>107</v>
      </c>
      <c r="Y38" s="7" t="s">
        <v>107</v>
      </c>
      <c r="Z38" s="7" t="s">
        <v>107</v>
      </c>
      <c r="AA38" s="7" t="s">
        <v>107</v>
      </c>
      <c r="AB38" s="7" t="s">
        <v>107</v>
      </c>
      <c r="AC38" s="7" t="s">
        <v>107</v>
      </c>
      <c r="AD38" s="7" t="s">
        <v>107</v>
      </c>
      <c r="AE38" s="7" t="s">
        <v>107</v>
      </c>
      <c r="AF38" s="12">
        <v>22.175366</v>
      </c>
      <c r="AG38" s="22" t="s">
        <v>107</v>
      </c>
    </row>
    <row r="39" spans="1:33" s="11" customFormat="1" outlineLevel="1" x14ac:dyDescent="0.3">
      <c r="A39" s="11" t="s">
        <v>45</v>
      </c>
      <c r="B39" s="12">
        <v>3.3099788999999999</v>
      </c>
      <c r="C39" s="12">
        <v>84.873333299999999</v>
      </c>
      <c r="D39" s="12">
        <v>2.2364986</v>
      </c>
      <c r="E39" s="17">
        <v>2.9166666999999999</v>
      </c>
      <c r="F39" s="13">
        <v>69.62</v>
      </c>
      <c r="G39" s="7" t="s">
        <v>107</v>
      </c>
      <c r="H39" s="7" t="s">
        <v>107</v>
      </c>
      <c r="I39" s="7" t="s">
        <v>107</v>
      </c>
      <c r="J39" s="7" t="s">
        <v>107</v>
      </c>
      <c r="K39" s="7" t="s">
        <v>107</v>
      </c>
      <c r="L39" s="7" t="s">
        <v>107</v>
      </c>
      <c r="M39" s="7" t="s">
        <v>107</v>
      </c>
      <c r="N39" s="7" t="s">
        <v>107</v>
      </c>
      <c r="O39" s="7" t="s">
        <v>107</v>
      </c>
      <c r="P39" s="7" t="s">
        <v>107</v>
      </c>
      <c r="Q39" s="7" t="s">
        <v>107</v>
      </c>
      <c r="R39" s="7" t="s">
        <v>107</v>
      </c>
      <c r="S39" s="12">
        <v>4.8780486999999999</v>
      </c>
      <c r="T39" s="12">
        <v>14.79</v>
      </c>
      <c r="U39" s="12">
        <v>76.833333300000007</v>
      </c>
      <c r="V39" s="12">
        <v>1</v>
      </c>
      <c r="W39" s="7" t="s">
        <v>107</v>
      </c>
      <c r="X39" s="7" t="s">
        <v>107</v>
      </c>
      <c r="Y39" s="7" t="s">
        <v>107</v>
      </c>
      <c r="Z39" s="7" t="s">
        <v>107</v>
      </c>
      <c r="AA39" s="7" t="s">
        <v>107</v>
      </c>
      <c r="AB39" s="7" t="s">
        <v>107</v>
      </c>
      <c r="AC39" s="7" t="s">
        <v>107</v>
      </c>
      <c r="AD39" s="7" t="s">
        <v>107</v>
      </c>
      <c r="AE39" s="7" t="s">
        <v>107</v>
      </c>
      <c r="AF39" s="12">
        <v>17.187280699999999</v>
      </c>
      <c r="AG39" s="22" t="s">
        <v>107</v>
      </c>
    </row>
    <row r="40" spans="1:33" s="11" customFormat="1" outlineLevel="1" x14ac:dyDescent="0.3">
      <c r="A40" s="11" t="s">
        <v>46</v>
      </c>
      <c r="B40" s="12">
        <v>3.7478780999999999</v>
      </c>
      <c r="C40" s="12">
        <v>85.166666699999993</v>
      </c>
      <c r="D40" s="12">
        <v>1.9837944000000001</v>
      </c>
      <c r="E40" s="17">
        <v>3.3333333000000001</v>
      </c>
      <c r="F40" s="13">
        <v>59.68</v>
      </c>
      <c r="G40" s="7" t="s">
        <v>107</v>
      </c>
      <c r="H40" s="7" t="s">
        <v>107</v>
      </c>
      <c r="I40" s="7" t="s">
        <v>107</v>
      </c>
      <c r="J40" s="7" t="s">
        <v>107</v>
      </c>
      <c r="K40" s="7" t="s">
        <v>107</v>
      </c>
      <c r="L40" s="7" t="s">
        <v>107</v>
      </c>
      <c r="M40" s="7" t="s">
        <v>107</v>
      </c>
      <c r="N40" s="7" t="s">
        <v>107</v>
      </c>
      <c r="O40" s="7" t="s">
        <v>107</v>
      </c>
      <c r="P40" s="7" t="s">
        <v>107</v>
      </c>
      <c r="Q40" s="7" t="s">
        <v>107</v>
      </c>
      <c r="R40" s="7" t="s">
        <v>107</v>
      </c>
      <c r="S40" s="12">
        <v>3.3333333000000001</v>
      </c>
      <c r="T40" s="12">
        <v>14.696</v>
      </c>
      <c r="U40" s="12">
        <v>77.8</v>
      </c>
      <c r="V40" s="12">
        <v>1</v>
      </c>
      <c r="W40" s="7" t="s">
        <v>107</v>
      </c>
      <c r="X40" s="7" t="s">
        <v>107</v>
      </c>
      <c r="Y40" s="7" t="s">
        <v>107</v>
      </c>
      <c r="Z40" s="7" t="s">
        <v>107</v>
      </c>
      <c r="AA40" s="7" t="s">
        <v>107</v>
      </c>
      <c r="AB40" s="7" t="s">
        <v>107</v>
      </c>
      <c r="AC40" s="7" t="s">
        <v>107</v>
      </c>
      <c r="AD40" s="7" t="s">
        <v>107</v>
      </c>
      <c r="AE40" s="7" t="s">
        <v>107</v>
      </c>
      <c r="AF40" s="12">
        <v>15.9651555</v>
      </c>
      <c r="AG40" s="22" t="s">
        <v>107</v>
      </c>
    </row>
    <row r="41" spans="1:33" s="11" customFormat="1" outlineLevel="1" x14ac:dyDescent="0.3">
      <c r="A41" s="11" t="s">
        <v>47</v>
      </c>
      <c r="B41" s="12">
        <v>3.5234725999999998</v>
      </c>
      <c r="C41" s="12">
        <v>85.39</v>
      </c>
      <c r="D41" s="12">
        <v>2.1737397000000001</v>
      </c>
      <c r="E41" s="17">
        <v>3.5833333000000001</v>
      </c>
      <c r="F41" s="13">
        <v>57.763333299999999</v>
      </c>
      <c r="G41" s="12">
        <v>30.155585899999998</v>
      </c>
      <c r="H41" s="12">
        <v>86.174556899999999</v>
      </c>
      <c r="I41" s="7" t="s">
        <v>107</v>
      </c>
      <c r="J41" s="7" t="s">
        <v>107</v>
      </c>
      <c r="K41" s="7" t="s">
        <v>107</v>
      </c>
      <c r="L41" s="7" t="s">
        <v>107</v>
      </c>
      <c r="M41" s="7" t="s">
        <v>107</v>
      </c>
      <c r="N41" s="7" t="s">
        <v>107</v>
      </c>
      <c r="O41" s="7" t="s">
        <v>107</v>
      </c>
      <c r="P41" s="7" t="s">
        <v>107</v>
      </c>
      <c r="Q41" s="7" t="s">
        <v>107</v>
      </c>
      <c r="R41" s="7" t="s">
        <v>107</v>
      </c>
      <c r="S41" s="12">
        <v>3.1307551</v>
      </c>
      <c r="T41" s="12">
        <v>14.814</v>
      </c>
      <c r="U41" s="12">
        <v>79.166666699999993</v>
      </c>
      <c r="V41" s="12">
        <v>1</v>
      </c>
      <c r="W41" s="7" t="s">
        <v>107</v>
      </c>
      <c r="X41" s="7" t="s">
        <v>107</v>
      </c>
      <c r="Y41" s="7" t="s">
        <v>107</v>
      </c>
      <c r="Z41" s="7" t="s">
        <v>107</v>
      </c>
      <c r="AA41" s="7" t="s">
        <v>107</v>
      </c>
      <c r="AB41" s="7" t="s">
        <v>107</v>
      </c>
      <c r="AC41" s="7" t="s">
        <v>107</v>
      </c>
      <c r="AD41" s="7" t="s">
        <v>107</v>
      </c>
      <c r="AE41" s="7" t="s">
        <v>107</v>
      </c>
      <c r="AF41" s="12">
        <v>18.260188100000001</v>
      </c>
      <c r="AG41" s="22" t="s">
        <v>107</v>
      </c>
    </row>
    <row r="42" spans="1:33" s="11" customFormat="1" outlineLevel="1" x14ac:dyDescent="0.3">
      <c r="A42" s="11" t="s">
        <v>48</v>
      </c>
      <c r="B42" s="12">
        <v>3.1678283999999999</v>
      </c>
      <c r="C42" s="12">
        <v>86.5</v>
      </c>
      <c r="D42" s="12">
        <v>2.1331864</v>
      </c>
      <c r="E42" s="17">
        <v>3.8333333000000001</v>
      </c>
      <c r="F42" s="13">
        <v>68.583333300000007</v>
      </c>
      <c r="G42" s="12">
        <v>-4.3808866000000002</v>
      </c>
      <c r="H42" s="12">
        <v>1.5352785</v>
      </c>
      <c r="I42" s="7" t="s">
        <v>107</v>
      </c>
      <c r="J42" s="7" t="s">
        <v>107</v>
      </c>
      <c r="K42" s="7" t="s">
        <v>107</v>
      </c>
      <c r="L42" s="7" t="s">
        <v>107</v>
      </c>
      <c r="M42" s="7" t="s">
        <v>107</v>
      </c>
      <c r="N42" s="7" t="s">
        <v>107</v>
      </c>
      <c r="O42" s="7" t="s">
        <v>107</v>
      </c>
      <c r="P42" s="7" t="s">
        <v>107</v>
      </c>
      <c r="Q42" s="7" t="s">
        <v>107</v>
      </c>
      <c r="R42" s="7" t="s">
        <v>107</v>
      </c>
      <c r="S42" s="12">
        <v>1.8115942</v>
      </c>
      <c r="T42" s="12">
        <v>14.845000000000001</v>
      </c>
      <c r="U42" s="12">
        <v>78.333333300000007</v>
      </c>
      <c r="V42" s="12">
        <v>1</v>
      </c>
      <c r="W42" s="7" t="s">
        <v>107</v>
      </c>
      <c r="X42" s="7" t="s">
        <v>107</v>
      </c>
      <c r="Y42" s="7" t="s">
        <v>107</v>
      </c>
      <c r="Z42" s="7" t="s">
        <v>107</v>
      </c>
      <c r="AA42" s="7" t="s">
        <v>107</v>
      </c>
      <c r="AB42" s="7" t="s">
        <v>107</v>
      </c>
      <c r="AC42" s="7" t="s">
        <v>107</v>
      </c>
      <c r="AD42" s="7" t="s">
        <v>107</v>
      </c>
      <c r="AE42" s="7" t="s">
        <v>107</v>
      </c>
      <c r="AF42" s="12">
        <v>24.468864499999999</v>
      </c>
      <c r="AG42" s="22" t="s">
        <v>107</v>
      </c>
    </row>
    <row r="43" spans="1:33" s="11" customFormat="1" outlineLevel="1" x14ac:dyDescent="0.3">
      <c r="A43" s="11" t="s">
        <v>49</v>
      </c>
      <c r="B43" s="12">
        <v>3.1476855000000001</v>
      </c>
      <c r="C43" s="12">
        <v>86.6</v>
      </c>
      <c r="D43" s="12">
        <v>2.0344042999999998</v>
      </c>
      <c r="E43" s="17">
        <v>4</v>
      </c>
      <c r="F43" s="13">
        <v>74.953333299999997</v>
      </c>
      <c r="G43" s="12">
        <v>-12.1925271</v>
      </c>
      <c r="H43" s="12">
        <v>18.123481300000002</v>
      </c>
      <c r="I43" s="7" t="s">
        <v>107</v>
      </c>
      <c r="J43" s="7" t="s">
        <v>107</v>
      </c>
      <c r="K43" s="7" t="s">
        <v>107</v>
      </c>
      <c r="L43" s="7" t="s">
        <v>107</v>
      </c>
      <c r="M43" s="7" t="s">
        <v>107</v>
      </c>
      <c r="N43" s="7" t="s">
        <v>107</v>
      </c>
      <c r="O43" s="7" t="s">
        <v>107</v>
      </c>
      <c r="P43" s="7" t="s">
        <v>107</v>
      </c>
      <c r="Q43" s="7" t="s">
        <v>107</v>
      </c>
      <c r="R43" s="7" t="s">
        <v>107</v>
      </c>
      <c r="S43" s="12">
        <v>0.53667260000000006</v>
      </c>
      <c r="T43" s="12">
        <v>14.069000000000001</v>
      </c>
      <c r="U43" s="12">
        <v>80.433333300000001</v>
      </c>
      <c r="V43" s="12">
        <v>1</v>
      </c>
      <c r="W43" s="7" t="s">
        <v>107</v>
      </c>
      <c r="X43" s="7" t="s">
        <v>107</v>
      </c>
      <c r="Y43" s="7" t="s">
        <v>107</v>
      </c>
      <c r="Z43" s="7" t="s">
        <v>107</v>
      </c>
      <c r="AA43" s="7" t="s">
        <v>107</v>
      </c>
      <c r="AB43" s="7" t="s">
        <v>107</v>
      </c>
      <c r="AC43" s="7" t="s">
        <v>107</v>
      </c>
      <c r="AD43" s="7" t="s">
        <v>107</v>
      </c>
      <c r="AE43" s="7" t="s">
        <v>107</v>
      </c>
      <c r="AF43" s="12">
        <v>29.513888900000001</v>
      </c>
      <c r="AG43" s="22" t="s">
        <v>107</v>
      </c>
    </row>
    <row r="44" spans="1:33" s="11" customFormat="1" outlineLevel="1" x14ac:dyDescent="0.3">
      <c r="A44" s="11" t="s">
        <v>50</v>
      </c>
      <c r="B44" s="12">
        <v>2.7223932</v>
      </c>
      <c r="C44" s="12">
        <v>87.72</v>
      </c>
      <c r="D44" s="12">
        <v>2.998043</v>
      </c>
      <c r="E44" s="17">
        <v>4</v>
      </c>
      <c r="F44" s="13">
        <v>88.56</v>
      </c>
      <c r="G44" s="12">
        <v>8.0495040000000007</v>
      </c>
      <c r="H44" s="12">
        <v>19.7773048</v>
      </c>
      <c r="I44" s="7" t="s">
        <v>107</v>
      </c>
      <c r="J44" s="7" t="s">
        <v>107</v>
      </c>
      <c r="K44" s="7" t="s">
        <v>107</v>
      </c>
      <c r="L44" s="7" t="s">
        <v>107</v>
      </c>
      <c r="M44" s="7" t="s">
        <v>107</v>
      </c>
      <c r="N44" s="7" t="s">
        <v>107</v>
      </c>
      <c r="O44" s="7" t="s">
        <v>107</v>
      </c>
      <c r="P44" s="7" t="s">
        <v>107</v>
      </c>
      <c r="Q44" s="7" t="s">
        <v>107</v>
      </c>
      <c r="R44" s="7" t="s">
        <v>107</v>
      </c>
      <c r="S44" s="12">
        <v>2.8673834999999999</v>
      </c>
      <c r="T44" s="12">
        <v>14.055999999999999</v>
      </c>
      <c r="U44" s="12">
        <v>86</v>
      </c>
      <c r="V44" s="12">
        <v>1</v>
      </c>
      <c r="W44" s="7" t="s">
        <v>107</v>
      </c>
      <c r="X44" s="7" t="s">
        <v>107</v>
      </c>
      <c r="Y44" s="7" t="s">
        <v>107</v>
      </c>
      <c r="Z44" s="7" t="s">
        <v>107</v>
      </c>
      <c r="AA44" s="7" t="s">
        <v>107</v>
      </c>
      <c r="AB44" s="7" t="s">
        <v>107</v>
      </c>
      <c r="AC44" s="7" t="s">
        <v>107</v>
      </c>
      <c r="AD44" s="7" t="s">
        <v>107</v>
      </c>
      <c r="AE44" s="7" t="s">
        <v>107</v>
      </c>
      <c r="AF44" s="12">
        <v>37.303216999999997</v>
      </c>
      <c r="AG44" s="22" t="s">
        <v>107</v>
      </c>
    </row>
    <row r="45" spans="1:33" s="11" customFormat="1" outlineLevel="1" x14ac:dyDescent="0.3">
      <c r="A45" s="11" t="s">
        <v>51</v>
      </c>
      <c r="B45" s="12">
        <v>1.9060995000000001</v>
      </c>
      <c r="C45" s="12">
        <v>88.42</v>
      </c>
      <c r="D45" s="12">
        <v>3.5484249000000001</v>
      </c>
      <c r="E45" s="17">
        <v>4</v>
      </c>
      <c r="F45" s="13">
        <v>96.936666700000004</v>
      </c>
      <c r="G45" s="12">
        <v>-6.4852164999999999</v>
      </c>
      <c r="H45" s="12">
        <v>-31.154844300000001</v>
      </c>
      <c r="I45" s="7" t="s">
        <v>107</v>
      </c>
      <c r="J45" s="7" t="s">
        <v>107</v>
      </c>
      <c r="K45" s="7" t="s">
        <v>107</v>
      </c>
      <c r="L45" s="7" t="s">
        <v>107</v>
      </c>
      <c r="M45" s="7" t="s">
        <v>107</v>
      </c>
      <c r="N45" s="7" t="s">
        <v>107</v>
      </c>
      <c r="O45" s="7" t="s">
        <v>107</v>
      </c>
      <c r="P45" s="7" t="s">
        <v>107</v>
      </c>
      <c r="Q45" s="7" t="s">
        <v>107</v>
      </c>
      <c r="R45" s="7" t="s">
        <v>107</v>
      </c>
      <c r="S45" s="12">
        <v>4.1071428000000001</v>
      </c>
      <c r="T45" s="12">
        <v>16.143000000000001</v>
      </c>
      <c r="U45" s="12">
        <v>88.466666700000005</v>
      </c>
      <c r="V45" s="12">
        <v>1</v>
      </c>
      <c r="W45" s="7" t="s">
        <v>107</v>
      </c>
      <c r="X45" s="7" t="s">
        <v>107</v>
      </c>
      <c r="Y45" s="7" t="s">
        <v>107</v>
      </c>
      <c r="Z45" s="7" t="s">
        <v>107</v>
      </c>
      <c r="AA45" s="7" t="s">
        <v>107</v>
      </c>
      <c r="AB45" s="7" t="s">
        <v>107</v>
      </c>
      <c r="AC45" s="7" t="s">
        <v>107</v>
      </c>
      <c r="AD45" s="7" t="s">
        <v>107</v>
      </c>
      <c r="AE45" s="7" t="s">
        <v>107</v>
      </c>
      <c r="AF45" s="12">
        <v>39.628893300000001</v>
      </c>
      <c r="AG45" s="22" t="s">
        <v>107</v>
      </c>
    </row>
    <row r="46" spans="1:33" s="11" customFormat="1" outlineLevel="1" x14ac:dyDescent="0.3">
      <c r="A46" s="11" t="s">
        <v>52</v>
      </c>
      <c r="B46" s="12">
        <v>1.9101475000000001</v>
      </c>
      <c r="C46" s="12">
        <v>89.906666700000002</v>
      </c>
      <c r="D46" s="12">
        <v>3.9383430000000001</v>
      </c>
      <c r="E46" s="17">
        <v>4</v>
      </c>
      <c r="F46" s="13">
        <v>121.3966667</v>
      </c>
      <c r="G46" s="12">
        <v>41.725854499999997</v>
      </c>
      <c r="H46" s="12">
        <v>20.0755272</v>
      </c>
      <c r="I46" s="7" t="s">
        <v>107</v>
      </c>
      <c r="J46" s="7" t="s">
        <v>107</v>
      </c>
      <c r="K46" s="7" t="s">
        <v>107</v>
      </c>
      <c r="L46" s="7" t="s">
        <v>107</v>
      </c>
      <c r="M46" s="7" t="s">
        <v>107</v>
      </c>
      <c r="N46" s="7" t="s">
        <v>107</v>
      </c>
      <c r="O46" s="7" t="s">
        <v>107</v>
      </c>
      <c r="P46" s="7" t="s">
        <v>107</v>
      </c>
      <c r="Q46" s="7" t="s">
        <v>107</v>
      </c>
      <c r="R46" s="7" t="s">
        <v>107</v>
      </c>
      <c r="S46" s="12">
        <v>4.9822063999999999</v>
      </c>
      <c r="T46" s="12">
        <v>15.292</v>
      </c>
      <c r="U46" s="12">
        <v>89.233333299999998</v>
      </c>
      <c r="V46" s="12">
        <v>1</v>
      </c>
      <c r="W46" s="7" t="s">
        <v>107</v>
      </c>
      <c r="X46" s="7" t="s">
        <v>107</v>
      </c>
      <c r="Y46" s="7" t="s">
        <v>107</v>
      </c>
      <c r="Z46" s="7" t="s">
        <v>107</v>
      </c>
      <c r="AA46" s="7" t="s">
        <v>107</v>
      </c>
      <c r="AB46" s="7" t="s">
        <v>107</v>
      </c>
      <c r="AC46" s="7" t="s">
        <v>107</v>
      </c>
      <c r="AD46" s="7" t="s">
        <v>107</v>
      </c>
      <c r="AE46" s="7" t="s">
        <v>107</v>
      </c>
      <c r="AF46" s="12">
        <v>40.435550300000003</v>
      </c>
      <c r="AG46" s="22" t="s">
        <v>107</v>
      </c>
    </row>
    <row r="47" spans="1:33" s="11" customFormat="1" outlineLevel="1" x14ac:dyDescent="0.3">
      <c r="A47" s="11" t="s">
        <v>53</v>
      </c>
      <c r="B47" s="12">
        <v>0.87131639999999999</v>
      </c>
      <c r="C47" s="12">
        <v>90.323333300000002</v>
      </c>
      <c r="D47" s="12">
        <v>4.2994611000000003</v>
      </c>
      <c r="E47" s="17">
        <v>4.25</v>
      </c>
      <c r="F47" s="13">
        <v>114.3966667</v>
      </c>
      <c r="G47" s="12">
        <v>61.1961473</v>
      </c>
      <c r="H47" s="12">
        <v>10.943299400000001</v>
      </c>
      <c r="I47" s="7" t="s">
        <v>107</v>
      </c>
      <c r="J47" s="7" t="s">
        <v>107</v>
      </c>
      <c r="K47" s="7" t="s">
        <v>107</v>
      </c>
      <c r="L47" s="7" t="s">
        <v>107</v>
      </c>
      <c r="M47" s="7" t="s">
        <v>107</v>
      </c>
      <c r="N47" s="7" t="s">
        <v>107</v>
      </c>
      <c r="O47" s="7" t="s">
        <v>107</v>
      </c>
      <c r="P47" s="7" t="s">
        <v>107</v>
      </c>
      <c r="Q47" s="7" t="s">
        <v>107</v>
      </c>
      <c r="R47" s="7" t="s">
        <v>107</v>
      </c>
      <c r="S47" s="12">
        <v>7.6512456000000002</v>
      </c>
      <c r="T47" s="12">
        <v>15.519</v>
      </c>
      <c r="U47" s="12">
        <v>88.333333300000007</v>
      </c>
      <c r="V47" s="12">
        <v>1</v>
      </c>
      <c r="W47" s="7" t="s">
        <v>107</v>
      </c>
      <c r="X47" s="7" t="s">
        <v>107</v>
      </c>
      <c r="Y47" s="7" t="s">
        <v>107</v>
      </c>
      <c r="Z47" s="7" t="s">
        <v>107</v>
      </c>
      <c r="AA47" s="7" t="s">
        <v>107</v>
      </c>
      <c r="AB47" s="7" t="s">
        <v>107</v>
      </c>
      <c r="AC47" s="7" t="s">
        <v>107</v>
      </c>
      <c r="AD47" s="7" t="s">
        <v>107</v>
      </c>
      <c r="AE47" s="7" t="s">
        <v>107</v>
      </c>
      <c r="AF47" s="12">
        <v>40.697050900000001</v>
      </c>
      <c r="AG47" s="22" t="s">
        <v>107</v>
      </c>
    </row>
    <row r="48" spans="1:33" s="11" customFormat="1" outlineLevel="1" x14ac:dyDescent="0.3">
      <c r="A48" s="11" t="s">
        <v>54</v>
      </c>
      <c r="B48" s="12">
        <v>-1.9881508000000001</v>
      </c>
      <c r="C48" s="12">
        <v>90.23</v>
      </c>
      <c r="D48" s="12">
        <v>2.8613770999999999</v>
      </c>
      <c r="E48" s="17">
        <v>3.1666666999999999</v>
      </c>
      <c r="F48" s="13">
        <v>54.66</v>
      </c>
      <c r="G48" s="12">
        <v>59.261153100000001</v>
      </c>
      <c r="H48" s="12">
        <v>22.856560900000002</v>
      </c>
      <c r="I48" s="7" t="s">
        <v>107</v>
      </c>
      <c r="J48" s="7" t="s">
        <v>107</v>
      </c>
      <c r="K48" s="7" t="s">
        <v>107</v>
      </c>
      <c r="L48" s="7" t="s">
        <v>107</v>
      </c>
      <c r="M48" s="7" t="s">
        <v>107</v>
      </c>
      <c r="N48" s="7" t="s">
        <v>107</v>
      </c>
      <c r="O48" s="7" t="s">
        <v>107</v>
      </c>
      <c r="P48" s="7" t="s">
        <v>107</v>
      </c>
      <c r="Q48" s="7" t="s">
        <v>107</v>
      </c>
      <c r="R48" s="7" t="s">
        <v>107</v>
      </c>
      <c r="S48" s="12">
        <v>12.195122</v>
      </c>
      <c r="T48" s="12">
        <v>13.785</v>
      </c>
      <c r="U48" s="12">
        <v>88.166666699999993</v>
      </c>
      <c r="V48" s="12">
        <v>1</v>
      </c>
      <c r="W48" s="7" t="s">
        <v>107</v>
      </c>
      <c r="X48" s="7" t="s">
        <v>107</v>
      </c>
      <c r="Y48" s="7" t="s">
        <v>107</v>
      </c>
      <c r="Z48" s="7" t="s">
        <v>107</v>
      </c>
      <c r="AA48" s="7" t="s">
        <v>107</v>
      </c>
      <c r="AB48" s="7" t="s">
        <v>107</v>
      </c>
      <c r="AC48" s="7" t="s">
        <v>107</v>
      </c>
      <c r="AD48" s="7" t="s">
        <v>107</v>
      </c>
      <c r="AE48" s="7" t="s">
        <v>107</v>
      </c>
      <c r="AF48" s="12">
        <v>40.079760700000001</v>
      </c>
      <c r="AG48" s="22" t="s">
        <v>107</v>
      </c>
    </row>
    <row r="49" spans="1:33" s="11" customFormat="1" outlineLevel="1" x14ac:dyDescent="0.3">
      <c r="A49" s="11" t="s">
        <v>55</v>
      </c>
      <c r="B49" s="12">
        <v>-5.4359460999999998</v>
      </c>
      <c r="C49" s="12">
        <v>89.88</v>
      </c>
      <c r="D49" s="12">
        <v>1.6512100999999999</v>
      </c>
      <c r="E49" s="17">
        <v>1.8333333000000001</v>
      </c>
      <c r="F49" s="13">
        <v>44.433333300000001</v>
      </c>
      <c r="G49" s="12">
        <v>28.180697800000001</v>
      </c>
      <c r="H49" s="12">
        <v>9.4684880000000007</v>
      </c>
      <c r="I49" s="7" t="s">
        <v>107</v>
      </c>
      <c r="J49" s="7" t="s">
        <v>107</v>
      </c>
      <c r="K49" s="7" t="s">
        <v>107</v>
      </c>
      <c r="L49" s="7" t="s">
        <v>107</v>
      </c>
      <c r="M49" s="7" t="s">
        <v>107</v>
      </c>
      <c r="N49" s="7" t="s">
        <v>107</v>
      </c>
      <c r="O49" s="7" t="s">
        <v>107</v>
      </c>
      <c r="P49" s="7" t="s">
        <v>107</v>
      </c>
      <c r="Q49" s="7" t="s">
        <v>107</v>
      </c>
      <c r="R49" s="7" t="s">
        <v>107</v>
      </c>
      <c r="S49" s="12">
        <v>16.6380789</v>
      </c>
      <c r="T49" s="12">
        <v>13.116</v>
      </c>
      <c r="U49" s="12">
        <v>87.333333300000007</v>
      </c>
      <c r="V49" s="12">
        <v>1</v>
      </c>
      <c r="W49" s="7" t="s">
        <v>107</v>
      </c>
      <c r="X49" s="7" t="s">
        <v>107</v>
      </c>
      <c r="Y49" s="7" t="s">
        <v>107</v>
      </c>
      <c r="Z49" s="7" t="s">
        <v>107</v>
      </c>
      <c r="AA49" s="7" t="s">
        <v>107</v>
      </c>
      <c r="AB49" s="7" t="s">
        <v>107</v>
      </c>
      <c r="AC49" s="7" t="s">
        <v>107</v>
      </c>
      <c r="AD49" s="7" t="s">
        <v>107</v>
      </c>
      <c r="AE49" s="7" t="s">
        <v>107</v>
      </c>
      <c r="AF49" s="12">
        <v>37.351684900000002</v>
      </c>
      <c r="AG49" s="22" t="s">
        <v>107</v>
      </c>
    </row>
    <row r="50" spans="1:33" s="11" customFormat="1" outlineLevel="1" x14ac:dyDescent="0.3">
      <c r="A50" s="11" t="s">
        <v>56</v>
      </c>
      <c r="B50" s="12">
        <v>-5.8020649999999998</v>
      </c>
      <c r="C50" s="12">
        <v>90.723333299999993</v>
      </c>
      <c r="D50" s="12">
        <v>0.90834930000000003</v>
      </c>
      <c r="E50" s="17">
        <v>1.0833333000000001</v>
      </c>
      <c r="F50" s="13">
        <v>58.696666700000002</v>
      </c>
      <c r="G50" s="12">
        <v>16.586806299999999</v>
      </c>
      <c r="H50" s="12">
        <v>-1.8595520999999999</v>
      </c>
      <c r="I50" s="7" t="s">
        <v>107</v>
      </c>
      <c r="J50" s="7" t="s">
        <v>107</v>
      </c>
      <c r="K50" s="7" t="s">
        <v>107</v>
      </c>
      <c r="L50" s="7" t="s">
        <v>107</v>
      </c>
      <c r="M50" s="7" t="s">
        <v>107</v>
      </c>
      <c r="N50" s="7" t="s">
        <v>107</v>
      </c>
      <c r="O50" s="7" t="s">
        <v>107</v>
      </c>
      <c r="P50" s="7" t="s">
        <v>107</v>
      </c>
      <c r="Q50" s="7" t="s">
        <v>107</v>
      </c>
      <c r="R50" s="7" t="s">
        <v>107</v>
      </c>
      <c r="S50" s="12">
        <v>20.169491499999999</v>
      </c>
      <c r="T50" s="12">
        <v>15.01</v>
      </c>
      <c r="U50" s="12">
        <v>85.7</v>
      </c>
      <c r="V50" s="12">
        <v>1</v>
      </c>
      <c r="W50" s="7" t="s">
        <v>107</v>
      </c>
      <c r="X50" s="7" t="s">
        <v>107</v>
      </c>
      <c r="Y50" s="7" t="s">
        <v>107</v>
      </c>
      <c r="Z50" s="7" t="s">
        <v>107</v>
      </c>
      <c r="AA50" s="7" t="s">
        <v>107</v>
      </c>
      <c r="AB50" s="7" t="s">
        <v>107</v>
      </c>
      <c r="AC50" s="7" t="s">
        <v>107</v>
      </c>
      <c r="AD50" s="7" t="s">
        <v>107</v>
      </c>
      <c r="AE50" s="7" t="s">
        <v>107</v>
      </c>
      <c r="AF50" s="12">
        <v>30.427493699999999</v>
      </c>
      <c r="AG50" s="22" t="s">
        <v>107</v>
      </c>
    </row>
    <row r="51" spans="1:33" s="11" customFormat="1" outlineLevel="1" x14ac:dyDescent="0.3">
      <c r="A51" s="11" t="s">
        <v>57</v>
      </c>
      <c r="B51" s="12">
        <v>-4.1677857999999999</v>
      </c>
      <c r="C51" s="12">
        <v>90.663333300000005</v>
      </c>
      <c r="D51" s="12">
        <v>0.37642540000000002</v>
      </c>
      <c r="E51" s="17">
        <v>1</v>
      </c>
      <c r="F51" s="13">
        <v>68.2</v>
      </c>
      <c r="G51" s="12">
        <v>25.3645286</v>
      </c>
      <c r="H51" s="12">
        <v>1.0690474999999999</v>
      </c>
      <c r="I51" s="7" t="s">
        <v>107</v>
      </c>
      <c r="J51" s="7" t="s">
        <v>107</v>
      </c>
      <c r="K51" s="7" t="s">
        <v>107</v>
      </c>
      <c r="L51" s="7" t="s">
        <v>107</v>
      </c>
      <c r="M51" s="7" t="s">
        <v>107</v>
      </c>
      <c r="N51" s="7" t="s">
        <v>107</v>
      </c>
      <c r="O51" s="7" t="s">
        <v>107</v>
      </c>
      <c r="P51" s="7" t="s">
        <v>107</v>
      </c>
      <c r="Q51" s="7" t="s">
        <v>107</v>
      </c>
      <c r="R51" s="7" t="s">
        <v>107</v>
      </c>
      <c r="S51" s="12">
        <v>26.942148700000001</v>
      </c>
      <c r="T51" s="12">
        <v>14.881</v>
      </c>
      <c r="U51" s="12">
        <v>85.566666699999999</v>
      </c>
      <c r="V51" s="12">
        <v>1</v>
      </c>
      <c r="W51" s="7" t="s">
        <v>107</v>
      </c>
      <c r="X51" s="7" t="s">
        <v>107</v>
      </c>
      <c r="Y51" s="7" t="s">
        <v>107</v>
      </c>
      <c r="Z51" s="7" t="s">
        <v>107</v>
      </c>
      <c r="AA51" s="7" t="s">
        <v>107</v>
      </c>
      <c r="AB51" s="7" t="s">
        <v>107</v>
      </c>
      <c r="AC51" s="7" t="s">
        <v>107</v>
      </c>
      <c r="AD51" s="7" t="s">
        <v>107</v>
      </c>
      <c r="AE51" s="7" t="s">
        <v>107</v>
      </c>
      <c r="AF51" s="12">
        <v>25.647865899999999</v>
      </c>
      <c r="AG51" s="22" t="s">
        <v>107</v>
      </c>
    </row>
    <row r="52" spans="1:33" s="11" customFormat="1" outlineLevel="1" x14ac:dyDescent="0.3">
      <c r="A52" s="11" t="s">
        <v>58</v>
      </c>
      <c r="B52" s="12">
        <v>-1.8288317999999999</v>
      </c>
      <c r="C52" s="12">
        <v>91.146666699999997</v>
      </c>
      <c r="D52" s="12">
        <v>1.0159222999999999</v>
      </c>
      <c r="E52" s="17">
        <v>1</v>
      </c>
      <c r="F52" s="13">
        <v>74.63</v>
      </c>
      <c r="G52" s="12">
        <v>7.2616177999999998</v>
      </c>
      <c r="H52" s="12">
        <v>66.949463499999993</v>
      </c>
      <c r="I52" s="7" t="s">
        <v>107</v>
      </c>
      <c r="J52" s="7" t="s">
        <v>107</v>
      </c>
      <c r="K52" s="7" t="s">
        <v>107</v>
      </c>
      <c r="L52" s="7" t="s">
        <v>107</v>
      </c>
      <c r="M52" s="7" t="s">
        <v>107</v>
      </c>
      <c r="N52" s="7" t="s">
        <v>107</v>
      </c>
      <c r="O52" s="7" t="s">
        <v>107</v>
      </c>
      <c r="P52" s="7" t="s">
        <v>107</v>
      </c>
      <c r="Q52" s="7" t="s">
        <v>107</v>
      </c>
      <c r="R52" s="7" t="s">
        <v>107</v>
      </c>
      <c r="S52" s="12">
        <v>23.913043500000001</v>
      </c>
      <c r="T52" s="12">
        <v>14.087</v>
      </c>
      <c r="U52" s="12">
        <v>87.033333299999995</v>
      </c>
      <c r="V52" s="12">
        <v>1</v>
      </c>
      <c r="W52" s="7" t="s">
        <v>107</v>
      </c>
      <c r="X52" s="7" t="s">
        <v>107</v>
      </c>
      <c r="Y52" s="7" t="s">
        <v>107</v>
      </c>
      <c r="Z52" s="7" t="s">
        <v>107</v>
      </c>
      <c r="AA52" s="7" t="s">
        <v>107</v>
      </c>
      <c r="AB52" s="7" t="s">
        <v>107</v>
      </c>
      <c r="AC52" s="7" t="s">
        <v>107</v>
      </c>
      <c r="AD52" s="7" t="s">
        <v>107</v>
      </c>
      <c r="AE52" s="7" t="s">
        <v>107</v>
      </c>
      <c r="AF52" s="12">
        <v>22.2419929</v>
      </c>
      <c r="AG52" s="22" t="s">
        <v>107</v>
      </c>
    </row>
    <row r="53" spans="1:33" s="11" customFormat="1" outlineLevel="1" x14ac:dyDescent="0.3">
      <c r="A53" s="11" t="s">
        <v>59</v>
      </c>
      <c r="B53" s="12">
        <v>1.1991562</v>
      </c>
      <c r="C53" s="12">
        <v>91.416666699999993</v>
      </c>
      <c r="D53" s="12">
        <v>1.709687</v>
      </c>
      <c r="E53" s="17">
        <v>1</v>
      </c>
      <c r="F53" s="13">
        <v>76.25</v>
      </c>
      <c r="G53" s="12">
        <v>8.1887997000000006</v>
      </c>
      <c r="H53" s="12">
        <v>6.4704753999999998</v>
      </c>
      <c r="I53" s="12">
        <v>2.9548047999999998</v>
      </c>
      <c r="J53" s="7" t="s">
        <v>107</v>
      </c>
      <c r="K53" s="7" t="s">
        <v>107</v>
      </c>
      <c r="L53" s="7" t="s">
        <v>107</v>
      </c>
      <c r="M53" s="7" t="s">
        <v>107</v>
      </c>
      <c r="N53" s="7" t="s">
        <v>107</v>
      </c>
      <c r="O53" s="7" t="s">
        <v>107</v>
      </c>
      <c r="P53" s="7" t="s">
        <v>107</v>
      </c>
      <c r="Q53" s="7" t="s">
        <v>107</v>
      </c>
      <c r="R53" s="7" t="s">
        <v>107</v>
      </c>
      <c r="S53" s="12">
        <v>21.176470599999998</v>
      </c>
      <c r="T53" s="12">
        <v>13.9</v>
      </c>
      <c r="U53" s="12">
        <v>88.1</v>
      </c>
      <c r="V53" s="12">
        <v>1</v>
      </c>
      <c r="W53" s="7" t="s">
        <v>107</v>
      </c>
      <c r="X53" s="12">
        <v>11.631019800000001</v>
      </c>
      <c r="Y53" s="12">
        <v>8.1683851000000001</v>
      </c>
      <c r="Z53" s="12">
        <v>-7.0716155000000001</v>
      </c>
      <c r="AA53" s="12">
        <v>91.596141299999999</v>
      </c>
      <c r="AB53" s="12">
        <v>12.797442200000001</v>
      </c>
      <c r="AC53" s="12">
        <v>29.410515700000001</v>
      </c>
      <c r="AD53" s="12">
        <v>19.337234299999999</v>
      </c>
      <c r="AE53" s="12">
        <v>53.141333500000002</v>
      </c>
      <c r="AF53" s="12">
        <v>33.448514199999998</v>
      </c>
      <c r="AG53" s="22" t="s">
        <v>107</v>
      </c>
    </row>
    <row r="54" spans="1:33" s="11" customFormat="1" outlineLevel="1" x14ac:dyDescent="0.3">
      <c r="A54" s="11" t="s">
        <v>60</v>
      </c>
      <c r="B54" s="12">
        <v>2.6157658000000001</v>
      </c>
      <c r="C54" s="12">
        <v>92.57</v>
      </c>
      <c r="D54" s="12">
        <v>2.0354926</v>
      </c>
      <c r="E54" s="17">
        <v>1</v>
      </c>
      <c r="F54" s="13">
        <v>78.510000000000005</v>
      </c>
      <c r="G54" s="12">
        <v>15.738113800000001</v>
      </c>
      <c r="H54" s="12">
        <v>43.558585700000002</v>
      </c>
      <c r="I54" s="12">
        <v>5.9904392</v>
      </c>
      <c r="J54" s="7" t="s">
        <v>107</v>
      </c>
      <c r="K54" s="7" t="s">
        <v>107</v>
      </c>
      <c r="L54" s="7" t="s">
        <v>107</v>
      </c>
      <c r="M54" s="7" t="s">
        <v>107</v>
      </c>
      <c r="N54" s="7" t="s">
        <v>107</v>
      </c>
      <c r="O54" s="7" t="s">
        <v>107</v>
      </c>
      <c r="P54" s="7" t="s">
        <v>107</v>
      </c>
      <c r="Q54" s="7" t="s">
        <v>107</v>
      </c>
      <c r="R54" s="7" t="s">
        <v>107</v>
      </c>
      <c r="S54" s="12">
        <v>22.284908300000001</v>
      </c>
      <c r="T54" s="12">
        <v>13.647</v>
      </c>
      <c r="U54" s="12">
        <v>87.433333300000001</v>
      </c>
      <c r="V54" s="12">
        <v>1</v>
      </c>
      <c r="W54" s="7" t="s">
        <v>107</v>
      </c>
      <c r="X54" s="12">
        <v>35.585760000000001</v>
      </c>
      <c r="Y54" s="12">
        <v>15.598136200000001</v>
      </c>
      <c r="Z54" s="12">
        <v>-12.931123700000001</v>
      </c>
      <c r="AA54" s="12">
        <v>90.352593499999998</v>
      </c>
      <c r="AB54" s="12">
        <v>11.195152999999999</v>
      </c>
      <c r="AC54" s="12">
        <v>34.658647299999998</v>
      </c>
      <c r="AD54" s="12">
        <v>21.4125938</v>
      </c>
      <c r="AE54" s="12">
        <v>57.619081700000002</v>
      </c>
      <c r="AF54" s="12">
        <v>32.487146500000001</v>
      </c>
      <c r="AG54" s="22" t="s">
        <v>107</v>
      </c>
    </row>
    <row r="55" spans="1:33" s="11" customFormat="1" outlineLevel="1" x14ac:dyDescent="0.3">
      <c r="A55" s="11" t="s">
        <v>61</v>
      </c>
      <c r="B55" s="12">
        <v>2.4618717000000001</v>
      </c>
      <c r="C55" s="12">
        <v>92.583333300000007</v>
      </c>
      <c r="D55" s="12">
        <v>2.1177248999999998</v>
      </c>
      <c r="E55" s="17">
        <v>1</v>
      </c>
      <c r="F55" s="13">
        <v>76.819999999999993</v>
      </c>
      <c r="G55" s="12">
        <v>13.3450971</v>
      </c>
      <c r="H55" s="12">
        <v>35.260095100000001</v>
      </c>
      <c r="I55" s="12">
        <v>4.0182938999999998</v>
      </c>
      <c r="J55" s="7" t="s">
        <v>107</v>
      </c>
      <c r="K55" s="7" t="s">
        <v>107</v>
      </c>
      <c r="L55" s="7" t="s">
        <v>107</v>
      </c>
      <c r="M55" s="7" t="s">
        <v>107</v>
      </c>
      <c r="N55" s="7" t="s">
        <v>107</v>
      </c>
      <c r="O55" s="7" t="s">
        <v>107</v>
      </c>
      <c r="P55" s="7" t="s">
        <v>107</v>
      </c>
      <c r="Q55" s="7" t="s">
        <v>107</v>
      </c>
      <c r="R55" s="7" t="s">
        <v>107</v>
      </c>
      <c r="S55" s="12">
        <v>13.4114583</v>
      </c>
      <c r="T55" s="12">
        <v>14.965</v>
      </c>
      <c r="U55" s="12">
        <v>89.733333299999998</v>
      </c>
      <c r="V55" s="12">
        <v>1</v>
      </c>
      <c r="W55" s="7" t="s">
        <v>107</v>
      </c>
      <c r="X55" s="12">
        <v>28.8897762</v>
      </c>
      <c r="Y55" s="12">
        <v>22.967415500000001</v>
      </c>
      <c r="Z55" s="12">
        <v>-17.4511365</v>
      </c>
      <c r="AA55" s="12">
        <v>96.0011832</v>
      </c>
      <c r="AB55" s="12">
        <v>10.184259000000001</v>
      </c>
      <c r="AC55" s="12">
        <v>35.046349200000002</v>
      </c>
      <c r="AD55" s="12">
        <v>24.383717499999999</v>
      </c>
      <c r="AE55" s="12">
        <v>65.615508899999995</v>
      </c>
      <c r="AF55" s="12">
        <v>28.237791900000001</v>
      </c>
      <c r="AG55" s="22" t="s">
        <v>107</v>
      </c>
    </row>
    <row r="56" spans="1:33" s="11" customFormat="1" outlineLevel="1" x14ac:dyDescent="0.3">
      <c r="A56" s="11" t="s">
        <v>62</v>
      </c>
      <c r="B56" s="12">
        <v>2.3931737000000002</v>
      </c>
      <c r="C56" s="12">
        <v>93.383333300000004</v>
      </c>
      <c r="D56" s="12">
        <v>2.4539203000000001</v>
      </c>
      <c r="E56" s="17">
        <v>1</v>
      </c>
      <c r="F56" s="13">
        <v>86.466666700000005</v>
      </c>
      <c r="G56" s="12">
        <v>6.3150187000000004</v>
      </c>
      <c r="H56" s="12">
        <v>-40.801031100000003</v>
      </c>
      <c r="I56" s="12">
        <v>-17.295528000000001</v>
      </c>
      <c r="J56" s="7" t="s">
        <v>107</v>
      </c>
      <c r="K56" s="7" t="s">
        <v>107</v>
      </c>
      <c r="L56" s="7" t="s">
        <v>107</v>
      </c>
      <c r="M56" s="7" t="s">
        <v>107</v>
      </c>
      <c r="N56" s="7" t="s">
        <v>107</v>
      </c>
      <c r="O56" s="7" t="s">
        <v>107</v>
      </c>
      <c r="P56" s="7" t="s">
        <v>107</v>
      </c>
      <c r="Q56" s="7" t="s">
        <v>107</v>
      </c>
      <c r="R56" s="7" t="s">
        <v>107</v>
      </c>
      <c r="S56" s="12">
        <v>11.9047619</v>
      </c>
      <c r="T56" s="12">
        <v>13.974</v>
      </c>
      <c r="U56" s="12">
        <v>92.466666700000005</v>
      </c>
      <c r="V56" s="12">
        <v>1</v>
      </c>
      <c r="W56" s="7" t="s">
        <v>107</v>
      </c>
      <c r="X56" s="12">
        <v>24.344505600000002</v>
      </c>
      <c r="Y56" s="12">
        <v>12.677254599999999</v>
      </c>
      <c r="Z56" s="12">
        <v>-12.2428858</v>
      </c>
      <c r="AA56" s="12">
        <v>95.297067400000003</v>
      </c>
      <c r="AB56" s="12">
        <v>15.160594</v>
      </c>
      <c r="AC56" s="12">
        <v>32.473650300000003</v>
      </c>
      <c r="AD56" s="12">
        <v>20.9080829</v>
      </c>
      <c r="AE56" s="12">
        <v>63.839489800000003</v>
      </c>
      <c r="AF56" s="12">
        <v>26.4046579</v>
      </c>
      <c r="AG56" s="22" t="s">
        <v>107</v>
      </c>
    </row>
    <row r="57" spans="1:33" s="11" customFormat="1" outlineLevel="1" x14ac:dyDescent="0.3">
      <c r="A57" s="11" t="s">
        <v>63</v>
      </c>
      <c r="B57" s="12">
        <v>3.2110127999999998</v>
      </c>
      <c r="C57" s="12">
        <v>94.073333300000002</v>
      </c>
      <c r="D57" s="12">
        <v>2.9061075000000001</v>
      </c>
      <c r="E57" s="17">
        <v>1</v>
      </c>
      <c r="F57" s="13">
        <v>104.96</v>
      </c>
      <c r="G57" s="12">
        <v>-5.8348335000000002</v>
      </c>
      <c r="H57" s="12">
        <v>22.108187900000001</v>
      </c>
      <c r="I57" s="12">
        <v>8.5274143000000002</v>
      </c>
      <c r="J57" s="12">
        <v>4.9298000000000002</v>
      </c>
      <c r="K57" s="12">
        <v>3.3861813999999999</v>
      </c>
      <c r="L57" s="12">
        <v>-2.7701490999999998</v>
      </c>
      <c r="M57" s="12">
        <v>27.5145953</v>
      </c>
      <c r="N57" s="12">
        <v>24.003205900000001</v>
      </c>
      <c r="O57" s="12">
        <v>19.854454100000002</v>
      </c>
      <c r="P57" s="7" t="s">
        <v>107</v>
      </c>
      <c r="Q57" s="7" t="s">
        <v>107</v>
      </c>
      <c r="R57" s="7" t="s">
        <v>107</v>
      </c>
      <c r="S57" s="12">
        <v>10.8009708</v>
      </c>
      <c r="T57" s="12">
        <v>13.711</v>
      </c>
      <c r="U57" s="12">
        <v>96.2</v>
      </c>
      <c r="V57" s="12">
        <v>1</v>
      </c>
      <c r="W57" s="7" t="s">
        <v>107</v>
      </c>
      <c r="X57" s="12">
        <v>25.081094</v>
      </c>
      <c r="Y57" s="12">
        <v>21.314298699999998</v>
      </c>
      <c r="Z57" s="12">
        <v>-7.4365256999999998</v>
      </c>
      <c r="AA57" s="12">
        <v>92.674439699999994</v>
      </c>
      <c r="AB57" s="12">
        <v>8.7352439000000004</v>
      </c>
      <c r="AC57" s="12">
        <v>34.397212699999997</v>
      </c>
      <c r="AD57" s="12">
        <v>21.498976599999999</v>
      </c>
      <c r="AE57" s="12">
        <v>57.305872899999997</v>
      </c>
      <c r="AF57" s="12">
        <v>13.6198861</v>
      </c>
      <c r="AG57" s="22" t="s">
        <v>107</v>
      </c>
    </row>
    <row r="58" spans="1:33" s="11" customFormat="1" outlineLevel="1" x14ac:dyDescent="0.3">
      <c r="A58" s="11" t="s">
        <v>64</v>
      </c>
      <c r="B58" s="12">
        <v>2.1036085</v>
      </c>
      <c r="C58" s="12">
        <v>95.516666700000002</v>
      </c>
      <c r="D58" s="12">
        <v>3.1831767000000002</v>
      </c>
      <c r="E58" s="17">
        <v>1.25</v>
      </c>
      <c r="F58" s="13">
        <v>117.36</v>
      </c>
      <c r="G58" s="12">
        <v>26.385149999999999</v>
      </c>
      <c r="H58" s="12">
        <v>0.45334010000000002</v>
      </c>
      <c r="I58" s="12">
        <v>-0.51451139999999995</v>
      </c>
      <c r="J58" s="12">
        <v>3.1710272000000002</v>
      </c>
      <c r="K58" s="12">
        <v>5.6904864000000002</v>
      </c>
      <c r="L58" s="12">
        <v>3.0021426</v>
      </c>
      <c r="M58" s="12">
        <v>14.198516</v>
      </c>
      <c r="N58" s="12">
        <v>7.5396685999999997</v>
      </c>
      <c r="O58" s="12">
        <v>15.345484799999999</v>
      </c>
      <c r="P58" s="7" t="s">
        <v>107</v>
      </c>
      <c r="Q58" s="7" t="s">
        <v>107</v>
      </c>
      <c r="R58" s="7" t="s">
        <v>107</v>
      </c>
      <c r="S58" s="12">
        <v>27.450980399999999</v>
      </c>
      <c r="T58" s="12">
        <v>13.456</v>
      </c>
      <c r="U58" s="12">
        <v>96.233333299999998</v>
      </c>
      <c r="V58" s="12">
        <v>1</v>
      </c>
      <c r="W58" s="7" t="s">
        <v>107</v>
      </c>
      <c r="X58" s="12">
        <v>8.7067682000000008</v>
      </c>
      <c r="Y58" s="12">
        <v>13.5177406</v>
      </c>
      <c r="Z58" s="12">
        <v>-16.175309200000001</v>
      </c>
      <c r="AA58" s="12">
        <v>89.201033899999999</v>
      </c>
      <c r="AB58" s="12">
        <v>12.332735</v>
      </c>
      <c r="AC58" s="12">
        <v>36.4971952</v>
      </c>
      <c r="AD58" s="12">
        <v>21.013449099999999</v>
      </c>
      <c r="AE58" s="12">
        <v>59.044413200000001</v>
      </c>
      <c r="AF58" s="12">
        <v>16.9294203</v>
      </c>
      <c r="AG58" s="22" t="s">
        <v>107</v>
      </c>
    </row>
    <row r="59" spans="1:33" s="11" customFormat="1" outlineLevel="1" x14ac:dyDescent="0.3">
      <c r="A59" s="11" t="s">
        <v>65</v>
      </c>
      <c r="B59" s="12">
        <v>1.8176159000000001</v>
      </c>
      <c r="C59" s="12">
        <v>95.433333300000001</v>
      </c>
      <c r="D59" s="12">
        <v>3.0783078000000001</v>
      </c>
      <c r="E59" s="17">
        <v>1.5</v>
      </c>
      <c r="F59" s="13">
        <v>113.34</v>
      </c>
      <c r="G59" s="12">
        <v>22.253060900000001</v>
      </c>
      <c r="H59" s="12">
        <v>3.2330233000000002</v>
      </c>
      <c r="I59" s="12">
        <v>-0.87761929999999999</v>
      </c>
      <c r="J59" s="12">
        <v>11.229288499999999</v>
      </c>
      <c r="K59" s="12">
        <v>-4.1065085000000003</v>
      </c>
      <c r="L59" s="12">
        <v>9.3201783999999996</v>
      </c>
      <c r="M59" s="12">
        <v>5.7871050000000004</v>
      </c>
      <c r="N59" s="12">
        <v>82.656489100000002</v>
      </c>
      <c r="O59" s="12">
        <v>12.132039799999999</v>
      </c>
      <c r="P59" s="7" t="s">
        <v>107</v>
      </c>
      <c r="Q59" s="7" t="s">
        <v>107</v>
      </c>
      <c r="R59" s="7" t="s">
        <v>107</v>
      </c>
      <c r="S59" s="12">
        <v>26.176808300000001</v>
      </c>
      <c r="T59" s="12">
        <v>13.55</v>
      </c>
      <c r="U59" s="12">
        <v>95.2</v>
      </c>
      <c r="V59" s="12">
        <v>1</v>
      </c>
      <c r="W59" s="7" t="s">
        <v>107</v>
      </c>
      <c r="X59" s="12">
        <v>86.145668900000004</v>
      </c>
      <c r="Y59" s="12">
        <v>10.8317266</v>
      </c>
      <c r="Z59" s="12">
        <v>-3.0795975000000002</v>
      </c>
      <c r="AA59" s="12">
        <v>76.891729299999994</v>
      </c>
      <c r="AB59" s="12">
        <v>11.330140500000001</v>
      </c>
      <c r="AC59" s="12">
        <v>35.239776900000003</v>
      </c>
      <c r="AD59" s="12">
        <v>38.962842000000002</v>
      </c>
      <c r="AE59" s="12">
        <v>62.424488599999997</v>
      </c>
      <c r="AF59" s="12">
        <v>18.117313200000002</v>
      </c>
      <c r="AG59" s="22" t="s">
        <v>107</v>
      </c>
    </row>
    <row r="60" spans="1:33" s="11" customFormat="1" outlineLevel="1" x14ac:dyDescent="0.3">
      <c r="A60" s="11" t="s">
        <v>66</v>
      </c>
      <c r="B60" s="12">
        <v>0.47384009999999999</v>
      </c>
      <c r="C60" s="12">
        <v>96.41</v>
      </c>
      <c r="D60" s="12">
        <v>3.2411208999999999</v>
      </c>
      <c r="E60" s="17">
        <v>1.25</v>
      </c>
      <c r="F60" s="13">
        <v>109.3966667</v>
      </c>
      <c r="G60" s="12">
        <v>3.7868943000000002</v>
      </c>
      <c r="H60" s="12">
        <v>30.338582599999999</v>
      </c>
      <c r="I60" s="12">
        <v>-9.6938879999999994</v>
      </c>
      <c r="J60" s="12">
        <v>5.4550321999999998</v>
      </c>
      <c r="K60" s="12">
        <v>9.0490423</v>
      </c>
      <c r="L60" s="12">
        <v>0.32423259999999998</v>
      </c>
      <c r="M60" s="12">
        <v>29.7792511</v>
      </c>
      <c r="N60" s="12">
        <v>-13.7394181</v>
      </c>
      <c r="O60" s="12">
        <v>15.688041800000001</v>
      </c>
      <c r="P60" s="7" t="s">
        <v>107</v>
      </c>
      <c r="Q60" s="7" t="s">
        <v>107</v>
      </c>
      <c r="R60" s="7" t="s">
        <v>107</v>
      </c>
      <c r="S60" s="12">
        <v>25.1959686</v>
      </c>
      <c r="T60" s="12">
        <v>13.301</v>
      </c>
      <c r="U60" s="12">
        <v>96.3</v>
      </c>
      <c r="V60" s="12">
        <v>1</v>
      </c>
      <c r="W60" s="7" t="s">
        <v>107</v>
      </c>
      <c r="X60" s="12">
        <v>-12.323786399999999</v>
      </c>
      <c r="Y60" s="12">
        <v>14.236622000000001</v>
      </c>
      <c r="Z60" s="12">
        <v>-26.600092499999999</v>
      </c>
      <c r="AA60" s="12">
        <v>93.271774300000004</v>
      </c>
      <c r="AB60" s="12">
        <v>17.639693600000001</v>
      </c>
      <c r="AC60" s="12">
        <v>37.807540099999997</v>
      </c>
      <c r="AD60" s="12">
        <v>16.357086500000001</v>
      </c>
      <c r="AE60" s="12">
        <v>65.076094499999996</v>
      </c>
      <c r="AF60" s="12">
        <v>17.664670699999999</v>
      </c>
      <c r="AG60" s="22" t="s">
        <v>107</v>
      </c>
    </row>
    <row r="61" spans="1:33" s="11" customFormat="1" outlineLevel="1" x14ac:dyDescent="0.3">
      <c r="A61" s="11" t="s">
        <v>67</v>
      </c>
      <c r="B61" s="12">
        <v>3.7986600000000002E-2</v>
      </c>
      <c r="C61" s="12">
        <v>96.803333300000006</v>
      </c>
      <c r="D61" s="12">
        <v>2.9019914</v>
      </c>
      <c r="E61" s="17">
        <v>1</v>
      </c>
      <c r="F61" s="13">
        <v>118.49</v>
      </c>
      <c r="G61" s="12">
        <v>68.716195799999994</v>
      </c>
      <c r="H61" s="12">
        <v>2.7961706</v>
      </c>
      <c r="I61" s="12">
        <v>-2.9380326000000001</v>
      </c>
      <c r="J61" s="12">
        <v>1.4507939999999999</v>
      </c>
      <c r="K61" s="12">
        <v>3.5973706999999999</v>
      </c>
      <c r="L61" s="12">
        <v>20.513839399999998</v>
      </c>
      <c r="M61" s="12">
        <v>-18.277511700000002</v>
      </c>
      <c r="N61" s="12">
        <v>-4.0691015999999998</v>
      </c>
      <c r="O61" s="12">
        <v>-6.0845189</v>
      </c>
      <c r="P61" s="7" t="s">
        <v>107</v>
      </c>
      <c r="Q61" s="7" t="s">
        <v>107</v>
      </c>
      <c r="R61" s="7" t="s">
        <v>107</v>
      </c>
      <c r="S61" s="12">
        <v>19.277108399999999</v>
      </c>
      <c r="T61" s="12">
        <v>13.256</v>
      </c>
      <c r="U61" s="12">
        <v>97.933333300000001</v>
      </c>
      <c r="V61" s="12">
        <v>1</v>
      </c>
      <c r="W61" s="7" t="s">
        <v>107</v>
      </c>
      <c r="X61" s="12">
        <v>-3.0852518</v>
      </c>
      <c r="Y61" s="12">
        <v>-5.2374751000000002</v>
      </c>
      <c r="Z61" s="12">
        <v>-1.4862398999999999</v>
      </c>
      <c r="AA61" s="12">
        <v>94.755257900000004</v>
      </c>
      <c r="AB61" s="12">
        <v>12.062886000000001</v>
      </c>
      <c r="AC61" s="12">
        <v>25.390297199999999</v>
      </c>
      <c r="AD61" s="12">
        <v>20.050877499999999</v>
      </c>
      <c r="AE61" s="12">
        <v>52.259422899999997</v>
      </c>
      <c r="AF61" s="12">
        <v>17.069279900000002</v>
      </c>
      <c r="AG61" s="22" t="s">
        <v>107</v>
      </c>
    </row>
    <row r="62" spans="1:33" s="11" customFormat="1" outlineLevel="1" x14ac:dyDescent="0.3">
      <c r="A62" s="11" t="s">
        <v>68</v>
      </c>
      <c r="B62" s="12">
        <v>-0.91019320000000004</v>
      </c>
      <c r="C62" s="12">
        <v>97.993333300000003</v>
      </c>
      <c r="D62" s="12">
        <v>2.5929156999999998</v>
      </c>
      <c r="E62" s="17">
        <v>1</v>
      </c>
      <c r="F62" s="13">
        <v>108.41666669999999</v>
      </c>
      <c r="G62" s="12">
        <v>-0.57717609999999997</v>
      </c>
      <c r="H62" s="12">
        <v>5.0051005000000002</v>
      </c>
      <c r="I62" s="12">
        <v>1.0152060999999999</v>
      </c>
      <c r="J62" s="12">
        <v>2.0769823000000001</v>
      </c>
      <c r="K62" s="12">
        <v>5.9453510999999999</v>
      </c>
      <c r="L62" s="12">
        <v>5.7032493000000004</v>
      </c>
      <c r="M62" s="12">
        <v>-4.4534770999999997</v>
      </c>
      <c r="N62" s="12">
        <v>-4.5179201000000004</v>
      </c>
      <c r="O62" s="12">
        <v>2.2947708000000002</v>
      </c>
      <c r="P62" s="7" t="s">
        <v>107</v>
      </c>
      <c r="Q62" s="7" t="s">
        <v>107</v>
      </c>
      <c r="R62" s="7" t="s">
        <v>107</v>
      </c>
      <c r="S62" s="12">
        <v>-0.72398189999999996</v>
      </c>
      <c r="T62" s="12">
        <v>12.327999999999999</v>
      </c>
      <c r="U62" s="12">
        <v>97.5</v>
      </c>
      <c r="V62" s="12">
        <v>1</v>
      </c>
      <c r="W62" s="7" t="s">
        <v>107</v>
      </c>
      <c r="X62" s="12">
        <v>-3.1605235999999999</v>
      </c>
      <c r="Y62" s="12">
        <v>2.1047863000000002</v>
      </c>
      <c r="Z62" s="12">
        <v>-11.378611599999999</v>
      </c>
      <c r="AA62" s="12">
        <v>91.140564999999995</v>
      </c>
      <c r="AB62" s="12">
        <v>12.541327000000001</v>
      </c>
      <c r="AC62" s="12">
        <v>33.940809100000003</v>
      </c>
      <c r="AD62" s="12">
        <v>19.169644399999999</v>
      </c>
      <c r="AE62" s="12">
        <v>56.792265499999999</v>
      </c>
      <c r="AF62" s="12">
        <v>11.678075099999999</v>
      </c>
      <c r="AG62" s="22" t="s">
        <v>107</v>
      </c>
    </row>
    <row r="63" spans="1:33" s="11" customFormat="1" outlineLevel="1" x14ac:dyDescent="0.3">
      <c r="A63" s="11" t="s">
        <v>69</v>
      </c>
      <c r="B63" s="12">
        <v>-1.0352741000000001</v>
      </c>
      <c r="C63" s="12">
        <v>97.9566667</v>
      </c>
      <c r="D63" s="12">
        <v>2.6440796999999998</v>
      </c>
      <c r="E63" s="17">
        <v>0.75</v>
      </c>
      <c r="F63" s="13">
        <v>109.61333329999999</v>
      </c>
      <c r="G63" s="12">
        <v>-3.5018102</v>
      </c>
      <c r="H63" s="12">
        <v>0.78887660000000004</v>
      </c>
      <c r="I63" s="12">
        <v>0.32223859999999999</v>
      </c>
      <c r="J63" s="12">
        <v>1.9268871999999999</v>
      </c>
      <c r="K63" s="12">
        <v>1.0758326</v>
      </c>
      <c r="L63" s="12">
        <v>3.3512849999999998</v>
      </c>
      <c r="M63" s="12">
        <v>-3.9445912999999999</v>
      </c>
      <c r="N63" s="12">
        <v>6.9414338000000004</v>
      </c>
      <c r="O63" s="12">
        <v>0.95244530000000005</v>
      </c>
      <c r="P63" s="7" t="s">
        <v>107</v>
      </c>
      <c r="Q63" s="7" t="s">
        <v>107</v>
      </c>
      <c r="R63" s="7" t="s">
        <v>107</v>
      </c>
      <c r="S63" s="12">
        <v>0</v>
      </c>
      <c r="T63" s="12">
        <v>12.762</v>
      </c>
      <c r="U63" s="12">
        <v>98.233333299999998</v>
      </c>
      <c r="V63" s="12">
        <v>1</v>
      </c>
      <c r="W63" s="7" t="s">
        <v>107</v>
      </c>
      <c r="X63" s="12">
        <v>8.2460231999999998</v>
      </c>
      <c r="Y63" s="12">
        <v>0.4909906</v>
      </c>
      <c r="Z63" s="12">
        <v>2.5355715999999999</v>
      </c>
      <c r="AA63" s="12">
        <v>73.850477100000006</v>
      </c>
      <c r="AB63" s="12">
        <v>11.120568799999999</v>
      </c>
      <c r="AC63" s="12">
        <v>34.536476100000002</v>
      </c>
      <c r="AD63" s="12">
        <v>40.025877000000001</v>
      </c>
      <c r="AE63" s="12">
        <v>59.533324899999997</v>
      </c>
      <c r="AF63" s="12">
        <v>8.5702843000000009</v>
      </c>
      <c r="AG63" s="22" t="s">
        <v>107</v>
      </c>
    </row>
    <row r="64" spans="1:33" s="11" customFormat="1" outlineLevel="1" x14ac:dyDescent="0.3">
      <c r="A64" s="11" t="s">
        <v>70</v>
      </c>
      <c r="B64" s="12">
        <v>-0.98067590000000004</v>
      </c>
      <c r="C64" s="12">
        <v>98.773333300000004</v>
      </c>
      <c r="D64" s="12">
        <v>2.4513362999999999</v>
      </c>
      <c r="E64" s="17">
        <v>0.75</v>
      </c>
      <c r="F64" s="13">
        <v>110.08666669999999</v>
      </c>
      <c r="G64" s="12">
        <v>-2.2378545000000001</v>
      </c>
      <c r="H64" s="12">
        <v>-0.78292949999999994</v>
      </c>
      <c r="I64" s="12">
        <v>-8.5591478999999993</v>
      </c>
      <c r="J64" s="12">
        <v>1.3183081999999999</v>
      </c>
      <c r="K64" s="12">
        <v>1.5034463</v>
      </c>
      <c r="L64" s="12">
        <v>-1.6316577999999999</v>
      </c>
      <c r="M64" s="12">
        <v>-11.7811053</v>
      </c>
      <c r="N64" s="12">
        <v>4.0066518000000002</v>
      </c>
      <c r="O64" s="12">
        <v>-6.1507937000000004</v>
      </c>
      <c r="P64" s="7" t="s">
        <v>107</v>
      </c>
      <c r="Q64" s="7" t="s">
        <v>107</v>
      </c>
      <c r="R64" s="7" t="s">
        <v>107</v>
      </c>
      <c r="S64" s="12">
        <v>-1.0733452999999999</v>
      </c>
      <c r="T64" s="12">
        <v>12.241</v>
      </c>
      <c r="U64" s="12">
        <v>99.833333300000007</v>
      </c>
      <c r="V64" s="12">
        <v>1</v>
      </c>
      <c r="W64" s="7" t="s">
        <v>107</v>
      </c>
      <c r="X64" s="12">
        <v>6.4480589999999998</v>
      </c>
      <c r="Y64" s="12">
        <v>-6.8216700000000001</v>
      </c>
      <c r="Z64" s="12">
        <v>-13.771685700000001</v>
      </c>
      <c r="AA64" s="12">
        <v>92.678408599999997</v>
      </c>
      <c r="AB64" s="12">
        <v>16.3031465</v>
      </c>
      <c r="AC64" s="12">
        <v>32.010731100000001</v>
      </c>
      <c r="AD64" s="12">
        <v>16.512415499999999</v>
      </c>
      <c r="AE64" s="12">
        <v>57.504621100000001</v>
      </c>
      <c r="AF64" s="12">
        <v>6.2047366999999998</v>
      </c>
      <c r="AG64" s="22" t="s">
        <v>107</v>
      </c>
    </row>
    <row r="65" spans="1:33" s="11" customFormat="1" outlineLevel="1" x14ac:dyDescent="0.3">
      <c r="A65" s="11" t="s">
        <v>71</v>
      </c>
      <c r="B65" s="12">
        <v>-1.6415721999999999</v>
      </c>
      <c r="C65" s="12">
        <v>98.726666699999996</v>
      </c>
      <c r="D65" s="12">
        <v>1.9868463000000001</v>
      </c>
      <c r="E65" s="17">
        <v>0.75</v>
      </c>
      <c r="F65" s="13">
        <v>112.4933333</v>
      </c>
      <c r="G65" s="12">
        <v>2.8977556</v>
      </c>
      <c r="H65" s="12">
        <v>7.9034798999999998</v>
      </c>
      <c r="I65" s="12">
        <v>-1.6104641</v>
      </c>
      <c r="J65" s="12">
        <v>5.0979761999999997</v>
      </c>
      <c r="K65" s="12">
        <v>2.1466405000000002</v>
      </c>
      <c r="L65" s="12">
        <v>5.6567527000000002</v>
      </c>
      <c r="M65" s="12">
        <v>10.7389531</v>
      </c>
      <c r="N65" s="12">
        <v>6.0311840999999999</v>
      </c>
      <c r="O65" s="12">
        <v>2.974199</v>
      </c>
      <c r="P65" s="7" t="s">
        <v>107</v>
      </c>
      <c r="Q65" s="7" t="s">
        <v>107</v>
      </c>
      <c r="R65" s="7" t="s">
        <v>107</v>
      </c>
      <c r="S65" s="12">
        <v>2.1120293999999999</v>
      </c>
      <c r="T65" s="12">
        <v>12.234999999999999</v>
      </c>
      <c r="U65" s="12">
        <v>100.7666667</v>
      </c>
      <c r="V65" s="12">
        <v>1</v>
      </c>
      <c r="W65" s="7" t="s">
        <v>107</v>
      </c>
      <c r="X65" s="12">
        <v>7.3940839</v>
      </c>
      <c r="Y65" s="12">
        <v>2.5896954999999999</v>
      </c>
      <c r="Z65" s="12">
        <v>0.7320738</v>
      </c>
      <c r="AA65" s="12">
        <v>92.585447000000002</v>
      </c>
      <c r="AB65" s="12">
        <v>11.8770626</v>
      </c>
      <c r="AC65" s="12">
        <v>25.695200199999999</v>
      </c>
      <c r="AD65" s="12">
        <v>20.243802200000001</v>
      </c>
      <c r="AE65" s="12">
        <v>50.401511999999997</v>
      </c>
      <c r="AF65" s="12">
        <v>6.2487833000000004</v>
      </c>
      <c r="AG65" s="22" t="s">
        <v>107</v>
      </c>
    </row>
    <row r="66" spans="1:33" s="11" customFormat="1" outlineLevel="1" x14ac:dyDescent="0.3">
      <c r="A66" s="11" t="s">
        <v>72</v>
      </c>
      <c r="B66" s="12">
        <v>-0.1331087</v>
      </c>
      <c r="C66" s="12">
        <v>99.533333299999995</v>
      </c>
      <c r="D66" s="12">
        <v>1.5715355</v>
      </c>
      <c r="E66" s="17">
        <v>0.58333330000000005</v>
      </c>
      <c r="F66" s="13">
        <v>102.5766667</v>
      </c>
      <c r="G66" s="12">
        <v>-1.6844115</v>
      </c>
      <c r="H66" s="12">
        <v>-5.1295599000000003</v>
      </c>
      <c r="I66" s="12">
        <v>2.6354099999999998E-2</v>
      </c>
      <c r="J66" s="12">
        <v>4.6794193000000002</v>
      </c>
      <c r="K66" s="12">
        <v>2.6943668999999999</v>
      </c>
      <c r="L66" s="12">
        <v>-6.5060099999999996E-2</v>
      </c>
      <c r="M66" s="12">
        <v>2.1930703</v>
      </c>
      <c r="N66" s="12">
        <v>-1.0303040000000001</v>
      </c>
      <c r="O66" s="12">
        <v>-2.9668078000000002</v>
      </c>
      <c r="P66" s="7" t="s">
        <v>107</v>
      </c>
      <c r="Q66" s="7" t="s">
        <v>107</v>
      </c>
      <c r="R66" s="7" t="s">
        <v>107</v>
      </c>
      <c r="S66" s="12">
        <v>1.8231539999999999</v>
      </c>
      <c r="T66" s="12">
        <v>11.398</v>
      </c>
      <c r="U66" s="12">
        <v>99.866666699999996</v>
      </c>
      <c r="V66" s="12">
        <v>1</v>
      </c>
      <c r="W66" s="7" t="s">
        <v>107</v>
      </c>
      <c r="X66" s="12">
        <v>-0.17902000000000001</v>
      </c>
      <c r="Y66" s="12">
        <v>-4.6669155</v>
      </c>
      <c r="Z66" s="12">
        <v>-8.4746249000000002</v>
      </c>
      <c r="AA66" s="12">
        <v>89.2491038</v>
      </c>
      <c r="AB66" s="12">
        <v>11.729321300000001</v>
      </c>
      <c r="AC66" s="12">
        <v>32.067227899999999</v>
      </c>
      <c r="AD66" s="12">
        <v>18.063447700000001</v>
      </c>
      <c r="AE66" s="12">
        <v>51.1091008</v>
      </c>
      <c r="AF66" s="12">
        <v>4.3647844999999998</v>
      </c>
      <c r="AG66" s="22" t="s">
        <v>107</v>
      </c>
    </row>
    <row r="67" spans="1:33" s="11" customFormat="1" outlineLevel="1" x14ac:dyDescent="0.3">
      <c r="A67" s="11" t="s">
        <v>73</v>
      </c>
      <c r="B67" s="12">
        <v>0.53477319999999995</v>
      </c>
      <c r="C67" s="12">
        <v>99.423333299999996</v>
      </c>
      <c r="D67" s="12">
        <v>1.4972605999999999</v>
      </c>
      <c r="E67" s="17">
        <v>0.5</v>
      </c>
      <c r="F67" s="13">
        <v>110.27</v>
      </c>
      <c r="G67" s="12">
        <v>6.0161705999999997</v>
      </c>
      <c r="H67" s="12">
        <v>0.78102000000000005</v>
      </c>
      <c r="I67" s="12">
        <v>-0.99304720000000002</v>
      </c>
      <c r="J67" s="12">
        <v>6.4394337999999998</v>
      </c>
      <c r="K67" s="12">
        <v>3.8315725999999999</v>
      </c>
      <c r="L67" s="12">
        <v>5.6120067999999996</v>
      </c>
      <c r="M67" s="12">
        <v>-2.7838726</v>
      </c>
      <c r="N67" s="12">
        <v>0.79544300000000001</v>
      </c>
      <c r="O67" s="12">
        <v>-6.0952523000000003</v>
      </c>
      <c r="P67" s="7" t="s">
        <v>107</v>
      </c>
      <c r="Q67" s="7" t="s">
        <v>107</v>
      </c>
      <c r="R67" s="7" t="s">
        <v>107</v>
      </c>
      <c r="S67" s="12">
        <v>-9.0991799999999998E-2</v>
      </c>
      <c r="T67" s="12">
        <v>11.651999999999999</v>
      </c>
      <c r="U67" s="12">
        <v>99.466666700000005</v>
      </c>
      <c r="V67" s="12">
        <v>1</v>
      </c>
      <c r="W67" s="7" t="s">
        <v>107</v>
      </c>
      <c r="X67" s="12">
        <v>1.242442</v>
      </c>
      <c r="Y67" s="12">
        <v>-6.9818911000000003</v>
      </c>
      <c r="Z67" s="12">
        <v>6.4251218999999997</v>
      </c>
      <c r="AA67" s="12">
        <v>71.819894700000006</v>
      </c>
      <c r="AB67" s="12">
        <v>10.807744700000001</v>
      </c>
      <c r="AC67" s="12">
        <v>31.5144764</v>
      </c>
      <c r="AD67" s="12">
        <v>38.581863400000003</v>
      </c>
      <c r="AE67" s="12">
        <v>52.723979200000002</v>
      </c>
      <c r="AF67" s="12">
        <v>4.0944301000000003</v>
      </c>
      <c r="AG67" s="22" t="s">
        <v>107</v>
      </c>
    </row>
    <row r="68" spans="1:33" s="11" customFormat="1" outlineLevel="1" x14ac:dyDescent="0.3">
      <c r="A68" s="11" t="s">
        <v>74</v>
      </c>
      <c r="B68" s="12">
        <v>0.83200640000000003</v>
      </c>
      <c r="C68" s="12">
        <v>99.72</v>
      </c>
      <c r="D68" s="12">
        <v>0.95842340000000004</v>
      </c>
      <c r="E68" s="17">
        <v>0.3333333</v>
      </c>
      <c r="F68" s="13">
        <v>109.21</v>
      </c>
      <c r="G68" s="12">
        <v>5.0264148999999998</v>
      </c>
      <c r="H68" s="12">
        <v>-3.7975976</v>
      </c>
      <c r="I68" s="12">
        <v>-10.9405333</v>
      </c>
      <c r="J68" s="12">
        <v>5.0004473999999997</v>
      </c>
      <c r="K68" s="12">
        <v>5.5921453000000003</v>
      </c>
      <c r="L68" s="12">
        <v>14.622086400000001</v>
      </c>
      <c r="M68" s="12">
        <v>-0.88013980000000003</v>
      </c>
      <c r="N68" s="12">
        <v>-15.018209499999999</v>
      </c>
      <c r="O68" s="12">
        <v>-0.33980510000000003</v>
      </c>
      <c r="P68" s="7" t="s">
        <v>107</v>
      </c>
      <c r="Q68" s="7" t="s">
        <v>107</v>
      </c>
      <c r="R68" s="7" t="s">
        <v>107</v>
      </c>
      <c r="S68" s="12">
        <v>0.36166359999999997</v>
      </c>
      <c r="T68" s="12">
        <v>10.898</v>
      </c>
      <c r="U68" s="12">
        <v>100.33333330000001</v>
      </c>
      <c r="V68" s="12">
        <v>1</v>
      </c>
      <c r="W68" s="7" t="s">
        <v>107</v>
      </c>
      <c r="X68" s="12">
        <v>-14.7750906</v>
      </c>
      <c r="Y68" s="12">
        <v>-1.1905797</v>
      </c>
      <c r="Z68" s="12">
        <v>-12.6023835</v>
      </c>
      <c r="AA68" s="12">
        <v>93.501742300000004</v>
      </c>
      <c r="AB68" s="12">
        <v>17.318622300000001</v>
      </c>
      <c r="AC68" s="12">
        <v>29.613340600000001</v>
      </c>
      <c r="AD68" s="12">
        <v>13.3110432</v>
      </c>
      <c r="AE68" s="12">
        <v>53.744824600000001</v>
      </c>
      <c r="AF68" s="12">
        <v>3.9255437</v>
      </c>
      <c r="AG68" s="22" t="s">
        <v>107</v>
      </c>
    </row>
    <row r="69" spans="1:33" s="11" customFormat="1" outlineLevel="1" x14ac:dyDescent="0.3">
      <c r="A69" s="11" t="s">
        <v>75</v>
      </c>
      <c r="B69" s="12">
        <v>1.8456245</v>
      </c>
      <c r="C69" s="12">
        <v>99.49</v>
      </c>
      <c r="D69" s="12">
        <v>0.77317840000000004</v>
      </c>
      <c r="E69" s="17">
        <v>0.25</v>
      </c>
      <c r="F69" s="13">
        <v>108.16666669999999</v>
      </c>
      <c r="G69" s="12">
        <v>-9.4629066999999996</v>
      </c>
      <c r="H69" s="12">
        <v>0.93996840000000004</v>
      </c>
      <c r="I69" s="12">
        <v>1.2056677</v>
      </c>
      <c r="J69" s="12">
        <v>3.757717</v>
      </c>
      <c r="K69" s="12">
        <v>4.3666603999999998</v>
      </c>
      <c r="L69" s="12">
        <v>7.6105098</v>
      </c>
      <c r="M69" s="12">
        <v>3.9463031000000002</v>
      </c>
      <c r="N69" s="12">
        <v>-5.2678523999999998</v>
      </c>
      <c r="O69" s="12">
        <v>2.2550490999999999</v>
      </c>
      <c r="P69" s="7" t="s">
        <v>107</v>
      </c>
      <c r="Q69" s="7" t="s">
        <v>107</v>
      </c>
      <c r="R69" s="7" t="s">
        <v>107</v>
      </c>
      <c r="S69" s="12">
        <v>0.26978419999999997</v>
      </c>
      <c r="T69" s="12">
        <v>10.912000000000001</v>
      </c>
      <c r="U69" s="12">
        <v>100.9666667</v>
      </c>
      <c r="V69" s="12">
        <v>1</v>
      </c>
      <c r="W69" s="7" t="s">
        <v>107</v>
      </c>
      <c r="X69" s="12">
        <v>-5.2746389999999996</v>
      </c>
      <c r="Y69" s="12">
        <v>3.3874412999999999</v>
      </c>
      <c r="Z69" s="12">
        <v>-3.7456827000000001</v>
      </c>
      <c r="AA69" s="12">
        <v>92.087748899999994</v>
      </c>
      <c r="AB69" s="12">
        <v>13.9608262</v>
      </c>
      <c r="AC69" s="12">
        <v>24.405469499999999</v>
      </c>
      <c r="AD69" s="12">
        <v>17.732644100000002</v>
      </c>
      <c r="AE69" s="12">
        <v>48.186779600000001</v>
      </c>
      <c r="AF69" s="12">
        <v>3.4811285999999999</v>
      </c>
      <c r="AG69" s="22" t="s">
        <v>107</v>
      </c>
    </row>
    <row r="70" spans="1:33" s="11" customFormat="1" outlineLevel="1" x14ac:dyDescent="0.3">
      <c r="A70" s="11" t="s">
        <v>76</v>
      </c>
      <c r="B70" s="12">
        <v>1.1953549000000001</v>
      </c>
      <c r="C70" s="12">
        <v>100.22333329999999</v>
      </c>
      <c r="D70" s="12">
        <v>0.69323509999999999</v>
      </c>
      <c r="E70" s="17">
        <v>0.21666669999999999</v>
      </c>
      <c r="F70" s="13">
        <v>109.7</v>
      </c>
      <c r="G70" s="12">
        <v>11.2222785</v>
      </c>
      <c r="H70" s="12">
        <v>-1.3072638999999999</v>
      </c>
      <c r="I70" s="12">
        <v>-3.0496493</v>
      </c>
      <c r="J70" s="12">
        <v>1.6072238999999999</v>
      </c>
      <c r="K70" s="12">
        <v>8.3162704000000005</v>
      </c>
      <c r="L70" s="12">
        <v>8.0642253999999998</v>
      </c>
      <c r="M70" s="12">
        <v>-9.2858471999999992</v>
      </c>
      <c r="N70" s="12">
        <v>-2.21564E-2</v>
      </c>
      <c r="O70" s="12">
        <v>7.3942522999999998</v>
      </c>
      <c r="P70" s="7" t="s">
        <v>107</v>
      </c>
      <c r="Q70" s="7" t="s">
        <v>107</v>
      </c>
      <c r="R70" s="7" t="s">
        <v>107</v>
      </c>
      <c r="S70" s="12">
        <v>19.068934599999999</v>
      </c>
      <c r="T70" s="12">
        <v>10.475</v>
      </c>
      <c r="U70" s="12">
        <v>100.2666667</v>
      </c>
      <c r="V70" s="12">
        <v>1</v>
      </c>
      <c r="W70" s="7" t="s">
        <v>107</v>
      </c>
      <c r="X70" s="12">
        <v>0.18519369999999999</v>
      </c>
      <c r="Y70" s="12">
        <v>6.6076457</v>
      </c>
      <c r="Z70" s="12">
        <v>-13.1002218</v>
      </c>
      <c r="AA70" s="12">
        <v>93.496195099999994</v>
      </c>
      <c r="AB70" s="12">
        <v>13.9379227</v>
      </c>
      <c r="AC70" s="12">
        <v>28.013843999999999</v>
      </c>
      <c r="AD70" s="12">
        <v>17.628794299999999</v>
      </c>
      <c r="AE70" s="12">
        <v>53.076756199999998</v>
      </c>
      <c r="AF70" s="12">
        <v>5.5703861999999997</v>
      </c>
      <c r="AG70" s="22" t="s">
        <v>107</v>
      </c>
    </row>
    <row r="71" spans="1:33" s="11" customFormat="1" outlineLevel="1" x14ac:dyDescent="0.3">
      <c r="A71" s="11" t="s">
        <v>77</v>
      </c>
      <c r="B71" s="12">
        <v>1.5779679</v>
      </c>
      <c r="C71" s="12">
        <v>99.91</v>
      </c>
      <c r="D71" s="12">
        <v>0.48948940000000002</v>
      </c>
      <c r="E71" s="17">
        <v>0.1166667</v>
      </c>
      <c r="F71" s="13">
        <v>101.8233333</v>
      </c>
      <c r="G71" s="12">
        <v>-6.8997178999999997</v>
      </c>
      <c r="H71" s="12">
        <v>0.45173980000000002</v>
      </c>
      <c r="I71" s="12">
        <v>0.90239610000000003</v>
      </c>
      <c r="J71" s="12">
        <v>4.3149936999999996</v>
      </c>
      <c r="K71" s="12">
        <v>9.2315041999999998</v>
      </c>
      <c r="L71" s="12">
        <v>2.8681163000000001</v>
      </c>
      <c r="M71" s="12">
        <v>-1.7777061000000001</v>
      </c>
      <c r="N71" s="12">
        <v>8.9455127000000001</v>
      </c>
      <c r="O71" s="12">
        <v>10.462321599999999</v>
      </c>
      <c r="P71" s="7" t="s">
        <v>107</v>
      </c>
      <c r="Q71" s="7" t="s">
        <v>107</v>
      </c>
      <c r="R71" s="7" t="s">
        <v>107</v>
      </c>
      <c r="S71" s="12">
        <v>19.489981799999999</v>
      </c>
      <c r="T71" s="12">
        <v>10.738</v>
      </c>
      <c r="U71" s="12">
        <v>100.4666667</v>
      </c>
      <c r="V71" s="12">
        <v>1</v>
      </c>
      <c r="W71" s="7" t="s">
        <v>107</v>
      </c>
      <c r="X71" s="12">
        <v>10.881359</v>
      </c>
      <c r="Y71" s="12">
        <v>11.3373171</v>
      </c>
      <c r="Z71" s="12">
        <v>5.0215920000000001</v>
      </c>
      <c r="AA71" s="12">
        <v>73.792676299999997</v>
      </c>
      <c r="AB71" s="12">
        <v>11.989034800000001</v>
      </c>
      <c r="AC71" s="12">
        <v>29.483890599999999</v>
      </c>
      <c r="AD71" s="12">
        <v>41.0180723</v>
      </c>
      <c r="AE71" s="12">
        <v>56.283673999999998</v>
      </c>
      <c r="AF71" s="12">
        <v>7.9907867000000001</v>
      </c>
      <c r="AG71" s="22" t="s">
        <v>107</v>
      </c>
    </row>
    <row r="72" spans="1:33" s="11" customFormat="1" outlineLevel="1" x14ac:dyDescent="0.3">
      <c r="A72" s="11" t="s">
        <v>78</v>
      </c>
      <c r="B72" s="12">
        <v>1.7505474000000001</v>
      </c>
      <c r="C72" s="12">
        <v>99.97</v>
      </c>
      <c r="D72" s="12">
        <v>0.25070199999999998</v>
      </c>
      <c r="E72" s="17">
        <v>0.05</v>
      </c>
      <c r="F72" s="13">
        <v>76.4033333</v>
      </c>
      <c r="G72" s="12">
        <v>1.0037944999999999</v>
      </c>
      <c r="H72" s="12">
        <v>5.8674676999999997</v>
      </c>
      <c r="I72" s="12">
        <v>-9.2311975999999998</v>
      </c>
      <c r="J72" s="12">
        <v>3.7460445999999998</v>
      </c>
      <c r="K72" s="12">
        <v>1.8320658000000001</v>
      </c>
      <c r="L72" s="12">
        <v>-3.8325730999999998</v>
      </c>
      <c r="M72" s="12">
        <v>-1.0791089</v>
      </c>
      <c r="N72" s="12">
        <v>20.463072799999999</v>
      </c>
      <c r="O72" s="12">
        <v>-0.54450679999999996</v>
      </c>
      <c r="P72" s="7" t="s">
        <v>107</v>
      </c>
      <c r="Q72" s="7" t="s">
        <v>107</v>
      </c>
      <c r="R72" s="7" t="s">
        <v>107</v>
      </c>
      <c r="S72" s="12">
        <v>19.279279299999999</v>
      </c>
      <c r="T72" s="12">
        <v>9.2870000000000008</v>
      </c>
      <c r="U72" s="12">
        <v>100.4333333</v>
      </c>
      <c r="V72" s="12">
        <v>1</v>
      </c>
      <c r="W72" s="7" t="s">
        <v>107</v>
      </c>
      <c r="X72" s="12">
        <v>21.306845800000001</v>
      </c>
      <c r="Y72" s="12">
        <v>8.8823690000000006</v>
      </c>
      <c r="Z72" s="12">
        <v>-17.271526600000001</v>
      </c>
      <c r="AA72" s="12">
        <v>96.764911499999997</v>
      </c>
      <c r="AB72" s="12">
        <v>14.649220700000001</v>
      </c>
      <c r="AC72" s="12">
        <v>28.670726899999998</v>
      </c>
      <c r="AD72" s="12">
        <v>15.2758532</v>
      </c>
      <c r="AE72" s="12">
        <v>55.360712200000002</v>
      </c>
      <c r="AF72" s="12">
        <v>10.232310699999999</v>
      </c>
      <c r="AG72" s="22" t="s">
        <v>107</v>
      </c>
    </row>
    <row r="73" spans="1:33" s="11" customFormat="1" outlineLevel="1" x14ac:dyDescent="0.3">
      <c r="A73" s="11" t="s">
        <v>79</v>
      </c>
      <c r="B73" s="12">
        <v>2.0633189000000001</v>
      </c>
      <c r="C73" s="12">
        <v>99.203333299999997</v>
      </c>
      <c r="D73" s="12">
        <v>-0.28813620000000001</v>
      </c>
      <c r="E73" s="17">
        <v>0.05</v>
      </c>
      <c r="F73" s="13">
        <v>53.9166667</v>
      </c>
      <c r="G73" s="12">
        <v>11.8977051</v>
      </c>
      <c r="H73" s="12">
        <v>4.5436569000000002</v>
      </c>
      <c r="I73" s="12">
        <v>-0.44209199999999998</v>
      </c>
      <c r="J73" s="12">
        <v>5.9741624</v>
      </c>
      <c r="K73" s="12">
        <v>7.7751500000000001E-2</v>
      </c>
      <c r="L73" s="12">
        <v>2.7833570999999999</v>
      </c>
      <c r="M73" s="12">
        <v>11.740580599999999</v>
      </c>
      <c r="N73" s="12">
        <v>8.7417543999999996</v>
      </c>
      <c r="O73" s="12">
        <v>-2.2796609999999999</v>
      </c>
      <c r="P73" s="7" t="s">
        <v>107</v>
      </c>
      <c r="Q73" s="7" t="s">
        <v>107</v>
      </c>
      <c r="R73" s="7" t="s">
        <v>107</v>
      </c>
      <c r="S73" s="12">
        <v>18.475336299999999</v>
      </c>
      <c r="T73" s="12">
        <v>8.94</v>
      </c>
      <c r="U73" s="12">
        <v>100.5333333</v>
      </c>
      <c r="V73" s="12">
        <v>1</v>
      </c>
      <c r="W73" s="7" t="s">
        <v>107</v>
      </c>
      <c r="X73" s="12">
        <v>9.0180544999999999</v>
      </c>
      <c r="Y73" s="12">
        <v>4.4954717999999998</v>
      </c>
      <c r="Z73" s="12">
        <v>-4.9671779000000003</v>
      </c>
      <c r="AA73" s="12">
        <v>88.153274400000001</v>
      </c>
      <c r="AB73" s="12">
        <v>15.083676199999999</v>
      </c>
      <c r="AC73" s="12">
        <v>25.736516200000001</v>
      </c>
      <c r="AD73" s="12">
        <v>18.055676800000001</v>
      </c>
      <c r="AE73" s="12">
        <v>47.029143699999999</v>
      </c>
      <c r="AF73" s="12">
        <v>10.764872499999999</v>
      </c>
      <c r="AG73" s="22" t="s">
        <v>107</v>
      </c>
    </row>
    <row r="74" spans="1:33" s="11" customFormat="1" outlineLevel="1" x14ac:dyDescent="0.3">
      <c r="A74" s="11" t="s">
        <v>80</v>
      </c>
      <c r="B74" s="12">
        <v>2.2703967</v>
      </c>
      <c r="C74" s="12">
        <v>100.5233333</v>
      </c>
      <c r="D74" s="12">
        <v>0.29933149999999997</v>
      </c>
      <c r="E74" s="17">
        <v>0.05</v>
      </c>
      <c r="F74" s="13">
        <v>61.693333299999999</v>
      </c>
      <c r="G74" s="12">
        <v>1.4517397999999999</v>
      </c>
      <c r="H74" s="12">
        <v>9.3509378000000005</v>
      </c>
      <c r="I74" s="12">
        <v>-1.1121430000000001</v>
      </c>
      <c r="J74" s="12">
        <v>5.4068785999999998</v>
      </c>
      <c r="K74" s="12">
        <v>2.1873771</v>
      </c>
      <c r="L74" s="12">
        <v>3.0214748999999999</v>
      </c>
      <c r="M74" s="12">
        <v>13.6205131</v>
      </c>
      <c r="N74" s="12">
        <v>2.5950128000000001</v>
      </c>
      <c r="O74" s="12">
        <v>2.5104498</v>
      </c>
      <c r="P74" s="7" t="s">
        <v>107</v>
      </c>
      <c r="Q74" s="7" t="s">
        <v>107</v>
      </c>
      <c r="R74" s="7" t="s">
        <v>107</v>
      </c>
      <c r="S74" s="12">
        <v>2.5563910000000001</v>
      </c>
      <c r="T74" s="12">
        <v>7.6319999999999997</v>
      </c>
      <c r="U74" s="12">
        <v>99.833333300000007</v>
      </c>
      <c r="V74" s="12">
        <v>1</v>
      </c>
      <c r="W74" s="7" t="s">
        <v>107</v>
      </c>
      <c r="X74" s="12">
        <v>2.2294827000000002</v>
      </c>
      <c r="Y74" s="12">
        <v>8.1777411000000004</v>
      </c>
      <c r="Z74" s="12">
        <v>-16.696443200000001</v>
      </c>
      <c r="AA74" s="12">
        <v>91.613221600000003</v>
      </c>
      <c r="AB74" s="12">
        <v>13.5548457</v>
      </c>
      <c r="AC74" s="12">
        <v>32.004356100000003</v>
      </c>
      <c r="AD74" s="12">
        <v>17.004966899999999</v>
      </c>
      <c r="AE74" s="12">
        <v>54.177320999999999</v>
      </c>
      <c r="AF74" s="12">
        <v>11.395819299999999</v>
      </c>
      <c r="AG74" s="22" t="s">
        <v>107</v>
      </c>
    </row>
    <row r="75" spans="1:33" s="11" customFormat="1" outlineLevel="1" x14ac:dyDescent="0.3">
      <c r="A75" s="11" t="s">
        <v>81</v>
      </c>
      <c r="B75" s="12">
        <v>2.2457793000000001</v>
      </c>
      <c r="C75" s="12">
        <v>100.1533333</v>
      </c>
      <c r="D75" s="12">
        <v>0.24355250000000001</v>
      </c>
      <c r="E75" s="17">
        <v>0.05</v>
      </c>
      <c r="F75" s="13">
        <v>50.233333299999998</v>
      </c>
      <c r="G75" s="12">
        <v>6.8477908000000003</v>
      </c>
      <c r="H75" s="12">
        <v>8.9570589999999992</v>
      </c>
      <c r="I75" s="12">
        <v>1.3825543</v>
      </c>
      <c r="J75" s="12">
        <v>6.5833221000000002</v>
      </c>
      <c r="K75" s="12">
        <v>1.2479213</v>
      </c>
      <c r="L75" s="12">
        <v>-1.6265258</v>
      </c>
      <c r="M75" s="12">
        <v>3.6559189000000001</v>
      </c>
      <c r="N75" s="12">
        <v>3.0325031999999998</v>
      </c>
      <c r="O75" s="12">
        <v>-6.2819965</v>
      </c>
      <c r="P75" s="7" t="s">
        <v>107</v>
      </c>
      <c r="Q75" s="7" t="s">
        <v>107</v>
      </c>
      <c r="R75" s="7" t="s">
        <v>107</v>
      </c>
      <c r="S75" s="12">
        <v>4.4969511999999998</v>
      </c>
      <c r="T75" s="12">
        <v>7.8979999999999997</v>
      </c>
      <c r="U75" s="12">
        <v>99.566666699999999</v>
      </c>
      <c r="V75" s="12">
        <v>1</v>
      </c>
      <c r="W75" s="7" t="s">
        <v>107</v>
      </c>
      <c r="X75" s="12">
        <v>2.8523054999999999</v>
      </c>
      <c r="Y75" s="12">
        <v>-1.0023631</v>
      </c>
      <c r="Z75" s="12">
        <v>5.6210933000000001</v>
      </c>
      <c r="AA75" s="12">
        <v>70.105408499999996</v>
      </c>
      <c r="AB75" s="12">
        <v>11.4396854</v>
      </c>
      <c r="AC75" s="12">
        <v>31.0974808</v>
      </c>
      <c r="AD75" s="12">
        <v>39.416648299999999</v>
      </c>
      <c r="AE75" s="12">
        <v>52.059223099999997</v>
      </c>
      <c r="AF75" s="12">
        <v>9.0073831000000002</v>
      </c>
      <c r="AG75" s="22" t="s">
        <v>107</v>
      </c>
    </row>
    <row r="76" spans="1:33" s="11" customFormat="1" outlineLevel="1" x14ac:dyDescent="0.3">
      <c r="A76" s="11" t="s">
        <v>82</v>
      </c>
      <c r="B76" s="12">
        <v>2.5478125</v>
      </c>
      <c r="C76" s="12">
        <v>100.1233333</v>
      </c>
      <c r="D76" s="12">
        <v>0.1533793</v>
      </c>
      <c r="E76" s="17">
        <v>0.05</v>
      </c>
      <c r="F76" s="13">
        <v>43.57</v>
      </c>
      <c r="G76" s="12">
        <v>6.5691829999999998</v>
      </c>
      <c r="H76" s="12">
        <v>13.1222222</v>
      </c>
      <c r="I76" s="12">
        <v>-7.6192015</v>
      </c>
      <c r="J76" s="12">
        <v>5.6585916999999997</v>
      </c>
      <c r="K76" s="12">
        <v>0.3631143</v>
      </c>
      <c r="L76" s="12">
        <v>3.5187757</v>
      </c>
      <c r="M76" s="12">
        <v>12.405211100000001</v>
      </c>
      <c r="N76" s="12">
        <v>-8.7751275999999994</v>
      </c>
      <c r="O76" s="12">
        <v>-4.6524596999999996</v>
      </c>
      <c r="P76" s="7" t="s">
        <v>107</v>
      </c>
      <c r="Q76" s="7" t="s">
        <v>107</v>
      </c>
      <c r="R76" s="7" t="s">
        <v>107</v>
      </c>
      <c r="S76" s="12">
        <v>5.2114804000000001</v>
      </c>
      <c r="T76" s="12">
        <v>7.6890000000000001</v>
      </c>
      <c r="U76" s="12">
        <v>100.0333333</v>
      </c>
      <c r="V76" s="12">
        <v>1</v>
      </c>
      <c r="W76" s="7" t="s">
        <v>107</v>
      </c>
      <c r="X76" s="12">
        <v>-9.0159561000000004</v>
      </c>
      <c r="Y76" s="12">
        <v>2.0847899999999999E-2</v>
      </c>
      <c r="Z76" s="12">
        <v>-19.488662300000001</v>
      </c>
      <c r="AA76" s="12">
        <v>92.294554599999998</v>
      </c>
      <c r="AB76" s="12">
        <v>14.8065727</v>
      </c>
      <c r="AC76" s="12">
        <v>31.942883500000001</v>
      </c>
      <c r="AD76" s="12">
        <v>13.084344400000001</v>
      </c>
      <c r="AE76" s="12">
        <v>52.128287399999998</v>
      </c>
      <c r="AF76" s="12">
        <v>9.7168597000000005</v>
      </c>
      <c r="AG76" s="22" t="s">
        <v>107</v>
      </c>
    </row>
    <row r="77" spans="1:33" s="11" customFormat="1" outlineLevel="1" x14ac:dyDescent="0.3">
      <c r="A77" s="11" t="s">
        <v>83</v>
      </c>
      <c r="B77" s="12">
        <v>1.9366078</v>
      </c>
      <c r="C77" s="12">
        <v>99.246666700000006</v>
      </c>
      <c r="D77" s="12">
        <v>4.3681400000000002E-2</v>
      </c>
      <c r="E77" s="17">
        <v>3.3333300000000003E-2</v>
      </c>
      <c r="F77" s="13">
        <v>33.696666700000002</v>
      </c>
      <c r="G77" s="12">
        <v>14.5850819</v>
      </c>
      <c r="H77" s="12">
        <v>15.33423</v>
      </c>
      <c r="I77" s="12">
        <v>-0.30370360000000002</v>
      </c>
      <c r="J77" s="12">
        <v>5.6771864000000001</v>
      </c>
      <c r="K77" s="12">
        <v>5.0386895999999997</v>
      </c>
      <c r="L77" s="12">
        <v>-4.4188711999999999</v>
      </c>
      <c r="M77" s="12">
        <v>27.294822</v>
      </c>
      <c r="N77" s="12">
        <v>6.5906520000000004</v>
      </c>
      <c r="O77" s="12">
        <v>13.4233002</v>
      </c>
      <c r="P77" s="7">
        <v>300.673</v>
      </c>
      <c r="Q77" s="7">
        <v>115.093</v>
      </c>
      <c r="R77" s="7">
        <v>27.7</v>
      </c>
      <c r="S77" s="12">
        <v>5.6775169999999999</v>
      </c>
      <c r="T77" s="12">
        <v>7.4459999999999997</v>
      </c>
      <c r="U77" s="12">
        <v>100.66666669999999</v>
      </c>
      <c r="V77" s="12">
        <v>1</v>
      </c>
      <c r="W77" s="7" t="s">
        <v>107</v>
      </c>
      <c r="X77" s="12">
        <v>5.1035064999999999</v>
      </c>
      <c r="Y77" s="12">
        <v>10.181267</v>
      </c>
      <c r="Z77" s="12">
        <v>-10.670696</v>
      </c>
      <c r="AA77" s="12">
        <v>84.764491199999995</v>
      </c>
      <c r="AB77" s="12">
        <v>13.7817987</v>
      </c>
      <c r="AC77" s="12">
        <v>32.113850100000001</v>
      </c>
      <c r="AD77" s="12">
        <v>17.717601500000001</v>
      </c>
      <c r="AE77" s="12">
        <v>48.377741499999999</v>
      </c>
      <c r="AF77" s="12">
        <v>14.114450100000001</v>
      </c>
      <c r="AG77" s="22" t="s">
        <v>107</v>
      </c>
    </row>
    <row r="78" spans="1:33" s="11" customFormat="1" outlineLevel="1" x14ac:dyDescent="0.3">
      <c r="A78" s="11" t="s">
        <v>84</v>
      </c>
      <c r="B78" s="12">
        <v>2.4666936000000002</v>
      </c>
      <c r="C78" s="12">
        <v>100.42</v>
      </c>
      <c r="D78" s="12">
        <v>-0.10279530000000001</v>
      </c>
      <c r="E78" s="17">
        <v>0</v>
      </c>
      <c r="F78" s="13">
        <v>45.523333299999997</v>
      </c>
      <c r="G78" s="12">
        <v>1.8078993999999999</v>
      </c>
      <c r="H78" s="12">
        <v>9.5090391000000007</v>
      </c>
      <c r="I78" s="12">
        <v>0.73983100000000002</v>
      </c>
      <c r="J78" s="12">
        <v>6.3302543</v>
      </c>
      <c r="K78" s="12">
        <v>5.5870099</v>
      </c>
      <c r="L78" s="12">
        <v>-11.883925899999999</v>
      </c>
      <c r="M78" s="12">
        <v>16.960856400000001</v>
      </c>
      <c r="N78" s="12">
        <v>2.7400446999999999</v>
      </c>
      <c r="O78" s="12">
        <v>5.6694637999999999</v>
      </c>
      <c r="P78" s="7">
        <v>328.69400000000002</v>
      </c>
      <c r="Q78" s="7">
        <v>116.812</v>
      </c>
      <c r="R78" s="7">
        <v>26.2</v>
      </c>
      <c r="S78" s="12">
        <v>3.0058650999999998</v>
      </c>
      <c r="T78" s="12">
        <v>7.2119999999999997</v>
      </c>
      <c r="U78" s="12">
        <v>99.666666699999993</v>
      </c>
      <c r="V78" s="12">
        <v>1</v>
      </c>
      <c r="W78" s="7" t="s">
        <v>107</v>
      </c>
      <c r="X78" s="12">
        <v>2.2624952</v>
      </c>
      <c r="Y78" s="12">
        <v>2.9374159</v>
      </c>
      <c r="Z78" s="12">
        <v>-15.9943115</v>
      </c>
      <c r="AA78" s="12">
        <v>88.569886400000001</v>
      </c>
      <c r="AB78" s="12">
        <v>11.3928797</v>
      </c>
      <c r="AC78" s="12">
        <v>35.780539400000002</v>
      </c>
      <c r="AD78" s="12">
        <v>16.195349</v>
      </c>
      <c r="AE78" s="12">
        <v>51.938654499999998</v>
      </c>
      <c r="AF78" s="12">
        <v>15.163438299999999</v>
      </c>
      <c r="AG78" s="22" t="s">
        <v>107</v>
      </c>
    </row>
    <row r="79" spans="1:33" s="11" customFormat="1" outlineLevel="1" x14ac:dyDescent="0.3">
      <c r="A79" s="11" t="s">
        <v>85</v>
      </c>
      <c r="B79" s="12">
        <v>1.6225508</v>
      </c>
      <c r="C79" s="12">
        <v>100.42</v>
      </c>
      <c r="D79" s="12">
        <v>0.26625840000000001</v>
      </c>
      <c r="E79" s="17">
        <v>0</v>
      </c>
      <c r="F79" s="13">
        <v>45.786666699999998</v>
      </c>
      <c r="G79" s="12">
        <v>5.8588778000000001</v>
      </c>
      <c r="H79" s="12">
        <v>16.977703500000001</v>
      </c>
      <c r="I79" s="12">
        <v>3.9964846000000001</v>
      </c>
      <c r="J79" s="12">
        <v>5.5401461000000003</v>
      </c>
      <c r="K79" s="12">
        <v>3.9984304000000002</v>
      </c>
      <c r="L79" s="12">
        <v>-5.7984553999999999</v>
      </c>
      <c r="M79" s="12">
        <v>12.087762400000001</v>
      </c>
      <c r="N79" s="12">
        <v>8.8586940999999992</v>
      </c>
      <c r="O79" s="12">
        <v>7.3961370000000004</v>
      </c>
      <c r="P79" s="7">
        <v>347.185</v>
      </c>
      <c r="Q79" s="7">
        <v>131.60400000000001</v>
      </c>
      <c r="R79" s="7">
        <v>27.5</v>
      </c>
      <c r="S79" s="12">
        <v>1.7505470000000001</v>
      </c>
      <c r="T79" s="12">
        <v>7.49</v>
      </c>
      <c r="U79" s="12">
        <v>99.766666700000002</v>
      </c>
      <c r="V79" s="12">
        <v>1</v>
      </c>
      <c r="W79" s="7" t="s">
        <v>107</v>
      </c>
      <c r="X79" s="12">
        <v>14.547094</v>
      </c>
      <c r="Y79" s="12">
        <v>5.1835519999999997</v>
      </c>
      <c r="Z79" s="12">
        <v>7.5216383000000002</v>
      </c>
      <c r="AA79" s="12">
        <v>66.701478300000005</v>
      </c>
      <c r="AB79" s="12">
        <v>10.2804386</v>
      </c>
      <c r="AC79" s="12">
        <v>32.094354600000003</v>
      </c>
      <c r="AD79" s="12">
        <v>42.655476800000002</v>
      </c>
      <c r="AE79" s="12">
        <v>51.731748199999998</v>
      </c>
      <c r="AF79" s="12">
        <v>17.308850100000001</v>
      </c>
      <c r="AG79" s="22" t="s">
        <v>107</v>
      </c>
    </row>
    <row r="80" spans="1:33" s="11" customFormat="1" outlineLevel="1" x14ac:dyDescent="0.3">
      <c r="A80" s="11" t="s">
        <v>86</v>
      </c>
      <c r="B80" s="12">
        <v>1.866331</v>
      </c>
      <c r="C80" s="12">
        <v>100.89333329999999</v>
      </c>
      <c r="D80" s="12">
        <v>0.7690515</v>
      </c>
      <c r="E80" s="17">
        <v>0</v>
      </c>
      <c r="F80" s="13">
        <v>49.186666700000004</v>
      </c>
      <c r="G80" s="12">
        <v>8.4203928000000001</v>
      </c>
      <c r="H80" s="12">
        <v>-0.2560964</v>
      </c>
      <c r="I80" s="12">
        <v>-10.1663709</v>
      </c>
      <c r="J80" s="12">
        <v>4.7791987999999996</v>
      </c>
      <c r="K80" s="12">
        <v>0.76535889999999995</v>
      </c>
      <c r="L80" s="12">
        <v>-6.4718372999999998</v>
      </c>
      <c r="M80" s="12">
        <v>13.226512100000001</v>
      </c>
      <c r="N80" s="12">
        <v>29.1987585</v>
      </c>
      <c r="O80" s="12">
        <v>5.7826412999999999</v>
      </c>
      <c r="P80" s="7">
        <v>350.48899999999998</v>
      </c>
      <c r="Q80" s="7">
        <v>140.77099999999999</v>
      </c>
      <c r="R80" s="7">
        <v>28.7</v>
      </c>
      <c r="S80" s="12">
        <v>1.2921752</v>
      </c>
      <c r="T80" s="12">
        <v>7.2160000000000002</v>
      </c>
      <c r="U80" s="12">
        <v>101.0666667</v>
      </c>
      <c r="V80" s="12">
        <v>1</v>
      </c>
      <c r="W80" s="7" t="s">
        <v>107</v>
      </c>
      <c r="X80" s="12">
        <v>29.818970700000001</v>
      </c>
      <c r="Y80" s="12">
        <v>5.5006025000000003</v>
      </c>
      <c r="Z80" s="12">
        <v>-14.4924382</v>
      </c>
      <c r="AA80" s="12">
        <v>88.751130200000006</v>
      </c>
      <c r="AB80" s="12">
        <v>13.3380045</v>
      </c>
      <c r="AC80" s="12">
        <v>33.9568108</v>
      </c>
      <c r="AD80" s="12">
        <v>16.108297499999999</v>
      </c>
      <c r="AE80" s="12">
        <v>52.154243100000002</v>
      </c>
      <c r="AF80" s="12">
        <v>16.744868</v>
      </c>
      <c r="AG80" s="22" t="s">
        <v>107</v>
      </c>
    </row>
    <row r="81" spans="1:33" s="11" customFormat="1" outlineLevel="1" x14ac:dyDescent="0.3">
      <c r="A81" s="11" t="s">
        <v>87</v>
      </c>
      <c r="B81" s="12">
        <v>3.0351661999999999</v>
      </c>
      <c r="C81" s="12">
        <v>101</v>
      </c>
      <c r="D81" s="12">
        <v>1.766642</v>
      </c>
      <c r="E81" s="17">
        <v>0</v>
      </c>
      <c r="F81" s="13">
        <v>53.68</v>
      </c>
      <c r="G81" s="12">
        <v>4.7047803999999998</v>
      </c>
      <c r="H81" s="12">
        <v>3.0585841</v>
      </c>
      <c r="I81" s="12">
        <v>-0.71462320000000001</v>
      </c>
      <c r="J81" s="12">
        <v>4.2893587999999996</v>
      </c>
      <c r="K81" s="12">
        <v>7.5244866000000004</v>
      </c>
      <c r="L81" s="12">
        <v>-2.0899722000000001</v>
      </c>
      <c r="M81" s="12">
        <v>-8.5754485000000003</v>
      </c>
      <c r="N81" s="12">
        <v>19.267718599999998</v>
      </c>
      <c r="O81" s="12">
        <v>5.0861596999999996</v>
      </c>
      <c r="P81" s="7">
        <v>348.22699999999998</v>
      </c>
      <c r="Q81" s="7">
        <v>152.91499999999999</v>
      </c>
      <c r="R81" s="7">
        <v>30.5</v>
      </c>
      <c r="S81" s="12">
        <v>0.71633239999999998</v>
      </c>
      <c r="T81" s="12">
        <v>7.0359999999999996</v>
      </c>
      <c r="U81" s="12">
        <v>102.2666667</v>
      </c>
      <c r="V81" s="12">
        <v>1</v>
      </c>
      <c r="W81" s="7" t="s">
        <v>107</v>
      </c>
      <c r="X81" s="12">
        <v>16.792168</v>
      </c>
      <c r="Y81" s="12">
        <v>8.6882631000000003</v>
      </c>
      <c r="Z81" s="12">
        <v>-10.6848239</v>
      </c>
      <c r="AA81" s="12">
        <v>86.923130499999999</v>
      </c>
      <c r="AB81" s="12">
        <v>13.0517339</v>
      </c>
      <c r="AC81" s="12">
        <v>30.5346765</v>
      </c>
      <c r="AD81" s="12">
        <v>19.798143</v>
      </c>
      <c r="AE81" s="12">
        <v>50.307759599999997</v>
      </c>
      <c r="AF81" s="12">
        <v>13.9375263</v>
      </c>
      <c r="AG81" s="22" t="s">
        <v>107</v>
      </c>
    </row>
    <row r="82" spans="1:33" s="11" customFormat="1" outlineLevel="1" x14ac:dyDescent="0.3">
      <c r="A82" s="11" t="s">
        <v>88</v>
      </c>
      <c r="B82" s="12">
        <v>2.3084487</v>
      </c>
      <c r="C82" s="12">
        <v>102.11333329999999</v>
      </c>
      <c r="D82" s="12">
        <v>1.6862509999999999</v>
      </c>
      <c r="E82" s="17">
        <v>0</v>
      </c>
      <c r="F82" s="13">
        <v>49.67</v>
      </c>
      <c r="G82" s="12">
        <v>9.7827874000000001</v>
      </c>
      <c r="H82" s="12">
        <v>5.0396494000000001</v>
      </c>
      <c r="I82" s="12">
        <v>-0.37586069999999999</v>
      </c>
      <c r="J82" s="12">
        <v>5.3916190999999998</v>
      </c>
      <c r="K82" s="12">
        <v>0.57095770000000001</v>
      </c>
      <c r="L82" s="12">
        <v>5.0100711999999996</v>
      </c>
      <c r="M82" s="12">
        <v>2.1815088</v>
      </c>
      <c r="N82" s="12">
        <v>32.266163200000001</v>
      </c>
      <c r="O82" s="12">
        <v>3.2558452</v>
      </c>
      <c r="P82" s="7">
        <v>357.608</v>
      </c>
      <c r="Q82" s="7">
        <v>157.75200000000001</v>
      </c>
      <c r="R82" s="7">
        <v>30.6</v>
      </c>
      <c r="S82" s="12">
        <v>1.5658363</v>
      </c>
      <c r="T82" s="12">
        <v>6.7850000000000001</v>
      </c>
      <c r="U82" s="12">
        <v>101.5666667</v>
      </c>
      <c r="V82" s="12">
        <v>1</v>
      </c>
      <c r="W82" s="7" t="s">
        <v>107</v>
      </c>
      <c r="X82" s="12">
        <v>30.472822499999999</v>
      </c>
      <c r="Y82" s="12">
        <v>6.1935734</v>
      </c>
      <c r="Z82" s="12">
        <v>-13.8935979</v>
      </c>
      <c r="AA82" s="12">
        <v>83.720355299999994</v>
      </c>
      <c r="AB82" s="12">
        <v>11.4684816</v>
      </c>
      <c r="AC82" s="12">
        <v>36.943313199999999</v>
      </c>
      <c r="AD82" s="12">
        <v>19.9549846</v>
      </c>
      <c r="AE82" s="12">
        <v>52.0871347</v>
      </c>
      <c r="AF82" s="12">
        <v>12.4178712</v>
      </c>
      <c r="AG82" s="22" t="s">
        <v>107</v>
      </c>
    </row>
    <row r="83" spans="1:33" s="11" customFormat="1" outlineLevel="1" x14ac:dyDescent="0.3">
      <c r="A83" s="11" t="s">
        <v>89</v>
      </c>
      <c r="B83" s="12">
        <v>3.0333996999999999</v>
      </c>
      <c r="C83" s="12">
        <v>102.1166667</v>
      </c>
      <c r="D83" s="12">
        <v>1.6895705000000001</v>
      </c>
      <c r="E83" s="17">
        <v>0</v>
      </c>
      <c r="F83" s="13">
        <v>52.11</v>
      </c>
      <c r="G83" s="12">
        <v>7.3260138000000001</v>
      </c>
      <c r="H83" s="12">
        <v>3.1713925000000001</v>
      </c>
      <c r="I83" s="12">
        <v>2.9692778</v>
      </c>
      <c r="J83" s="12">
        <v>5.7140433000000002</v>
      </c>
      <c r="K83" s="12">
        <v>1.1258207</v>
      </c>
      <c r="L83" s="12">
        <v>0.91473870000000002</v>
      </c>
      <c r="M83" s="12">
        <v>5.6081133999999997</v>
      </c>
      <c r="N83" s="12">
        <v>15.9626307</v>
      </c>
      <c r="O83" s="12">
        <v>7.2290213999999997</v>
      </c>
      <c r="P83" s="7">
        <v>365.71100000000001</v>
      </c>
      <c r="Q83" s="7">
        <v>157.953</v>
      </c>
      <c r="R83" s="7">
        <v>30.2</v>
      </c>
      <c r="S83" s="12">
        <v>1.7204301</v>
      </c>
      <c r="T83" s="12">
        <v>6.5090000000000003</v>
      </c>
      <c r="U83" s="12">
        <v>101.4666667</v>
      </c>
      <c r="V83" s="12">
        <v>1</v>
      </c>
      <c r="W83" s="7" t="s">
        <v>107</v>
      </c>
      <c r="X83" s="12">
        <v>19.009854900000001</v>
      </c>
      <c r="Y83" s="12">
        <v>10.590376600000001</v>
      </c>
      <c r="Z83" s="12">
        <v>11.8081645</v>
      </c>
      <c r="AA83" s="12">
        <v>61.339179799999997</v>
      </c>
      <c r="AB83" s="12">
        <v>9.9572564000000003</v>
      </c>
      <c r="AC83" s="12">
        <v>34.785988799999998</v>
      </c>
      <c r="AD83" s="12">
        <v>47.900759499999999</v>
      </c>
      <c r="AE83" s="12">
        <v>53.983184399999999</v>
      </c>
      <c r="AF83" s="12">
        <v>12.1888632</v>
      </c>
      <c r="AG83" s="22" t="s">
        <v>107</v>
      </c>
    </row>
    <row r="84" spans="1:33" s="11" customFormat="1" outlineLevel="1" x14ac:dyDescent="0.3">
      <c r="A84" s="11" t="s">
        <v>90</v>
      </c>
      <c r="B84" s="12">
        <v>2.9900169999999999</v>
      </c>
      <c r="C84" s="12">
        <v>102.6233333</v>
      </c>
      <c r="D84" s="12">
        <v>1.7146821999999999</v>
      </c>
      <c r="E84" s="17">
        <v>0</v>
      </c>
      <c r="F84" s="13">
        <v>61.53</v>
      </c>
      <c r="G84" s="12">
        <v>0.46271869999999998</v>
      </c>
      <c r="H84" s="12">
        <v>8.7440435000000001</v>
      </c>
      <c r="I84" s="12">
        <v>-7.6439892</v>
      </c>
      <c r="J84" s="12">
        <v>3.7405428999999999</v>
      </c>
      <c r="K84" s="12">
        <v>3.5520751000000002</v>
      </c>
      <c r="L84" s="12">
        <v>1.8082004</v>
      </c>
      <c r="M84" s="12">
        <v>0.80488539999999997</v>
      </c>
      <c r="N84" s="12">
        <v>19.982888800000001</v>
      </c>
      <c r="O84" s="12">
        <v>6.0308773999999996</v>
      </c>
      <c r="P84" s="7">
        <v>356.96499999999997</v>
      </c>
      <c r="Q84" s="7">
        <v>157.477</v>
      </c>
      <c r="R84" s="7">
        <v>30.6</v>
      </c>
      <c r="S84" s="12">
        <v>1.6300496</v>
      </c>
      <c r="T84" s="12">
        <v>6.8259999999999996</v>
      </c>
      <c r="U84" s="12">
        <v>101.8</v>
      </c>
      <c r="V84" s="12">
        <v>1</v>
      </c>
      <c r="W84" s="7" t="s">
        <v>107</v>
      </c>
      <c r="X84" s="12">
        <v>19.571023100000001</v>
      </c>
      <c r="Y84" s="12">
        <v>10.9827881</v>
      </c>
      <c r="Z84" s="12">
        <v>-11.658694000000001</v>
      </c>
      <c r="AA84" s="12">
        <v>88.013593799999995</v>
      </c>
      <c r="AB84" s="12">
        <v>13.219222200000001</v>
      </c>
      <c r="AC84" s="12">
        <v>35.702394699999999</v>
      </c>
      <c r="AD84" s="12">
        <v>18.4200591</v>
      </c>
      <c r="AE84" s="12">
        <v>55.355269900000003</v>
      </c>
      <c r="AF84" s="12">
        <v>12.7103743</v>
      </c>
      <c r="AG84" s="22" t="s">
        <v>107</v>
      </c>
    </row>
    <row r="85" spans="1:33" s="11" customFormat="1" outlineLevel="1" x14ac:dyDescent="0.3">
      <c r="A85" s="11" t="s">
        <v>91</v>
      </c>
      <c r="B85" s="12">
        <v>2.2828298</v>
      </c>
      <c r="C85" s="12">
        <v>102.5466667</v>
      </c>
      <c r="D85" s="12">
        <v>1.5313532000000001</v>
      </c>
      <c r="E85" s="17">
        <v>0</v>
      </c>
      <c r="F85" s="13">
        <v>66.806666699999994</v>
      </c>
      <c r="G85" s="12">
        <v>16.584666599999998</v>
      </c>
      <c r="H85" s="12">
        <v>3.7481471000000002</v>
      </c>
      <c r="I85" s="12">
        <v>-3.9098310999999999</v>
      </c>
      <c r="J85" s="12">
        <v>4.9454285000000002</v>
      </c>
      <c r="K85" s="12">
        <v>2.4443608000000001</v>
      </c>
      <c r="L85" s="12">
        <v>9.7411712999999995</v>
      </c>
      <c r="M85" s="12">
        <v>4.5793217999999998</v>
      </c>
      <c r="N85" s="12">
        <v>24.9956979</v>
      </c>
      <c r="O85" s="12">
        <v>9.5364366</v>
      </c>
      <c r="P85" s="7">
        <v>342.36799999999999</v>
      </c>
      <c r="Q85" s="7">
        <v>123.464</v>
      </c>
      <c r="R85" s="7">
        <v>26.5</v>
      </c>
      <c r="S85" s="12">
        <v>5.6899004</v>
      </c>
      <c r="T85" s="12">
        <v>6.8120000000000003</v>
      </c>
      <c r="U85" s="12">
        <v>102.2333333</v>
      </c>
      <c r="V85" s="12">
        <v>1</v>
      </c>
      <c r="W85" s="7" t="s">
        <v>107</v>
      </c>
      <c r="X85" s="12">
        <v>25.032887200000001</v>
      </c>
      <c r="Y85" s="12">
        <v>10.836561400000001</v>
      </c>
      <c r="Z85" s="12">
        <v>-7.4696233000000003</v>
      </c>
      <c r="AA85" s="12">
        <v>83.964991800000007</v>
      </c>
      <c r="AB85" s="12">
        <v>13.210262</v>
      </c>
      <c r="AC85" s="12">
        <v>32.169832999999997</v>
      </c>
      <c r="AD85" s="12">
        <v>23.428676299999999</v>
      </c>
      <c r="AE85" s="12">
        <v>52.773691399999997</v>
      </c>
      <c r="AF85" s="12">
        <v>12.7243669</v>
      </c>
      <c r="AG85" s="22" t="s">
        <v>107</v>
      </c>
    </row>
    <row r="86" spans="1:33" s="11" customFormat="1" outlineLevel="1" x14ac:dyDescent="0.3">
      <c r="A86" s="11" t="s">
        <v>92</v>
      </c>
      <c r="B86" s="12">
        <v>2.5023559999999998</v>
      </c>
      <c r="C86" s="12">
        <v>104.0133333</v>
      </c>
      <c r="D86" s="12">
        <v>1.8606777000000001</v>
      </c>
      <c r="E86" s="17">
        <v>0</v>
      </c>
      <c r="F86" s="13">
        <v>74.5</v>
      </c>
      <c r="G86" s="12">
        <v>3.9773361999999999</v>
      </c>
      <c r="H86" s="12">
        <v>6.1912387999999998</v>
      </c>
      <c r="I86" s="12">
        <v>0.16142619999999999</v>
      </c>
      <c r="J86" s="12">
        <v>3.5222973999999998</v>
      </c>
      <c r="K86" s="12">
        <v>4.4268424</v>
      </c>
      <c r="L86" s="12">
        <v>8.8797333999999992</v>
      </c>
      <c r="M86" s="12">
        <v>8.5225498000000002</v>
      </c>
      <c r="N86" s="12">
        <v>13.0615142</v>
      </c>
      <c r="O86" s="12">
        <v>13.3569218</v>
      </c>
      <c r="P86" s="7">
        <v>341.61</v>
      </c>
      <c r="Q86" s="7">
        <v>142.55000000000001</v>
      </c>
      <c r="R86" s="7">
        <v>29.4</v>
      </c>
      <c r="S86" s="12">
        <v>8.1289417999999998</v>
      </c>
      <c r="T86" s="12">
        <v>6.5350000000000001</v>
      </c>
      <c r="U86" s="12">
        <v>102.3</v>
      </c>
      <c r="V86" s="12">
        <v>1</v>
      </c>
      <c r="W86" s="7" t="s">
        <v>107</v>
      </c>
      <c r="X86" s="12">
        <v>12.9746332</v>
      </c>
      <c r="Y86" s="12">
        <v>14.645317500000001</v>
      </c>
      <c r="Z86" s="12">
        <v>-14.142432899999999</v>
      </c>
      <c r="AA86" s="12">
        <v>84.535814000000002</v>
      </c>
      <c r="AB86" s="12">
        <v>11.776496</v>
      </c>
      <c r="AC86" s="12">
        <v>39.083155099999999</v>
      </c>
      <c r="AD86" s="12">
        <v>21.467065699999999</v>
      </c>
      <c r="AE86" s="12">
        <v>56.862588899999999</v>
      </c>
      <c r="AF86" s="12">
        <v>11.9929866</v>
      </c>
      <c r="AG86" s="22" t="s">
        <v>107</v>
      </c>
    </row>
    <row r="87" spans="1:33" s="11" customFormat="1" outlineLevel="1" x14ac:dyDescent="0.3">
      <c r="A87" s="11" t="s">
        <v>93</v>
      </c>
      <c r="B87" s="12">
        <v>1.7229988000000001</v>
      </c>
      <c r="C87" s="12">
        <v>104.3666667</v>
      </c>
      <c r="D87" s="12">
        <v>2.2033621999999999</v>
      </c>
      <c r="E87" s="17">
        <v>0</v>
      </c>
      <c r="F87" s="13">
        <v>75.223333299999993</v>
      </c>
      <c r="G87" s="12">
        <v>10.7023245</v>
      </c>
      <c r="H87" s="12">
        <v>4.7832239999999997</v>
      </c>
      <c r="I87" s="12">
        <v>1.6385544000000001</v>
      </c>
      <c r="J87" s="12">
        <v>2.089995</v>
      </c>
      <c r="K87" s="12">
        <v>11.219755599999999</v>
      </c>
      <c r="L87" s="12">
        <v>2.5098372000000002</v>
      </c>
      <c r="M87" s="12">
        <v>10.756914</v>
      </c>
      <c r="N87" s="12">
        <v>-1.5053920000000001</v>
      </c>
      <c r="O87" s="12">
        <v>14.935916000000001</v>
      </c>
      <c r="P87" s="7">
        <v>347.55</v>
      </c>
      <c r="Q87" s="7">
        <v>154.18</v>
      </c>
      <c r="R87" s="7">
        <v>30.7</v>
      </c>
      <c r="S87" s="12">
        <v>6.6243834000000001</v>
      </c>
      <c r="T87" s="12">
        <v>6.9870000000000001</v>
      </c>
      <c r="U87" s="12">
        <v>102.8666667</v>
      </c>
      <c r="V87" s="12">
        <v>1</v>
      </c>
      <c r="W87" s="7" t="s">
        <v>107</v>
      </c>
      <c r="X87" s="12">
        <v>2.7839958</v>
      </c>
      <c r="Y87" s="12">
        <v>17.294819199999999</v>
      </c>
      <c r="Z87" s="12">
        <v>4.0085142999999999</v>
      </c>
      <c r="AA87" s="12">
        <v>66.602442600000003</v>
      </c>
      <c r="AB87" s="12">
        <v>10.284819499999999</v>
      </c>
      <c r="AC87" s="12">
        <v>36.669077600000001</v>
      </c>
      <c r="AD87" s="12">
        <v>47.385795199999997</v>
      </c>
      <c r="AE87" s="12">
        <v>60.942134899999999</v>
      </c>
      <c r="AF87" s="12">
        <v>11.264867300000001</v>
      </c>
      <c r="AG87" s="22" t="s">
        <v>107</v>
      </c>
    </row>
    <row r="88" spans="1:33" s="11" customFormat="1" outlineLevel="1" x14ac:dyDescent="0.3">
      <c r="A88" s="11" t="s">
        <v>94</v>
      </c>
      <c r="B88" s="12">
        <v>1.7730376000000001</v>
      </c>
      <c r="C88" s="12">
        <v>104.64</v>
      </c>
      <c r="D88" s="12">
        <v>1.9651152000000001</v>
      </c>
      <c r="E88" s="17">
        <v>0</v>
      </c>
      <c r="F88" s="13">
        <v>67.713333300000002</v>
      </c>
      <c r="G88" s="12">
        <v>10.4959159</v>
      </c>
      <c r="H88" s="12">
        <v>3.0806743999999999</v>
      </c>
      <c r="I88" s="12">
        <v>-9.9678626000000001</v>
      </c>
      <c r="J88" s="12">
        <v>3.4765450000000002</v>
      </c>
      <c r="K88" s="12">
        <v>0.61851849999999997</v>
      </c>
      <c r="L88" s="12">
        <v>6.8189229999999998</v>
      </c>
      <c r="M88" s="12">
        <v>3.1364877999999998</v>
      </c>
      <c r="N88" s="12">
        <v>20.810945499999999</v>
      </c>
      <c r="O88" s="12">
        <v>5.2794135999999998</v>
      </c>
      <c r="P88" s="7">
        <v>348.995</v>
      </c>
      <c r="Q88" s="7">
        <v>159.69399999999999</v>
      </c>
      <c r="R88" s="7">
        <v>31.4</v>
      </c>
      <c r="S88" s="12">
        <v>9.2747559000000006</v>
      </c>
      <c r="T88" s="12">
        <v>5.9909999999999997</v>
      </c>
      <c r="U88" s="12">
        <v>104</v>
      </c>
      <c r="V88" s="12">
        <v>1</v>
      </c>
      <c r="W88" s="7" t="s">
        <v>107</v>
      </c>
      <c r="X88" s="12">
        <v>23.2831689</v>
      </c>
      <c r="Y88" s="12">
        <v>9.2966900999999993</v>
      </c>
      <c r="Z88" s="12">
        <v>-13.729882</v>
      </c>
      <c r="AA88" s="12">
        <v>85.894383199999993</v>
      </c>
      <c r="AB88" s="12">
        <v>13.4837129</v>
      </c>
      <c r="AC88" s="12">
        <v>36.451533400000002</v>
      </c>
      <c r="AD88" s="12">
        <v>21.5291678</v>
      </c>
      <c r="AE88" s="12">
        <v>57.358738899999999</v>
      </c>
      <c r="AF88" s="12">
        <v>11.232449300000001</v>
      </c>
      <c r="AG88" s="22" t="s">
        <v>107</v>
      </c>
    </row>
    <row r="89" spans="1:33" s="11" customFormat="1" outlineLevel="1" x14ac:dyDescent="0.3">
      <c r="A89" s="11" t="s">
        <v>95</v>
      </c>
      <c r="B89" s="12">
        <v>1.9308453999999999</v>
      </c>
      <c r="C89" s="12">
        <v>104.17</v>
      </c>
      <c r="D89" s="12">
        <v>1.5830191</v>
      </c>
      <c r="E89" s="17">
        <v>0</v>
      </c>
      <c r="F89" s="13">
        <v>63.17</v>
      </c>
      <c r="G89" s="12">
        <v>-4.0578028000000002</v>
      </c>
      <c r="H89" s="12">
        <v>10.363574399999999</v>
      </c>
      <c r="I89" s="12">
        <v>-0.10705290000000001</v>
      </c>
      <c r="J89" s="12">
        <v>4.5495030999999999</v>
      </c>
      <c r="K89" s="12">
        <v>5.1853546000000001</v>
      </c>
      <c r="L89" s="12">
        <v>8.2578908999999996</v>
      </c>
      <c r="M89" s="12">
        <v>-0.83105209999999996</v>
      </c>
      <c r="N89" s="12">
        <v>12.6042556</v>
      </c>
      <c r="O89" s="12">
        <v>6.7854466000000002</v>
      </c>
      <c r="P89" s="7">
        <v>341.01400000000001</v>
      </c>
      <c r="Q89" s="7">
        <v>125.717</v>
      </c>
      <c r="R89" s="7">
        <v>26.9</v>
      </c>
      <c r="S89" s="12">
        <v>3.3647376000000002</v>
      </c>
      <c r="T89" s="12">
        <v>6.7060000000000004</v>
      </c>
      <c r="U89" s="12">
        <v>105.5</v>
      </c>
      <c r="V89" s="12">
        <v>1</v>
      </c>
      <c r="W89" s="7" t="s">
        <v>107</v>
      </c>
      <c r="X89" s="12">
        <v>10.1874535</v>
      </c>
      <c r="Y89" s="12">
        <v>6.4184257999999996</v>
      </c>
      <c r="Z89" s="12">
        <v>-5.5440225999999999</v>
      </c>
      <c r="AA89" s="12">
        <v>84.007128699999996</v>
      </c>
      <c r="AB89" s="12">
        <v>13.7657238</v>
      </c>
      <c r="AC89" s="12">
        <v>30.957003799999999</v>
      </c>
      <c r="AD89" s="12">
        <v>24.4410253</v>
      </c>
      <c r="AE89" s="12">
        <v>53.170881600000001</v>
      </c>
      <c r="AF89" s="12">
        <v>10.677282099999999</v>
      </c>
      <c r="AG89" s="22" t="s">
        <v>107</v>
      </c>
    </row>
    <row r="90" spans="1:33" s="11" customFormat="1" outlineLevel="1" x14ac:dyDescent="0.3">
      <c r="A90" s="11" t="s">
        <v>96</v>
      </c>
      <c r="B90" s="12">
        <v>1.5959346999999999</v>
      </c>
      <c r="C90" s="12">
        <v>105.7566667</v>
      </c>
      <c r="D90" s="12">
        <v>1.6760672000000001</v>
      </c>
      <c r="E90" s="17">
        <v>0</v>
      </c>
      <c r="F90" s="13">
        <v>68.923333299999996</v>
      </c>
      <c r="G90" s="12">
        <v>9.7192190000000007</v>
      </c>
      <c r="H90" s="12">
        <v>5.6081367999999996</v>
      </c>
      <c r="I90" s="12">
        <v>-0.82795640000000004</v>
      </c>
      <c r="J90" s="12">
        <v>3.9525871000000001</v>
      </c>
      <c r="K90" s="12">
        <v>3.8314967000000002</v>
      </c>
      <c r="L90" s="12">
        <v>7.0368725000000003</v>
      </c>
      <c r="M90" s="12">
        <v>-6.2537927</v>
      </c>
      <c r="N90" s="12">
        <v>13.055110300000001</v>
      </c>
      <c r="O90" s="12">
        <v>0.83254790000000001</v>
      </c>
      <c r="P90" s="7">
        <v>357.34</v>
      </c>
      <c r="Q90" s="7">
        <v>121.312</v>
      </c>
      <c r="R90" s="7">
        <v>25.3</v>
      </c>
      <c r="S90" s="12">
        <v>1.8794556</v>
      </c>
      <c r="T90" s="12">
        <v>6.3369999999999997</v>
      </c>
      <c r="U90" s="12">
        <v>105.6333333</v>
      </c>
      <c r="V90" s="12">
        <v>1</v>
      </c>
      <c r="W90" s="7" t="s">
        <v>107</v>
      </c>
      <c r="X90" s="12">
        <v>10.707129200000001</v>
      </c>
      <c r="Y90" s="12">
        <v>1.6076433999999999</v>
      </c>
      <c r="Z90" s="12">
        <v>-11.2375013</v>
      </c>
      <c r="AA90" s="12">
        <v>84.755108500000006</v>
      </c>
      <c r="AB90" s="12">
        <v>11.785273699999999</v>
      </c>
      <c r="AC90" s="12">
        <v>35.6412853</v>
      </c>
      <c r="AD90" s="12">
        <v>22.4871582</v>
      </c>
      <c r="AE90" s="12">
        <v>54.668770700000003</v>
      </c>
      <c r="AF90" s="12">
        <v>10.3538253</v>
      </c>
      <c r="AG90" s="22" t="s">
        <v>107</v>
      </c>
    </row>
    <row r="91" spans="1:33" s="11" customFormat="1" outlineLevel="1" x14ac:dyDescent="0.3">
      <c r="A91" s="11" t="s">
        <v>97</v>
      </c>
      <c r="B91" s="12">
        <v>2.3612953000000001</v>
      </c>
      <c r="C91" s="12">
        <v>105.74</v>
      </c>
      <c r="D91" s="12">
        <v>1.3158734999999999</v>
      </c>
      <c r="E91" s="17">
        <v>0</v>
      </c>
      <c r="F91" s="13">
        <v>61.93</v>
      </c>
      <c r="G91" s="12">
        <v>5.8968768999999996</v>
      </c>
      <c r="H91" s="12">
        <v>5.6782601000000001</v>
      </c>
      <c r="I91" s="12">
        <v>1.5810301</v>
      </c>
      <c r="J91" s="12">
        <v>5.3398567000000003</v>
      </c>
      <c r="K91" s="12">
        <v>5.6152296000000002</v>
      </c>
      <c r="L91" s="12">
        <v>13.378386900000001</v>
      </c>
      <c r="M91" s="12">
        <v>-2.5438689000000001</v>
      </c>
      <c r="N91" s="12">
        <v>6.9711094999999998</v>
      </c>
      <c r="O91" s="12">
        <v>3.5220535000000002</v>
      </c>
      <c r="P91" s="7">
        <v>382.03500000000003</v>
      </c>
      <c r="Q91" s="7">
        <v>123.901</v>
      </c>
      <c r="R91" s="7">
        <v>24.5</v>
      </c>
      <c r="S91" s="12">
        <v>1.5201586</v>
      </c>
      <c r="T91" s="12">
        <v>6.5449999999999999</v>
      </c>
      <c r="U91" s="12">
        <v>105.5</v>
      </c>
      <c r="V91" s="12">
        <v>1</v>
      </c>
      <c r="W91" s="7" t="s">
        <v>107</v>
      </c>
      <c r="X91" s="12">
        <v>7.6202319000000003</v>
      </c>
      <c r="Y91" s="12">
        <v>3.0791146999999999</v>
      </c>
      <c r="Z91" s="12">
        <v>7.7744897999999996</v>
      </c>
      <c r="AA91" s="12">
        <v>65.880774799999998</v>
      </c>
      <c r="AB91" s="12">
        <v>10.80809</v>
      </c>
      <c r="AC91" s="12">
        <v>34.462177500000003</v>
      </c>
      <c r="AD91" s="12">
        <v>48.102528499999998</v>
      </c>
      <c r="AE91" s="12">
        <v>59.253519599999997</v>
      </c>
      <c r="AF91" s="12">
        <v>10.7821976</v>
      </c>
      <c r="AG91" s="22" t="s">
        <v>107</v>
      </c>
    </row>
    <row r="92" spans="1:33" s="11" customFormat="1" outlineLevel="1" x14ac:dyDescent="0.3">
      <c r="A92" s="11" t="s">
        <v>98</v>
      </c>
      <c r="B92" s="12">
        <v>1.3592039</v>
      </c>
      <c r="C92" s="12">
        <v>106.0066667</v>
      </c>
      <c r="D92" s="12">
        <v>1.3060653</v>
      </c>
      <c r="E92" s="17">
        <v>0</v>
      </c>
      <c r="F92" s="13">
        <v>63.41</v>
      </c>
      <c r="G92" s="12">
        <v>14.2640645</v>
      </c>
      <c r="H92" s="12">
        <v>9.0223823999999997</v>
      </c>
      <c r="I92" s="12">
        <v>-12.127761100000001</v>
      </c>
      <c r="J92" s="12">
        <v>5.1061399999999999</v>
      </c>
      <c r="K92" s="12">
        <v>7.7919738000000001</v>
      </c>
      <c r="L92" s="12">
        <v>11.5131123</v>
      </c>
      <c r="M92" s="12">
        <v>3.9235285000000002</v>
      </c>
      <c r="N92" s="12">
        <v>-1.0552779999999999</v>
      </c>
      <c r="O92" s="12">
        <v>7.5702065999999997</v>
      </c>
      <c r="P92" s="7">
        <v>372.33300000000003</v>
      </c>
      <c r="Q92" s="7">
        <v>130.28899999999999</v>
      </c>
      <c r="R92" s="7">
        <v>25.9</v>
      </c>
      <c r="S92" s="12">
        <v>0.89342690000000002</v>
      </c>
      <c r="T92" s="12">
        <v>6.4219999999999997</v>
      </c>
      <c r="U92" s="12">
        <v>105.7333333</v>
      </c>
      <c r="V92" s="12">
        <v>1</v>
      </c>
      <c r="W92" s="7" t="s">
        <v>107</v>
      </c>
      <c r="X92" s="12">
        <v>-2.5385184999999999</v>
      </c>
      <c r="Y92" s="12">
        <v>6.5920430000000003</v>
      </c>
      <c r="Z92" s="12">
        <v>-14.6580794</v>
      </c>
      <c r="AA92" s="12">
        <v>87.531213300000005</v>
      </c>
      <c r="AB92" s="12">
        <v>13.9566926</v>
      </c>
      <c r="AC92" s="12">
        <v>36.506589599999998</v>
      </c>
      <c r="AD92" s="12">
        <v>19.852684499999999</v>
      </c>
      <c r="AE92" s="12">
        <v>57.8471799</v>
      </c>
      <c r="AF92" s="12">
        <v>10.398717700000001</v>
      </c>
      <c r="AG92" s="22" t="s">
        <v>107</v>
      </c>
    </row>
    <row r="93" spans="1:33" s="11" customFormat="1" outlineLevel="1" x14ac:dyDescent="0.3">
      <c r="A93" s="11" t="s">
        <v>99</v>
      </c>
      <c r="B93" s="12">
        <v>-2.2061226999999999</v>
      </c>
      <c r="C93" s="12">
        <v>105.74666670000001</v>
      </c>
      <c r="D93" s="12">
        <v>1.5135516</v>
      </c>
      <c r="E93" s="17">
        <v>0</v>
      </c>
      <c r="F93" s="13">
        <v>50.44</v>
      </c>
      <c r="G93" s="12">
        <v>-1.8670987000000001</v>
      </c>
      <c r="H93" s="12">
        <v>2.2429777</v>
      </c>
      <c r="I93" s="12">
        <v>0.9631632</v>
      </c>
      <c r="J93" s="12">
        <v>0.25779530000000001</v>
      </c>
      <c r="K93" s="12">
        <v>4.3517830999999996</v>
      </c>
      <c r="L93" s="12">
        <v>-4.0007491000000002</v>
      </c>
      <c r="M93" s="12">
        <v>-3.3844818999999999</v>
      </c>
      <c r="N93" s="12">
        <v>6.2192245000000002</v>
      </c>
      <c r="O93" s="12">
        <v>6.2432457000000001</v>
      </c>
      <c r="P93" s="7">
        <v>354.67200000000003</v>
      </c>
      <c r="Q93" s="7">
        <v>117.997</v>
      </c>
      <c r="R93" s="7">
        <v>25</v>
      </c>
      <c r="S93" s="12">
        <v>0.5859375</v>
      </c>
      <c r="T93" s="12">
        <v>6.28</v>
      </c>
      <c r="U93" s="12">
        <v>106.6333333</v>
      </c>
      <c r="V93" s="12">
        <v>1</v>
      </c>
      <c r="W93" s="7" t="s">
        <v>107</v>
      </c>
      <c r="X93" s="12">
        <v>5.7692841000000001</v>
      </c>
      <c r="Y93" s="12">
        <v>4.4699907999999997</v>
      </c>
      <c r="Z93" s="12">
        <v>-4.7822880999999997</v>
      </c>
      <c r="AA93" s="12">
        <v>86.098684700000007</v>
      </c>
      <c r="AB93" s="12">
        <v>13.524892899999999</v>
      </c>
      <c r="AC93" s="12">
        <v>29.6929579</v>
      </c>
      <c r="AD93" s="12">
        <v>25.3577549</v>
      </c>
      <c r="AE93" s="12">
        <v>54.674290399999997</v>
      </c>
      <c r="AF93" s="12">
        <v>10.7311786</v>
      </c>
      <c r="AG93" s="22" t="s">
        <v>107</v>
      </c>
    </row>
    <row r="94" spans="1:33" s="11" customFormat="1" outlineLevel="1" x14ac:dyDescent="0.3">
      <c r="A94" s="11" t="s">
        <v>100</v>
      </c>
      <c r="B94" s="12">
        <v>-13.380244299999999</v>
      </c>
      <c r="C94" s="12">
        <v>106.50333329999999</v>
      </c>
      <c r="D94" s="12">
        <v>0.70602319999999996</v>
      </c>
      <c r="E94" s="17">
        <v>0</v>
      </c>
      <c r="F94" s="13">
        <v>29.343333300000001</v>
      </c>
      <c r="G94" s="12">
        <v>5.8573170000000001</v>
      </c>
      <c r="H94" s="12">
        <v>-21.910822799999998</v>
      </c>
      <c r="I94" s="12">
        <v>-9.0976032999999994</v>
      </c>
      <c r="J94" s="12">
        <v>-12.725050599999999</v>
      </c>
      <c r="K94" s="12">
        <v>-7.8522315999999996</v>
      </c>
      <c r="L94" s="12">
        <v>9.1806017999999998</v>
      </c>
      <c r="M94" s="12">
        <v>-23.034733500000002</v>
      </c>
      <c r="N94" s="12">
        <v>-43.613714000000002</v>
      </c>
      <c r="O94" s="12">
        <v>-19.8750815</v>
      </c>
      <c r="P94" s="7">
        <v>294.64100000000002</v>
      </c>
      <c r="Q94" s="7">
        <v>110.242</v>
      </c>
      <c r="R94" s="7">
        <v>27.2</v>
      </c>
      <c r="S94" s="12">
        <v>9.4147583000000008</v>
      </c>
      <c r="T94" s="12">
        <v>6.26</v>
      </c>
      <c r="U94" s="12">
        <v>105.83333330000001</v>
      </c>
      <c r="V94" s="12">
        <v>1</v>
      </c>
      <c r="W94" s="7" t="s">
        <v>107</v>
      </c>
      <c r="X94" s="12">
        <v>-43.951256899999997</v>
      </c>
      <c r="Y94" s="12">
        <v>-21.516850300000002</v>
      </c>
      <c r="Z94" s="12">
        <v>-9.1626461999999993</v>
      </c>
      <c r="AA94" s="12">
        <v>87.939337600000002</v>
      </c>
      <c r="AB94" s="12">
        <v>15.1633411</v>
      </c>
      <c r="AC94" s="12">
        <v>31.417797499999999</v>
      </c>
      <c r="AD94" s="12">
        <v>14.394367000000001</v>
      </c>
      <c r="AE94" s="12">
        <v>48.914843300000001</v>
      </c>
      <c r="AF94" s="12">
        <v>6.7625083000000004</v>
      </c>
      <c r="AG94" s="22" t="s">
        <v>107</v>
      </c>
    </row>
    <row r="95" spans="1:33" s="11" customFormat="1" outlineLevel="1" x14ac:dyDescent="0.3">
      <c r="A95" s="11" t="s">
        <v>101</v>
      </c>
      <c r="B95" s="12">
        <v>-3.6984297000000002</v>
      </c>
      <c r="C95" s="12">
        <v>106.27</v>
      </c>
      <c r="D95" s="12">
        <v>0.50122940000000005</v>
      </c>
      <c r="E95" s="17">
        <v>0</v>
      </c>
      <c r="F95" s="13">
        <v>42.963333300000002</v>
      </c>
      <c r="G95" s="12">
        <v>11.0661004</v>
      </c>
      <c r="H95" s="12">
        <v>-13.4969839</v>
      </c>
      <c r="I95" s="12">
        <v>-5.1713703999999998</v>
      </c>
      <c r="J95" s="12">
        <v>-7.7345188</v>
      </c>
      <c r="K95" s="12">
        <v>15.5346066</v>
      </c>
      <c r="L95" s="12">
        <v>2.3117610000000002</v>
      </c>
      <c r="M95" s="12">
        <v>-1.8119525999999999</v>
      </c>
      <c r="N95" s="12">
        <v>-52.112018200000001</v>
      </c>
      <c r="O95" s="12">
        <v>-12.611724000000001</v>
      </c>
      <c r="P95" s="7">
        <v>368.07600000000002</v>
      </c>
      <c r="Q95" s="7">
        <v>120.348</v>
      </c>
      <c r="R95" s="7">
        <v>24.6</v>
      </c>
      <c r="S95" s="12">
        <v>7.8125</v>
      </c>
      <c r="T95" s="12">
        <v>6.35</v>
      </c>
      <c r="U95" s="12">
        <v>105.1333333</v>
      </c>
      <c r="V95" s="12">
        <v>1</v>
      </c>
      <c r="W95" s="7" t="s">
        <v>107</v>
      </c>
      <c r="X95" s="12">
        <v>-51.629936899999997</v>
      </c>
      <c r="Y95" s="12">
        <v>-15.0612733</v>
      </c>
      <c r="Z95" s="12">
        <v>-5.3381501</v>
      </c>
      <c r="AA95" s="12">
        <v>80.659224199999997</v>
      </c>
      <c r="AB95" s="12">
        <v>12.5681785</v>
      </c>
      <c r="AC95" s="12">
        <v>35.5839961</v>
      </c>
      <c r="AD95" s="12">
        <v>24.793256400000001</v>
      </c>
      <c r="AE95" s="12">
        <v>53.604709700000001</v>
      </c>
      <c r="AF95" s="12">
        <v>7.5802560999999997</v>
      </c>
      <c r="AG95" s="22" t="s">
        <v>107</v>
      </c>
    </row>
    <row r="96" spans="1:33" s="11" customFormat="1" outlineLevel="1" x14ac:dyDescent="0.3">
      <c r="A96" s="11" t="s">
        <v>102</v>
      </c>
      <c r="B96" s="12">
        <v>-3.2236577</v>
      </c>
      <c r="C96" s="12">
        <v>106.2833333</v>
      </c>
      <c r="D96" s="12">
        <v>0.26098979999999999</v>
      </c>
      <c r="E96" s="17">
        <v>0</v>
      </c>
      <c r="F96" s="13">
        <v>44.29</v>
      </c>
      <c r="G96" s="12">
        <v>9.0498694000000004</v>
      </c>
      <c r="H96" s="12">
        <v>-0.35592570000000001</v>
      </c>
      <c r="I96" s="12">
        <v>-15.5620145</v>
      </c>
      <c r="J96" s="12">
        <v>0.10264470000000001</v>
      </c>
      <c r="K96" s="12">
        <v>0.48314000000000001</v>
      </c>
      <c r="L96" s="12">
        <v>0.81224220000000003</v>
      </c>
      <c r="M96" s="12">
        <v>0.4217513</v>
      </c>
      <c r="N96" s="12">
        <v>12.2328925</v>
      </c>
      <c r="O96" s="12">
        <v>5.2139797999999997</v>
      </c>
      <c r="P96" s="7">
        <v>370.89699999999999</v>
      </c>
      <c r="Q96" s="7">
        <v>136.929</v>
      </c>
      <c r="R96" s="7">
        <v>27</v>
      </c>
      <c r="S96" s="12">
        <v>8.0961417000000004</v>
      </c>
      <c r="T96" s="12">
        <v>6.0049999999999999</v>
      </c>
      <c r="U96" s="12">
        <v>105.6</v>
      </c>
      <c r="V96" s="12">
        <v>1</v>
      </c>
      <c r="W96" s="7" t="s">
        <v>107</v>
      </c>
      <c r="X96" s="12">
        <v>12.7440804</v>
      </c>
      <c r="Y96" s="12">
        <v>2.1196476</v>
      </c>
      <c r="Z96" s="12">
        <v>-8.4837419999999995</v>
      </c>
      <c r="AA96" s="12">
        <v>85.510547900000006</v>
      </c>
      <c r="AB96" s="12">
        <v>14.484738800000001</v>
      </c>
      <c r="AC96" s="12">
        <v>35.971362900000003</v>
      </c>
      <c r="AD96" s="12">
        <v>21.951773200000002</v>
      </c>
      <c r="AE96" s="12">
        <v>57.918422800000002</v>
      </c>
      <c r="AF96" s="12">
        <v>7.0689655</v>
      </c>
      <c r="AG96" s="22" t="s">
        <v>107</v>
      </c>
    </row>
    <row r="97" spans="1:33" s="11" customFormat="1" outlineLevel="1" x14ac:dyDescent="0.3">
      <c r="A97" s="11" t="s">
        <v>103</v>
      </c>
      <c r="B97" s="12">
        <v>-0.1765746</v>
      </c>
      <c r="C97" s="12">
        <v>107.21</v>
      </c>
      <c r="D97" s="12">
        <v>1.3838102999999999</v>
      </c>
      <c r="E97" s="17">
        <v>0</v>
      </c>
      <c r="F97" s="13">
        <v>60.82</v>
      </c>
      <c r="G97" s="12">
        <v>29.570055400000001</v>
      </c>
      <c r="H97" s="12">
        <v>14.5116183</v>
      </c>
      <c r="I97" s="12">
        <v>-2.5259838000000001</v>
      </c>
      <c r="J97" s="12">
        <v>4.8743233000000004</v>
      </c>
      <c r="K97" s="12">
        <v>6.9446814999999997</v>
      </c>
      <c r="L97" s="12">
        <v>21.380035800000002</v>
      </c>
      <c r="M97" s="12">
        <v>13.2507383</v>
      </c>
      <c r="N97" s="12">
        <v>8.9517211999999997</v>
      </c>
      <c r="O97" s="12">
        <v>18.657778499999999</v>
      </c>
      <c r="P97" s="7">
        <v>359.16699999999997</v>
      </c>
      <c r="Q97" s="7">
        <v>124.657</v>
      </c>
      <c r="R97" s="7">
        <v>25.8</v>
      </c>
      <c r="S97" s="12">
        <v>9.7734628000000008</v>
      </c>
      <c r="T97" s="12">
        <v>6.1239999999999997</v>
      </c>
      <c r="U97" s="12">
        <v>107.2666667</v>
      </c>
      <c r="V97" s="12">
        <v>1</v>
      </c>
      <c r="W97" s="12">
        <v>0.19785510000000001</v>
      </c>
      <c r="X97" s="12">
        <v>9.3443204000000009</v>
      </c>
      <c r="Y97" s="12">
        <v>20.807065000000001</v>
      </c>
      <c r="Z97" s="12">
        <v>-9.7720990000000008</v>
      </c>
      <c r="AA97" s="12">
        <v>87.322000299999999</v>
      </c>
      <c r="AB97" s="12">
        <v>15.0321704</v>
      </c>
      <c r="AC97" s="12">
        <v>32.800454899999998</v>
      </c>
      <c r="AD97" s="12">
        <v>25.585411000000001</v>
      </c>
      <c r="AE97" s="12">
        <v>60.740036600000003</v>
      </c>
      <c r="AF97" s="12">
        <v>8.3741211999999994</v>
      </c>
      <c r="AG97" s="22" t="s">
        <v>107</v>
      </c>
    </row>
    <row r="98" spans="1:33" s="11" customFormat="1" outlineLevel="1" x14ac:dyDescent="0.3">
      <c r="A98" s="11" t="s">
        <v>104</v>
      </c>
      <c r="B98" s="12">
        <v>14.630134099999999</v>
      </c>
      <c r="C98" s="12">
        <v>108.82</v>
      </c>
      <c r="D98" s="12">
        <v>2.1752058000000001</v>
      </c>
      <c r="E98" s="17">
        <v>0</v>
      </c>
      <c r="F98" s="13">
        <v>68.833333300000007</v>
      </c>
      <c r="G98" s="12">
        <v>-4.1294468999999996</v>
      </c>
      <c r="H98" s="12">
        <v>45.312530099999996</v>
      </c>
      <c r="I98" s="12">
        <v>2.1011479999999998</v>
      </c>
      <c r="J98" s="12">
        <v>16.318307600000001</v>
      </c>
      <c r="K98" s="12">
        <v>10.3409662</v>
      </c>
      <c r="L98" s="12">
        <v>8.1570522000000008</v>
      </c>
      <c r="M98" s="12">
        <v>34.544743099999998</v>
      </c>
      <c r="N98" s="12">
        <v>120.6872511</v>
      </c>
      <c r="O98" s="12">
        <v>45.462227400000003</v>
      </c>
      <c r="P98" s="7">
        <v>369.197</v>
      </c>
      <c r="Q98" s="7">
        <v>95.135999999999996</v>
      </c>
      <c r="R98" s="7">
        <v>20.5</v>
      </c>
      <c r="S98" s="12">
        <v>-5.2906976999999999</v>
      </c>
      <c r="T98" s="12">
        <v>5.9989999999999997</v>
      </c>
      <c r="U98" s="12">
        <v>108</v>
      </c>
      <c r="V98" s="12">
        <v>1</v>
      </c>
      <c r="W98" s="12">
        <v>0.41221550000000001</v>
      </c>
      <c r="X98" s="12">
        <v>119.45031160000001</v>
      </c>
      <c r="Y98" s="12">
        <v>61.470952500000003</v>
      </c>
      <c r="Z98" s="12">
        <v>-16.031977300000001</v>
      </c>
      <c r="AA98" s="12">
        <v>86.5086668</v>
      </c>
      <c r="AB98" s="12">
        <v>13.1211655</v>
      </c>
      <c r="AC98" s="12">
        <v>39.667399600000003</v>
      </c>
      <c r="AD98" s="12">
        <v>26.114631500000002</v>
      </c>
      <c r="AE98" s="12">
        <v>65.411915399999998</v>
      </c>
      <c r="AF98" s="12">
        <v>14.7678951</v>
      </c>
      <c r="AG98" s="22" t="s">
        <v>107</v>
      </c>
    </row>
    <row r="99" spans="1:33" s="11" customFormat="1" outlineLevel="1" x14ac:dyDescent="0.3">
      <c r="A99" s="11" t="s">
        <v>105</v>
      </c>
      <c r="B99" s="12">
        <v>4.8925850000000004</v>
      </c>
      <c r="C99" s="12">
        <v>109.55666669999999</v>
      </c>
      <c r="D99" s="12">
        <v>3.0927511999999999</v>
      </c>
      <c r="E99" s="17">
        <v>0</v>
      </c>
      <c r="F99" s="13">
        <v>73.47</v>
      </c>
      <c r="G99" s="12">
        <v>-8.0536277999999992</v>
      </c>
      <c r="H99" s="12">
        <v>38.213180199999996</v>
      </c>
      <c r="I99" s="12">
        <v>5.5164187</v>
      </c>
      <c r="J99" s="12">
        <v>14.0825535</v>
      </c>
      <c r="K99" s="12">
        <v>2.7251970000000001</v>
      </c>
      <c r="L99" s="12">
        <v>4.4950546999999998</v>
      </c>
      <c r="M99" s="12">
        <v>0.34657850000000001</v>
      </c>
      <c r="N99" s="12">
        <v>145.20447630000001</v>
      </c>
      <c r="O99" s="12">
        <v>46.273471999999998</v>
      </c>
      <c r="P99" s="7">
        <v>414.70499999999998</v>
      </c>
      <c r="Q99" s="7">
        <v>89.171000000000006</v>
      </c>
      <c r="R99" s="7">
        <v>17.7</v>
      </c>
      <c r="S99" s="12">
        <v>-5.6763285000000003</v>
      </c>
      <c r="T99" s="12">
        <v>5.8890000000000002</v>
      </c>
      <c r="U99" s="12">
        <v>109.7</v>
      </c>
      <c r="V99" s="12">
        <v>1</v>
      </c>
      <c r="W99" s="12">
        <v>0.39747349999999998</v>
      </c>
      <c r="X99" s="12">
        <v>156.68137490000001</v>
      </c>
      <c r="Y99" s="12">
        <v>51.5261493</v>
      </c>
      <c r="Z99" s="12">
        <v>6.4517198000000002</v>
      </c>
      <c r="AA99" s="12">
        <v>70.660417899999999</v>
      </c>
      <c r="AB99" s="12">
        <v>10.465076699999999</v>
      </c>
      <c r="AC99" s="12">
        <v>33.339913299999999</v>
      </c>
      <c r="AD99" s="12">
        <v>52.2340692</v>
      </c>
      <c r="AE99" s="12">
        <v>66.699477200000004</v>
      </c>
      <c r="AF99" s="12">
        <v>15.808538199999999</v>
      </c>
      <c r="AG99" s="22" t="s">
        <v>107</v>
      </c>
    </row>
    <row r="100" spans="1:33" s="11" customFormat="1" outlineLevel="1" x14ac:dyDescent="0.3">
      <c r="A100" s="11" t="s">
        <v>106</v>
      </c>
      <c r="B100" s="12">
        <v>5.3916862999999999</v>
      </c>
      <c r="C100" s="12">
        <v>111.5333333</v>
      </c>
      <c r="D100" s="12">
        <v>4.9396268000000001</v>
      </c>
      <c r="E100" s="17">
        <v>0</v>
      </c>
      <c r="F100" s="13">
        <v>79.586666699999995</v>
      </c>
      <c r="G100" s="12">
        <v>0.84103870000000003</v>
      </c>
      <c r="H100" s="12">
        <v>12.987891599999999</v>
      </c>
      <c r="I100" s="12">
        <v>-10.512198</v>
      </c>
      <c r="J100" s="12">
        <v>7.3789994999999999</v>
      </c>
      <c r="K100" s="12">
        <v>9.2147453000000006</v>
      </c>
      <c r="L100" s="12">
        <v>4.3494359999999999</v>
      </c>
      <c r="M100" s="12">
        <v>1.2036488999999999</v>
      </c>
      <c r="N100" s="12">
        <v>38.5990587</v>
      </c>
      <c r="O100" s="12">
        <v>17.329081800000001</v>
      </c>
      <c r="P100" s="7">
        <v>390.14499999999998</v>
      </c>
      <c r="Q100" s="7">
        <v>91.676000000000002</v>
      </c>
      <c r="R100" s="7">
        <v>19</v>
      </c>
      <c r="S100" s="12">
        <v>-5.5588062999999996</v>
      </c>
      <c r="T100" s="12">
        <v>5.7969999999999997</v>
      </c>
      <c r="U100" s="12">
        <v>112.4</v>
      </c>
      <c r="V100" s="12">
        <v>1</v>
      </c>
      <c r="W100" s="12">
        <v>0.24662829999999999</v>
      </c>
      <c r="X100" s="12">
        <v>41.230044700000001</v>
      </c>
      <c r="Y100" s="12">
        <v>35.791913000000001</v>
      </c>
      <c r="Z100" s="12">
        <v>-17.099351599999999</v>
      </c>
      <c r="AA100" s="12">
        <v>89.334832199999994</v>
      </c>
      <c r="AB100" s="12">
        <v>13.508960699999999</v>
      </c>
      <c r="AC100" s="12">
        <v>37.706594600000003</v>
      </c>
      <c r="AD100" s="12">
        <v>26.372304499999998</v>
      </c>
      <c r="AE100" s="12">
        <v>66.922691900000004</v>
      </c>
      <c r="AF100" s="12">
        <v>18.5778456</v>
      </c>
      <c r="AG100" s="22" t="s">
        <v>107</v>
      </c>
    </row>
    <row r="101" spans="1:33" outlineLevel="1" x14ac:dyDescent="0.3">
      <c r="A101" t="s">
        <v>108</v>
      </c>
      <c r="B101" s="12">
        <v>5.7284746999999996</v>
      </c>
      <c r="C101" s="12">
        <v>114.2266667</v>
      </c>
      <c r="D101" s="12">
        <v>6.5447875</v>
      </c>
      <c r="E101" s="17">
        <v>0</v>
      </c>
      <c r="F101" s="12">
        <v>100.2966667</v>
      </c>
      <c r="G101" s="12">
        <v>-11.7384275</v>
      </c>
      <c r="H101" s="12">
        <v>19.265349199999999</v>
      </c>
      <c r="I101" s="12">
        <v>5.8631247000000002</v>
      </c>
      <c r="J101" s="12">
        <v>4.7025078999999996</v>
      </c>
      <c r="K101" s="12">
        <v>9.9040751999999994</v>
      </c>
      <c r="L101" s="12">
        <v>-2.1380631999999999</v>
      </c>
      <c r="M101" s="12">
        <v>1.5577730000000001</v>
      </c>
      <c r="N101" s="12">
        <v>38.061786300000001</v>
      </c>
      <c r="O101" s="12">
        <v>22.8410975</v>
      </c>
      <c r="P101" s="7">
        <v>388.53100000000001</v>
      </c>
      <c r="Q101" s="7">
        <v>77.22</v>
      </c>
      <c r="R101" s="7">
        <v>16.600000000000001</v>
      </c>
      <c r="S101" s="12">
        <v>-5.1886792000000002</v>
      </c>
      <c r="T101" s="12">
        <v>5.7679999999999998</v>
      </c>
      <c r="U101" s="12">
        <v>116.1</v>
      </c>
      <c r="V101" s="12">
        <v>1</v>
      </c>
      <c r="W101" s="12">
        <v>0.18202309999999999</v>
      </c>
      <c r="X101" s="12">
        <v>41.493344700000002</v>
      </c>
      <c r="Y101" s="12">
        <v>37.199202200000002</v>
      </c>
      <c r="Z101" s="12">
        <v>-17.241220999999999</v>
      </c>
      <c r="AA101" s="12">
        <v>95.245098299999995</v>
      </c>
      <c r="AB101" s="12">
        <v>13.2265716</v>
      </c>
      <c r="AC101" s="12">
        <v>34.4986769</v>
      </c>
      <c r="AD101" s="12">
        <v>33.004232799999997</v>
      </c>
      <c r="AE101" s="12">
        <v>75.974579599999998</v>
      </c>
      <c r="AF101" s="12">
        <v>19.756938699999999</v>
      </c>
      <c r="AG101" s="22" t="s">
        <v>107</v>
      </c>
    </row>
    <row r="102" spans="1:33" outlineLevel="1" x14ac:dyDescent="0.3">
      <c r="A102" t="s">
        <v>109</v>
      </c>
      <c r="B102" s="12">
        <v>4.2015890999999996</v>
      </c>
      <c r="C102" s="12">
        <v>118.4333333</v>
      </c>
      <c r="D102" s="12">
        <v>8.8341604</v>
      </c>
      <c r="E102" s="17">
        <v>0</v>
      </c>
      <c r="F102" s="12">
        <v>113.5433333</v>
      </c>
      <c r="G102" s="12">
        <v>10.1049373</v>
      </c>
      <c r="H102" s="12">
        <v>11.3764386</v>
      </c>
      <c r="I102" s="12">
        <v>2.411546</v>
      </c>
      <c r="J102" s="12">
        <v>3.328341</v>
      </c>
      <c r="K102" s="12">
        <v>1.61992</v>
      </c>
      <c r="L102" s="12">
        <v>-1.1347130000000001</v>
      </c>
      <c r="M102" s="12">
        <v>-11.9997486</v>
      </c>
      <c r="N102" s="12">
        <v>37.857723800000002</v>
      </c>
      <c r="O102" s="12">
        <v>4.6635349000000001</v>
      </c>
      <c r="P102" s="7">
        <v>410.31</v>
      </c>
      <c r="Q102" s="7">
        <v>51.03</v>
      </c>
      <c r="R102" s="7">
        <v>10.8</v>
      </c>
      <c r="S102" s="12">
        <v>-0.30693680000000001</v>
      </c>
      <c r="T102" s="12">
        <v>6.02</v>
      </c>
      <c r="U102" s="12">
        <v>121.6</v>
      </c>
      <c r="V102" s="12">
        <v>1</v>
      </c>
      <c r="W102" s="12">
        <v>0.28901329999999997</v>
      </c>
      <c r="X102" s="12">
        <v>44.982162199999998</v>
      </c>
      <c r="Y102" s="12">
        <v>22.184378899999999</v>
      </c>
      <c r="Z102" s="12">
        <v>-15.4650496</v>
      </c>
      <c r="AA102" s="12">
        <v>90.566379499999996</v>
      </c>
      <c r="AB102" s="12">
        <v>11.981794300000001</v>
      </c>
      <c r="AC102" s="12">
        <v>35.558176699999997</v>
      </c>
      <c r="AD102" s="12">
        <v>34.301191799999998</v>
      </c>
      <c r="AE102" s="12">
        <v>72.407542199999995</v>
      </c>
      <c r="AF102" s="12">
        <v>17.5376303</v>
      </c>
      <c r="AG102" s="22" t="s">
        <v>107</v>
      </c>
    </row>
    <row r="103" spans="1:33" outlineLevel="1" x14ac:dyDescent="0.3">
      <c r="A103" t="s">
        <v>110</v>
      </c>
      <c r="B103" s="12">
        <v>2.5907767000000002</v>
      </c>
      <c r="C103" s="12">
        <v>120.83</v>
      </c>
      <c r="D103" s="12">
        <v>10.289956500000001</v>
      </c>
      <c r="E103" s="17">
        <v>0.75</v>
      </c>
      <c r="F103" s="12">
        <v>100.7133333</v>
      </c>
      <c r="G103" s="12">
        <v>19.808761799999999</v>
      </c>
      <c r="H103" s="12">
        <v>13.359218200000001</v>
      </c>
      <c r="I103" s="12">
        <v>4.2383284000000003</v>
      </c>
      <c r="J103" s="12">
        <v>4.3033697000000002</v>
      </c>
      <c r="K103" s="12">
        <v>2.4708250999999999</v>
      </c>
      <c r="L103" s="12">
        <v>2.6501963000000002</v>
      </c>
      <c r="M103" s="12">
        <v>1.2668714000000001</v>
      </c>
      <c r="N103" s="12">
        <v>8.0804332999999993</v>
      </c>
      <c r="O103" s="12">
        <v>3.5427319000000002</v>
      </c>
      <c r="P103" s="7">
        <v>417.47300000000001</v>
      </c>
      <c r="Q103" s="7">
        <v>50.692999999999998</v>
      </c>
      <c r="R103" s="7">
        <v>10.8</v>
      </c>
      <c r="S103" s="12">
        <v>1.6645326</v>
      </c>
      <c r="T103" s="12">
        <v>6.28</v>
      </c>
      <c r="U103" s="12">
        <v>124.3</v>
      </c>
      <c r="V103" s="12">
        <v>1</v>
      </c>
      <c r="W103" s="12">
        <v>5.9048099999999999E-2</v>
      </c>
      <c r="X103" s="12">
        <v>21.4750671</v>
      </c>
      <c r="Y103" s="12">
        <v>22.257335600000001</v>
      </c>
      <c r="Z103" s="12">
        <v>4.8229664000000003</v>
      </c>
      <c r="AA103" s="12">
        <v>71.816762299999994</v>
      </c>
      <c r="AB103" s="12">
        <v>9.2897048000000009</v>
      </c>
      <c r="AC103" s="12">
        <v>34.8893208</v>
      </c>
      <c r="AD103" s="12">
        <v>56.0945757</v>
      </c>
      <c r="AE103" s="12">
        <v>72.090363600000003</v>
      </c>
      <c r="AF103" s="12">
        <v>17.299672300000001</v>
      </c>
      <c r="AG103" s="22" t="s">
        <v>107</v>
      </c>
    </row>
    <row r="104" spans="1:33" outlineLevel="1" x14ac:dyDescent="0.3">
      <c r="A104" t="s">
        <v>111</v>
      </c>
      <c r="B104" s="12">
        <v>1.4006327999999999</v>
      </c>
      <c r="C104" s="12">
        <v>123.8</v>
      </c>
      <c r="D104" s="12">
        <v>10.9982068</v>
      </c>
      <c r="E104" s="17">
        <v>1.9166666999999999</v>
      </c>
      <c r="F104" s="12">
        <v>88.556666699999994</v>
      </c>
      <c r="G104" s="12">
        <v>18.6818922</v>
      </c>
      <c r="H104" s="12">
        <v>11.8859671</v>
      </c>
      <c r="I104" s="12">
        <v>-12.602119399999999</v>
      </c>
      <c r="J104" s="12">
        <v>4.7771404999999998</v>
      </c>
      <c r="K104" s="12">
        <v>1.0631454</v>
      </c>
      <c r="L104" s="12">
        <v>1.371181</v>
      </c>
      <c r="M104" s="12">
        <v>-4.2612173999999996</v>
      </c>
      <c r="N104" s="12">
        <v>10.2753923</v>
      </c>
      <c r="O104" s="12">
        <v>-3.7940754999999999</v>
      </c>
      <c r="P104" s="7">
        <v>398.93400000000003</v>
      </c>
      <c r="Q104" s="7">
        <v>53.378</v>
      </c>
      <c r="R104" s="7">
        <v>11.8</v>
      </c>
      <c r="S104" s="12">
        <v>-6.1957900000000003E-2</v>
      </c>
      <c r="T104" s="12">
        <v>6.2869999999999999</v>
      </c>
      <c r="U104" s="12">
        <v>126.0333333</v>
      </c>
      <c r="V104" s="12">
        <v>1</v>
      </c>
      <c r="W104" s="12">
        <v>0.15621989999999999</v>
      </c>
      <c r="X104" s="12">
        <v>22.315021600000001</v>
      </c>
      <c r="Y104" s="12">
        <v>12.4262152</v>
      </c>
      <c r="Z104" s="12">
        <v>-16.3758157</v>
      </c>
      <c r="AA104" s="12">
        <v>88.961418499999994</v>
      </c>
      <c r="AB104" s="12">
        <v>13.1575691</v>
      </c>
      <c r="AC104" s="12">
        <v>35.8377616</v>
      </c>
      <c r="AD104" s="12">
        <v>28.4863456</v>
      </c>
      <c r="AE104" s="12">
        <v>66.443094799999997</v>
      </c>
      <c r="AF104" s="12">
        <v>16.667857900000001</v>
      </c>
      <c r="AG104" s="22" t="s">
        <v>107</v>
      </c>
    </row>
    <row r="105" spans="1:33" x14ac:dyDescent="0.3">
      <c r="A105" t="s">
        <v>112</v>
      </c>
      <c r="B105" s="12">
        <v>1.3448477999999999</v>
      </c>
      <c r="C105" s="12">
        <v>124.9666667</v>
      </c>
      <c r="D105" s="12">
        <v>9.4023579000000002</v>
      </c>
      <c r="E105" s="17">
        <v>3</v>
      </c>
      <c r="F105" s="12">
        <v>81.173333299999996</v>
      </c>
      <c r="G105" s="12">
        <v>14.386799999999999</v>
      </c>
      <c r="H105" s="12">
        <v>21.367062900000001</v>
      </c>
      <c r="I105" s="12">
        <v>8.1476942000000001</v>
      </c>
      <c r="J105" s="12">
        <v>3.8517972999999999</v>
      </c>
      <c r="K105" s="12">
        <v>0.70726310000000003</v>
      </c>
      <c r="L105" s="12">
        <v>-2.7536993000000001</v>
      </c>
      <c r="M105" s="12">
        <v>3.2357312999999999</v>
      </c>
      <c r="N105" s="12">
        <v>14.7027643</v>
      </c>
      <c r="O105" s="12">
        <v>3.1937462000000001</v>
      </c>
      <c r="P105" s="7" t="s">
        <v>107</v>
      </c>
      <c r="Q105" s="7" t="s">
        <v>107</v>
      </c>
      <c r="R105" s="7" t="s">
        <v>107</v>
      </c>
      <c r="S105" s="12">
        <v>11.629353200000001</v>
      </c>
      <c r="T105" s="12">
        <v>6.2990000000000004</v>
      </c>
      <c r="U105" s="12">
        <v>127.5333333</v>
      </c>
      <c r="V105" s="12">
        <v>1</v>
      </c>
      <c r="W105" s="12">
        <v>5.3578000000000001E-2</v>
      </c>
      <c r="X105" s="12">
        <v>20.236316200000001</v>
      </c>
      <c r="Y105" s="12">
        <v>2.5613044</v>
      </c>
      <c r="Z105" s="12">
        <v>-11.7405735</v>
      </c>
      <c r="AA105" s="12">
        <v>88.6476629</v>
      </c>
      <c r="AB105" s="12">
        <v>13.0339543</v>
      </c>
      <c r="AC105" s="12">
        <v>33.515299200000001</v>
      </c>
      <c r="AD105" s="12">
        <v>36.728985299999998</v>
      </c>
      <c r="AE105" s="12">
        <v>71.925901800000005</v>
      </c>
      <c r="AF105" s="12">
        <v>16.086121800000001</v>
      </c>
      <c r="AG105" s="22" t="s">
        <v>107</v>
      </c>
    </row>
    <row r="106" spans="1:33" x14ac:dyDescent="0.3">
      <c r="A106" t="s">
        <v>113</v>
      </c>
      <c r="B106" s="12">
        <v>0.20197219999999999</v>
      </c>
      <c r="C106" s="12">
        <v>126.9766667</v>
      </c>
      <c r="D106" s="12">
        <v>7.2136222999999999</v>
      </c>
      <c r="E106" s="17">
        <v>3.75</v>
      </c>
      <c r="F106" s="12">
        <v>78.316666699999999</v>
      </c>
      <c r="G106" s="12">
        <v>17.716742400000001</v>
      </c>
      <c r="H106" s="12">
        <v>16.448247299999998</v>
      </c>
      <c r="I106" s="12">
        <v>2.3264130999999999</v>
      </c>
      <c r="J106" s="12">
        <v>2.4218966000000002</v>
      </c>
      <c r="K106" s="12">
        <v>2.7397266999999998</v>
      </c>
      <c r="L106" s="12">
        <v>2.5350353999999999</v>
      </c>
      <c r="M106" s="12">
        <v>4.4997043000000003</v>
      </c>
      <c r="N106" s="12">
        <v>6.4670414000000003</v>
      </c>
      <c r="O106" s="12">
        <v>5.7748163000000003</v>
      </c>
      <c r="P106" s="7" t="s">
        <v>107</v>
      </c>
      <c r="Q106" s="7" t="s">
        <v>107</v>
      </c>
      <c r="R106" s="7" t="s">
        <v>107</v>
      </c>
      <c r="S106" s="12">
        <v>15.886699500000001</v>
      </c>
      <c r="T106" s="12">
        <v>6.5019999999999998</v>
      </c>
      <c r="U106" s="12">
        <v>126.7333333</v>
      </c>
      <c r="V106" s="12">
        <v>1</v>
      </c>
      <c r="W106" s="12">
        <v>-0.2512704</v>
      </c>
      <c r="X106" s="12">
        <v>6.3435958000000001</v>
      </c>
      <c r="Y106" s="12">
        <v>6.1081474</v>
      </c>
      <c r="Z106" s="12">
        <v>-14.0309317</v>
      </c>
      <c r="AA106" s="12">
        <v>88.247355400000004</v>
      </c>
      <c r="AB106" s="12">
        <v>13.0154905</v>
      </c>
      <c r="AC106" s="12">
        <v>35.084477900000003</v>
      </c>
      <c r="AD106" s="12">
        <v>35.490381599999999</v>
      </c>
      <c r="AE106" s="12">
        <v>71.837705400000004</v>
      </c>
      <c r="AF106" s="12">
        <v>16.845077799999999</v>
      </c>
      <c r="AG106" s="22" t="s">
        <v>107</v>
      </c>
    </row>
    <row r="107" spans="1:33" x14ac:dyDescent="0.3">
      <c r="A107" t="s">
        <v>114</v>
      </c>
      <c r="B107" s="12">
        <v>-0.19771859999999999</v>
      </c>
      <c r="C107" s="12">
        <v>127.6866667</v>
      </c>
      <c r="D107" s="12">
        <v>5.6746392999999999</v>
      </c>
      <c r="E107" s="17">
        <v>4.25</v>
      </c>
      <c r="F107" s="12">
        <v>86.66</v>
      </c>
      <c r="G107" s="12">
        <v>13.5816964</v>
      </c>
      <c r="H107" s="12">
        <v>6.8371151000000001</v>
      </c>
      <c r="I107" s="12">
        <v>2.6967824</v>
      </c>
      <c r="J107" s="12">
        <v>2.9692121</v>
      </c>
      <c r="K107" s="12">
        <v>3.9253727999999999</v>
      </c>
      <c r="L107" s="12">
        <v>13.1363044</v>
      </c>
      <c r="M107" s="12">
        <v>2.8049202000000002</v>
      </c>
      <c r="N107" s="12">
        <v>-0.46221279999999998</v>
      </c>
      <c r="O107" s="12">
        <v>2.482396</v>
      </c>
      <c r="P107" s="7" t="s">
        <v>107</v>
      </c>
      <c r="Q107" s="7" t="s">
        <v>107</v>
      </c>
      <c r="R107" s="7" t="s">
        <v>107</v>
      </c>
      <c r="S107" s="12">
        <v>18.7027708</v>
      </c>
      <c r="T107" s="12">
        <v>6.51</v>
      </c>
      <c r="U107" s="12">
        <v>128.4</v>
      </c>
      <c r="V107" s="12">
        <v>1</v>
      </c>
      <c r="W107" s="12">
        <v>7.9652474</v>
      </c>
      <c r="X107" s="12">
        <v>11.5469948</v>
      </c>
      <c r="Y107" s="12">
        <v>6.0655479999999997</v>
      </c>
      <c r="Z107" s="12">
        <v>8.1822263</v>
      </c>
      <c r="AA107" s="12">
        <v>72.106787999999995</v>
      </c>
      <c r="AB107" s="12">
        <v>10.9757988</v>
      </c>
      <c r="AC107" s="12">
        <v>33.582131400000002</v>
      </c>
      <c r="AD107" s="12">
        <v>54.044825400000001</v>
      </c>
      <c r="AE107" s="12">
        <v>70.709506899999994</v>
      </c>
      <c r="AF107" s="12">
        <v>17.275093600000002</v>
      </c>
      <c r="AG107" s="22" t="s">
        <v>107</v>
      </c>
    </row>
    <row r="108" spans="1:33" x14ac:dyDescent="0.3">
      <c r="A108" t="s">
        <v>115</v>
      </c>
      <c r="B108" s="7" t="s">
        <v>107</v>
      </c>
      <c r="C108" s="12">
        <v>127.9933333</v>
      </c>
      <c r="D108" s="12">
        <v>3.3871836000000002</v>
      </c>
      <c r="E108" s="17">
        <v>4.5</v>
      </c>
      <c r="F108" s="12">
        <v>83.723333299999993</v>
      </c>
      <c r="G108" s="7" t="s">
        <v>107</v>
      </c>
      <c r="H108" s="7" t="s">
        <v>107</v>
      </c>
      <c r="I108" s="7" t="s">
        <v>107</v>
      </c>
      <c r="J108" s="7" t="s">
        <v>107</v>
      </c>
      <c r="K108" s="7" t="s">
        <v>107</v>
      </c>
      <c r="L108" s="7" t="s">
        <v>107</v>
      </c>
      <c r="M108" s="7" t="s">
        <v>107</v>
      </c>
      <c r="N108" s="7" t="s">
        <v>107</v>
      </c>
      <c r="O108" s="7" t="s">
        <v>107</v>
      </c>
      <c r="P108" s="7" t="s">
        <v>107</v>
      </c>
      <c r="Q108" s="7" t="s">
        <v>107</v>
      </c>
      <c r="R108" s="7" t="s">
        <v>107</v>
      </c>
      <c r="S108" s="12">
        <v>23.744575300000001</v>
      </c>
      <c r="T108" s="12">
        <v>6.3487999999999998</v>
      </c>
      <c r="U108" s="12">
        <v>129.56666670000001</v>
      </c>
      <c r="V108" s="12">
        <v>1</v>
      </c>
      <c r="W108" s="7" t="s">
        <v>107</v>
      </c>
      <c r="X108" s="7" t="s">
        <v>107</v>
      </c>
      <c r="Y108" s="7" t="s">
        <v>107</v>
      </c>
      <c r="Z108" s="7" t="s">
        <v>107</v>
      </c>
      <c r="AA108" s="7" t="s">
        <v>107</v>
      </c>
      <c r="AB108" s="7" t="s">
        <v>107</v>
      </c>
      <c r="AC108" s="7" t="s">
        <v>107</v>
      </c>
      <c r="AD108" s="7" t="s">
        <v>107</v>
      </c>
      <c r="AE108" s="7" t="s">
        <v>107</v>
      </c>
      <c r="AF108" s="12">
        <v>17.2517307</v>
      </c>
      <c r="AG108" s="22" t="s">
        <v>107</v>
      </c>
    </row>
  </sheetData>
  <pageMargins left="0.7" right="0.7" top="0.75" bottom="0.75" header="0.3" footer="0.3"/>
  <pageSetup paperSize="9" orientation="portrait" horizontalDpi="90" verticalDpi="90"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5492E-94D6-46AD-B873-C263EF2D2BE8}">
  <sheetPr codeName="Tabelle22">
    <tabColor rgb="FF7030A0"/>
  </sheetPr>
  <dimension ref="A1:AG109"/>
  <sheetViews>
    <sheetView workbookViewId="0">
      <pane xSplit="1" ySplit="12" topLeftCell="S46" activePane="bottomRight" state="frozen"/>
      <selection activeCell="E12" sqref="E12"/>
      <selection pane="topRight" activeCell="E12" sqref="E12"/>
      <selection pane="bottomLeft" activeCell="E12" sqref="E12"/>
      <selection pane="bottomRight" activeCell="AG1" sqref="AG1"/>
    </sheetView>
  </sheetViews>
  <sheetFormatPr defaultColWidth="9.109375" defaultRowHeight="14.4" outlineLevelRow="1" x14ac:dyDescent="0.3"/>
  <cols>
    <col min="2" max="2" width="11.5546875" bestFit="1" customWidth="1"/>
    <col min="4" max="4" width="12.44140625" customWidth="1"/>
    <col min="7" max="7" width="12.44140625" bestFit="1" customWidth="1"/>
    <col min="8" max="8" width="12.44140625" customWidth="1"/>
    <col min="18" max="18" width="11.109375" bestFit="1" customWidth="1"/>
    <col min="19" max="19" width="12.44140625" bestFit="1" customWidth="1"/>
    <col min="24" max="24" width="12.5546875" bestFit="1" customWidth="1"/>
    <col min="25" max="25" width="12.6640625" bestFit="1" customWidth="1"/>
    <col min="27" max="27" width="13.6640625" customWidth="1"/>
  </cols>
  <sheetData>
    <row r="1" spans="1:33" s="8" customFormat="1" x14ac:dyDescent="0.3">
      <c r="A1" s="8" t="s">
        <v>0</v>
      </c>
      <c r="B1" s="8" t="s">
        <v>1</v>
      </c>
      <c r="C1" s="8" t="s">
        <v>2</v>
      </c>
      <c r="D1" s="8" t="s">
        <v>3</v>
      </c>
      <c r="E1" s="14" t="s">
        <v>4</v>
      </c>
      <c r="F1" s="8" t="s">
        <v>5</v>
      </c>
      <c r="G1" s="8" t="s">
        <v>6</v>
      </c>
      <c r="H1" s="8" t="s">
        <v>254</v>
      </c>
      <c r="I1" s="8" t="s">
        <v>7</v>
      </c>
      <c r="J1" s="8" t="s">
        <v>230</v>
      </c>
      <c r="K1" s="8" t="s">
        <v>231</v>
      </c>
      <c r="L1" s="8" t="s">
        <v>232</v>
      </c>
      <c r="M1" s="8" t="s">
        <v>233</v>
      </c>
      <c r="N1" s="8" t="s">
        <v>234</v>
      </c>
      <c r="O1" s="8" t="s">
        <v>235</v>
      </c>
      <c r="P1" s="8" t="s">
        <v>8</v>
      </c>
      <c r="Q1" s="8" t="s">
        <v>9</v>
      </c>
      <c r="R1" s="8" t="s">
        <v>10</v>
      </c>
      <c r="S1" s="8" t="s">
        <v>11</v>
      </c>
      <c r="T1" s="14" t="s">
        <v>12</v>
      </c>
      <c r="U1" s="8" t="s">
        <v>13</v>
      </c>
      <c r="V1" s="8" t="s">
        <v>14</v>
      </c>
      <c r="W1" s="8" t="s">
        <v>15</v>
      </c>
      <c r="X1" s="8" t="s">
        <v>16</v>
      </c>
      <c r="Y1" s="8" t="s">
        <v>17</v>
      </c>
      <c r="Z1" s="8" t="s">
        <v>18</v>
      </c>
      <c r="AA1" s="9" t="s">
        <v>248</v>
      </c>
      <c r="AB1" s="8" t="s">
        <v>236</v>
      </c>
      <c r="AC1" s="8" t="s">
        <v>237</v>
      </c>
      <c r="AD1" s="8" t="s">
        <v>238</v>
      </c>
      <c r="AE1" s="8" t="s">
        <v>239</v>
      </c>
      <c r="AF1" s="14" t="s">
        <v>255</v>
      </c>
      <c r="AG1" s="14" t="s">
        <v>1317</v>
      </c>
    </row>
    <row r="2" spans="1:33" s="10" customFormat="1" outlineLevel="1" x14ac:dyDescent="0.3">
      <c r="A2" s="16" t="s">
        <v>1292</v>
      </c>
      <c r="B2" s="26"/>
      <c r="C2" s="26"/>
      <c r="D2" s="26" t="s">
        <v>198</v>
      </c>
      <c r="E2" s="26"/>
      <c r="F2" s="26"/>
      <c r="G2" s="26" t="s">
        <v>304</v>
      </c>
      <c r="H2" s="26" t="s">
        <v>309</v>
      </c>
      <c r="I2" s="26"/>
      <c r="J2" s="26" t="s">
        <v>321</v>
      </c>
      <c r="K2" s="26" t="s">
        <v>324</v>
      </c>
      <c r="L2" s="26" t="s">
        <v>327</v>
      </c>
      <c r="M2" s="26" t="s">
        <v>329</v>
      </c>
      <c r="N2" s="26" t="s">
        <v>331</v>
      </c>
      <c r="O2" s="26" t="s">
        <v>333</v>
      </c>
      <c r="P2" s="26"/>
      <c r="Q2" s="26"/>
      <c r="R2" s="26"/>
      <c r="S2" s="26" t="s">
        <v>311</v>
      </c>
      <c r="T2" s="26"/>
      <c r="U2" s="26"/>
      <c r="V2" s="26"/>
      <c r="W2" s="26" t="s">
        <v>339</v>
      </c>
      <c r="X2" s="26" t="s">
        <v>316</v>
      </c>
      <c r="Y2" s="26" t="s">
        <v>318</v>
      </c>
      <c r="Z2" s="26"/>
      <c r="AA2" s="26" t="s">
        <v>343</v>
      </c>
      <c r="AB2" s="26"/>
      <c r="AC2" s="26"/>
      <c r="AD2" s="26"/>
      <c r="AE2" s="26"/>
      <c r="AF2" s="26" t="s">
        <v>349</v>
      </c>
      <c r="AG2" s="26"/>
    </row>
    <row r="3" spans="1:33" outlineLevel="1" x14ac:dyDescent="0.3">
      <c r="A3" s="16" t="s">
        <v>1293</v>
      </c>
      <c r="B3" s="27" t="s">
        <v>123</v>
      </c>
      <c r="C3" s="27" t="s">
        <v>195</v>
      </c>
      <c r="D3" s="27" t="s">
        <v>195</v>
      </c>
      <c r="E3" s="27" t="s">
        <v>186</v>
      </c>
      <c r="F3" s="27" t="s">
        <v>125</v>
      </c>
      <c r="G3" s="27" t="s">
        <v>306</v>
      </c>
      <c r="H3" s="27" t="s">
        <v>306</v>
      </c>
      <c r="I3" s="27" t="s">
        <v>306</v>
      </c>
      <c r="J3" s="27" t="s">
        <v>323</v>
      </c>
      <c r="K3" s="27" t="s">
        <v>326</v>
      </c>
      <c r="L3" s="27" t="s">
        <v>326</v>
      </c>
      <c r="M3" s="27" t="s">
        <v>326</v>
      </c>
      <c r="N3" s="27" t="s">
        <v>326</v>
      </c>
      <c r="O3" s="27" t="s">
        <v>326</v>
      </c>
      <c r="P3" s="27" t="s">
        <v>1267</v>
      </c>
      <c r="Q3" s="27" t="s">
        <v>1267</v>
      </c>
      <c r="R3" s="27" t="s">
        <v>1267</v>
      </c>
      <c r="S3" s="27" t="s">
        <v>125</v>
      </c>
      <c r="T3" s="27" t="s">
        <v>398</v>
      </c>
      <c r="U3" s="27" t="s">
        <v>125</v>
      </c>
      <c r="V3" s="27" t="s">
        <v>284</v>
      </c>
      <c r="W3" s="27" t="s">
        <v>125</v>
      </c>
      <c r="X3" s="27" t="s">
        <v>207</v>
      </c>
      <c r="Y3" s="27" t="s">
        <v>207</v>
      </c>
      <c r="Z3" s="27" t="s">
        <v>342</v>
      </c>
      <c r="AA3" s="27" t="s">
        <v>125</v>
      </c>
      <c r="AB3" s="27" t="s">
        <v>125</v>
      </c>
      <c r="AC3" s="27" t="s">
        <v>125</v>
      </c>
      <c r="AD3" s="27" t="s">
        <v>125</v>
      </c>
      <c r="AE3" s="27" t="s">
        <v>125</v>
      </c>
      <c r="AF3" s="27" t="s">
        <v>125</v>
      </c>
      <c r="AG3" s="27" t="s">
        <v>125</v>
      </c>
    </row>
    <row r="4" spans="1:33" outlineLevel="1" x14ac:dyDescent="0.3">
      <c r="A4" s="16" t="s">
        <v>1288</v>
      </c>
      <c r="B4" s="2">
        <v>144396</v>
      </c>
      <c r="C4" s="2">
        <v>77811</v>
      </c>
      <c r="D4" s="2">
        <v>77812</v>
      </c>
      <c r="E4" s="2">
        <v>144399</v>
      </c>
      <c r="F4" s="27">
        <v>101874</v>
      </c>
      <c r="G4" s="2">
        <v>89090</v>
      </c>
      <c r="H4" s="2">
        <v>89088</v>
      </c>
      <c r="I4" s="2">
        <v>89227</v>
      </c>
      <c r="J4" s="2">
        <v>88688</v>
      </c>
      <c r="K4" s="2">
        <v>90881</v>
      </c>
      <c r="L4" s="2">
        <v>90925</v>
      </c>
      <c r="M4" s="2">
        <v>90947</v>
      </c>
      <c r="N4" s="2">
        <v>90991</v>
      </c>
      <c r="O4" s="2">
        <v>91013</v>
      </c>
      <c r="P4" s="2">
        <v>32656</v>
      </c>
      <c r="Q4" s="2">
        <v>32686</v>
      </c>
      <c r="R4" s="2">
        <v>32703</v>
      </c>
      <c r="S4" s="27">
        <v>85711</v>
      </c>
      <c r="T4" s="2">
        <v>32455</v>
      </c>
      <c r="U4" s="27">
        <v>32771</v>
      </c>
      <c r="V4" s="2">
        <v>51741</v>
      </c>
      <c r="W4" s="27">
        <v>32886</v>
      </c>
      <c r="X4" s="2">
        <v>87283</v>
      </c>
      <c r="Y4" s="2">
        <v>87320</v>
      </c>
      <c r="Z4" s="2">
        <v>88755</v>
      </c>
      <c r="AA4" s="27">
        <v>90353</v>
      </c>
      <c r="AB4" s="27">
        <v>90397</v>
      </c>
      <c r="AC4" s="27">
        <v>90419</v>
      </c>
      <c r="AD4" s="27">
        <v>90507</v>
      </c>
      <c r="AE4" s="27">
        <v>90529</v>
      </c>
      <c r="AF4" s="27">
        <v>89627</v>
      </c>
      <c r="AG4" s="27">
        <v>144787</v>
      </c>
    </row>
    <row r="5" spans="1:33" outlineLevel="1" x14ac:dyDescent="0.3">
      <c r="A5" t="s">
        <v>1291</v>
      </c>
      <c r="B5" s="27" t="s">
        <v>221</v>
      </c>
      <c r="C5" s="27" t="s">
        <v>194</v>
      </c>
      <c r="D5" s="27" t="s">
        <v>199</v>
      </c>
      <c r="E5" s="27" t="s">
        <v>253</v>
      </c>
      <c r="F5" s="27" t="s">
        <v>189</v>
      </c>
      <c r="G5" s="27" t="s">
        <v>305</v>
      </c>
      <c r="H5" s="27" t="s">
        <v>310</v>
      </c>
      <c r="I5" s="27" t="s">
        <v>320</v>
      </c>
      <c r="J5" s="27" t="s">
        <v>322</v>
      </c>
      <c r="K5" s="27" t="s">
        <v>325</v>
      </c>
      <c r="L5" s="27" t="s">
        <v>328</v>
      </c>
      <c r="M5" s="27" t="s">
        <v>330</v>
      </c>
      <c r="N5" s="27" t="s">
        <v>332</v>
      </c>
      <c r="O5" s="27" t="s">
        <v>334</v>
      </c>
      <c r="P5" s="27" t="s">
        <v>335</v>
      </c>
      <c r="Q5" s="27" t="s">
        <v>336</v>
      </c>
      <c r="R5" s="27" t="s">
        <v>337</v>
      </c>
      <c r="S5" s="27" t="s">
        <v>312</v>
      </c>
      <c r="T5" s="27" t="s">
        <v>1311</v>
      </c>
      <c r="U5" s="27" t="s">
        <v>315</v>
      </c>
      <c r="V5" s="27" t="s">
        <v>338</v>
      </c>
      <c r="W5" s="27" t="s">
        <v>340</v>
      </c>
      <c r="X5" s="27" t="s">
        <v>317</v>
      </c>
      <c r="Y5" s="27" t="s">
        <v>319</v>
      </c>
      <c r="Z5" s="27" t="s">
        <v>341</v>
      </c>
      <c r="AA5" s="27" t="s">
        <v>344</v>
      </c>
      <c r="AB5" s="27" t="s">
        <v>345</v>
      </c>
      <c r="AC5" s="27" t="s">
        <v>346</v>
      </c>
      <c r="AD5" s="27" t="s">
        <v>347</v>
      </c>
      <c r="AE5" s="27" t="s">
        <v>348</v>
      </c>
      <c r="AF5" s="27" t="s">
        <v>350</v>
      </c>
      <c r="AG5" s="27" t="s">
        <v>911</v>
      </c>
    </row>
    <row r="6" spans="1:33" outlineLevel="1" x14ac:dyDescent="0.3">
      <c r="A6" t="s">
        <v>1289</v>
      </c>
      <c r="B6" s="27" t="s">
        <v>222</v>
      </c>
      <c r="C6" s="27" t="s">
        <v>196</v>
      </c>
      <c r="D6" s="27" t="s">
        <v>196</v>
      </c>
      <c r="E6" s="27" t="s">
        <v>187</v>
      </c>
      <c r="F6" s="27" t="s">
        <v>190</v>
      </c>
      <c r="G6" s="27" t="s">
        <v>307</v>
      </c>
      <c r="H6" s="27" t="s">
        <v>307</v>
      </c>
      <c r="I6" s="27" t="s">
        <v>307</v>
      </c>
      <c r="J6" s="27" t="s">
        <v>307</v>
      </c>
      <c r="K6" s="27" t="s">
        <v>307</v>
      </c>
      <c r="L6" s="27" t="s">
        <v>307</v>
      </c>
      <c r="M6" s="27" t="s">
        <v>307</v>
      </c>
      <c r="N6" s="27" t="s">
        <v>307</v>
      </c>
      <c r="O6" s="27" t="s">
        <v>307</v>
      </c>
      <c r="P6" s="27" t="s">
        <v>307</v>
      </c>
      <c r="Q6" s="27" t="s">
        <v>307</v>
      </c>
      <c r="R6" s="27" t="s">
        <v>307</v>
      </c>
      <c r="S6" s="27" t="s">
        <v>307</v>
      </c>
      <c r="T6" s="27" t="s">
        <v>307</v>
      </c>
      <c r="U6" s="27" t="s">
        <v>307</v>
      </c>
      <c r="V6" s="27" t="s">
        <v>307</v>
      </c>
      <c r="W6" s="27" t="s">
        <v>307</v>
      </c>
      <c r="X6" s="27" t="s">
        <v>307</v>
      </c>
      <c r="Y6" s="27" t="s">
        <v>307</v>
      </c>
      <c r="Z6" s="27" t="s">
        <v>307</v>
      </c>
      <c r="AA6" s="27" t="s">
        <v>307</v>
      </c>
      <c r="AB6" s="27" t="s">
        <v>307</v>
      </c>
      <c r="AC6" s="27" t="s">
        <v>307</v>
      </c>
      <c r="AD6" s="27" t="s">
        <v>307</v>
      </c>
      <c r="AE6" s="27" t="s">
        <v>307</v>
      </c>
      <c r="AF6" s="27" t="s">
        <v>307</v>
      </c>
      <c r="AG6" s="27" t="s">
        <v>307</v>
      </c>
    </row>
    <row r="7" spans="1:33" outlineLevel="1" x14ac:dyDescent="0.3">
      <c r="A7" t="s">
        <v>1290</v>
      </c>
      <c r="B7" s="27" t="s">
        <v>223</v>
      </c>
      <c r="C7" s="27" t="s">
        <v>197</v>
      </c>
      <c r="D7" s="27" t="s">
        <v>197</v>
      </c>
      <c r="E7" s="27" t="s">
        <v>188</v>
      </c>
      <c r="F7" s="27" t="s">
        <v>191</v>
      </c>
      <c r="G7" s="27" t="s">
        <v>308</v>
      </c>
      <c r="H7" s="27" t="s">
        <v>308</v>
      </c>
      <c r="I7" s="27" t="s">
        <v>308</v>
      </c>
      <c r="J7" s="27" t="s">
        <v>308</v>
      </c>
      <c r="K7" s="27" t="s">
        <v>308</v>
      </c>
      <c r="L7" s="27" t="s">
        <v>308</v>
      </c>
      <c r="M7" s="27" t="s">
        <v>308</v>
      </c>
      <c r="N7" s="27" t="s">
        <v>308</v>
      </c>
      <c r="O7" s="27" t="s">
        <v>308</v>
      </c>
      <c r="P7" s="27" t="s">
        <v>308</v>
      </c>
      <c r="Q7" s="27" t="s">
        <v>308</v>
      </c>
      <c r="R7" s="27" t="s">
        <v>308</v>
      </c>
      <c r="S7" s="27" t="s">
        <v>308</v>
      </c>
      <c r="T7" s="27" t="s">
        <v>308</v>
      </c>
      <c r="U7" s="27" t="s">
        <v>308</v>
      </c>
      <c r="V7" s="27" t="s">
        <v>308</v>
      </c>
      <c r="W7" s="27" t="s">
        <v>308</v>
      </c>
      <c r="X7" s="27" t="s">
        <v>308</v>
      </c>
      <c r="Y7" s="27" t="s">
        <v>308</v>
      </c>
      <c r="Z7" s="27" t="s">
        <v>308</v>
      </c>
      <c r="AA7" s="27" t="s">
        <v>308</v>
      </c>
      <c r="AB7" s="27" t="s">
        <v>308</v>
      </c>
      <c r="AC7" s="27" t="s">
        <v>308</v>
      </c>
      <c r="AD7" s="27" t="s">
        <v>308</v>
      </c>
      <c r="AE7" s="27" t="s">
        <v>308</v>
      </c>
      <c r="AF7" s="27" t="s">
        <v>308</v>
      </c>
      <c r="AG7" s="27" t="s">
        <v>308</v>
      </c>
    </row>
    <row r="8" spans="1:33" outlineLevel="1" x14ac:dyDescent="0.3">
      <c r="A8" s="16" t="s">
        <v>489</v>
      </c>
      <c r="B8" s="27" t="s">
        <v>120</v>
      </c>
      <c r="C8" s="27" t="s">
        <v>163</v>
      </c>
      <c r="D8" s="27" t="s">
        <v>163</v>
      </c>
      <c r="E8" s="27" t="s">
        <v>159</v>
      </c>
      <c r="F8" s="27"/>
      <c r="G8" s="27" t="s">
        <v>179</v>
      </c>
      <c r="H8" s="27" t="s">
        <v>173</v>
      </c>
      <c r="I8" s="27" t="s">
        <v>182</v>
      </c>
      <c r="J8" s="27" t="s">
        <v>120</v>
      </c>
      <c r="K8" s="27" t="s">
        <v>126</v>
      </c>
      <c r="L8" s="27" t="s">
        <v>129</v>
      </c>
      <c r="M8" s="27" t="s">
        <v>132</v>
      </c>
      <c r="N8" s="27" t="s">
        <v>135</v>
      </c>
      <c r="O8" s="27" t="s">
        <v>138</v>
      </c>
      <c r="P8" s="27" t="s">
        <v>141</v>
      </c>
      <c r="Q8" s="27" t="s">
        <v>146</v>
      </c>
      <c r="R8" s="27" t="s">
        <v>149</v>
      </c>
      <c r="S8" s="27" t="s">
        <v>313</v>
      </c>
      <c r="T8" s="27" t="s">
        <v>159</v>
      </c>
      <c r="U8" s="27" t="s">
        <v>163</v>
      </c>
      <c r="V8" s="27" t="s">
        <v>168</v>
      </c>
      <c r="W8" s="27" t="s">
        <v>217</v>
      </c>
      <c r="X8" s="27" t="s">
        <v>208</v>
      </c>
      <c r="Y8" s="27" t="s">
        <v>213</v>
      </c>
      <c r="Z8" s="27" t="s">
        <v>204</v>
      </c>
      <c r="AA8" s="27" t="s">
        <v>126</v>
      </c>
      <c r="AB8" s="27" t="s">
        <v>129</v>
      </c>
      <c r="AC8" s="27" t="s">
        <v>132</v>
      </c>
      <c r="AD8" s="27" t="s">
        <v>135</v>
      </c>
      <c r="AE8" s="27" t="s">
        <v>138</v>
      </c>
      <c r="AF8" s="27" t="s">
        <v>351</v>
      </c>
      <c r="AG8" s="27" t="s">
        <v>402</v>
      </c>
    </row>
    <row r="9" spans="1:33" outlineLevel="1" x14ac:dyDescent="0.3">
      <c r="A9" s="16" t="s">
        <v>490</v>
      </c>
      <c r="B9" s="27" t="s">
        <v>121</v>
      </c>
      <c r="C9" s="27" t="s">
        <v>164</v>
      </c>
      <c r="D9" s="27" t="s">
        <v>164</v>
      </c>
      <c r="E9" s="27" t="s">
        <v>160</v>
      </c>
      <c r="F9" s="27"/>
      <c r="G9" s="27" t="s">
        <v>180</v>
      </c>
      <c r="H9" s="27" t="s">
        <v>174</v>
      </c>
      <c r="I9" s="27" t="s">
        <v>183</v>
      </c>
      <c r="J9" s="27" t="s">
        <v>121</v>
      </c>
      <c r="K9" s="27" t="s">
        <v>127</v>
      </c>
      <c r="L9" s="27" t="s">
        <v>130</v>
      </c>
      <c r="M9" s="27" t="s">
        <v>133</v>
      </c>
      <c r="N9" s="27" t="s">
        <v>136</v>
      </c>
      <c r="O9" s="27" t="s">
        <v>139</v>
      </c>
      <c r="P9" s="27" t="s">
        <v>142</v>
      </c>
      <c r="Q9" s="27" t="s">
        <v>147</v>
      </c>
      <c r="R9" s="27" t="s">
        <v>150</v>
      </c>
      <c r="S9" s="27" t="s">
        <v>314</v>
      </c>
      <c r="T9" s="27" t="s">
        <v>160</v>
      </c>
      <c r="U9" s="27" t="s">
        <v>164</v>
      </c>
      <c r="V9" s="27" t="s">
        <v>169</v>
      </c>
      <c r="W9" s="27" t="s">
        <v>218</v>
      </c>
      <c r="X9" s="27" t="s">
        <v>209</v>
      </c>
      <c r="Y9" s="27" t="s">
        <v>214</v>
      </c>
      <c r="Z9" s="27" t="s">
        <v>205</v>
      </c>
      <c r="AA9" s="27" t="s">
        <v>127</v>
      </c>
      <c r="AB9" s="27" t="s">
        <v>130</v>
      </c>
      <c r="AC9" s="27" t="s">
        <v>133</v>
      </c>
      <c r="AD9" s="27" t="s">
        <v>136</v>
      </c>
      <c r="AE9" s="27" t="s">
        <v>139</v>
      </c>
      <c r="AF9" s="27" t="s">
        <v>352</v>
      </c>
      <c r="AG9" s="28" t="s">
        <v>403</v>
      </c>
    </row>
    <row r="10" spans="1:33" outlineLevel="1" x14ac:dyDescent="0.3">
      <c r="A10" s="16" t="s">
        <v>491</v>
      </c>
      <c r="B10" s="27" t="s">
        <v>224</v>
      </c>
      <c r="C10" s="27" t="s">
        <v>165</v>
      </c>
      <c r="D10" s="27" t="s">
        <v>200</v>
      </c>
      <c r="E10" s="27" t="s">
        <v>226</v>
      </c>
      <c r="F10" s="27"/>
      <c r="G10" s="27" t="s">
        <v>175</v>
      </c>
      <c r="H10" s="27" t="s">
        <v>175</v>
      </c>
      <c r="I10" s="27" t="s">
        <v>184</v>
      </c>
      <c r="J10" s="27" t="s">
        <v>122</v>
      </c>
      <c r="K10" s="27" t="s">
        <v>122</v>
      </c>
      <c r="L10" s="27" t="s">
        <v>122</v>
      </c>
      <c r="M10" s="27" t="s">
        <v>122</v>
      </c>
      <c r="N10" s="27" t="s">
        <v>122</v>
      </c>
      <c r="O10" s="27" t="s">
        <v>122</v>
      </c>
      <c r="P10" s="27" t="s">
        <v>143</v>
      </c>
      <c r="Q10" s="27" t="s">
        <v>143</v>
      </c>
      <c r="R10" s="27" t="s">
        <v>151</v>
      </c>
      <c r="S10" s="27" t="s">
        <v>156</v>
      </c>
      <c r="T10" s="27" t="s">
        <v>447</v>
      </c>
      <c r="U10" s="27" t="s">
        <v>165</v>
      </c>
      <c r="V10" s="27" t="s">
        <v>170</v>
      </c>
      <c r="W10" s="27" t="s">
        <v>219</v>
      </c>
      <c r="X10" s="27" t="s">
        <v>210</v>
      </c>
      <c r="Y10" s="27" t="s">
        <v>210</v>
      </c>
      <c r="Z10" s="27" t="s">
        <v>184</v>
      </c>
      <c r="AA10" s="27" t="s">
        <v>184</v>
      </c>
      <c r="AB10" s="27" t="s">
        <v>184</v>
      </c>
      <c r="AC10" s="27" t="s">
        <v>184</v>
      </c>
      <c r="AD10" s="27" t="s">
        <v>184</v>
      </c>
      <c r="AE10" s="27" t="s">
        <v>184</v>
      </c>
      <c r="AF10" s="27" t="s">
        <v>156</v>
      </c>
      <c r="AG10" s="27" t="s">
        <v>184</v>
      </c>
    </row>
    <row r="11" spans="1:33" outlineLevel="1" x14ac:dyDescent="0.3">
      <c r="A11" s="16" t="s">
        <v>492</v>
      </c>
      <c r="B11" s="27" t="s">
        <v>225</v>
      </c>
      <c r="C11" s="27" t="s">
        <v>166</v>
      </c>
      <c r="D11" s="27" t="s">
        <v>201</v>
      </c>
      <c r="E11" s="27" t="s">
        <v>227</v>
      </c>
      <c r="F11" s="27"/>
      <c r="G11" s="27" t="s">
        <v>176</v>
      </c>
      <c r="H11" s="27" t="s">
        <v>176</v>
      </c>
      <c r="I11" s="27" t="s">
        <v>185</v>
      </c>
      <c r="J11" s="27" t="s">
        <v>118</v>
      </c>
      <c r="K11" s="27" t="s">
        <v>118</v>
      </c>
      <c r="L11" s="27" t="s">
        <v>118</v>
      </c>
      <c r="M11" s="27" t="s">
        <v>118</v>
      </c>
      <c r="N11" s="27" t="s">
        <v>118</v>
      </c>
      <c r="O11" s="27" t="s">
        <v>118</v>
      </c>
      <c r="P11" s="27" t="s">
        <v>144</v>
      </c>
      <c r="Q11" s="27" t="s">
        <v>144</v>
      </c>
      <c r="R11" s="27" t="s">
        <v>152</v>
      </c>
      <c r="S11" s="27" t="s">
        <v>157</v>
      </c>
      <c r="T11" s="27" t="s">
        <v>448</v>
      </c>
      <c r="U11" s="27" t="s">
        <v>166</v>
      </c>
      <c r="V11" s="27" t="s">
        <v>171</v>
      </c>
      <c r="W11" s="27" t="s">
        <v>220</v>
      </c>
      <c r="X11" s="27" t="s">
        <v>211</v>
      </c>
      <c r="Y11" s="27" t="s">
        <v>211</v>
      </c>
      <c r="Z11" s="27" t="s">
        <v>185</v>
      </c>
      <c r="AA11" s="27" t="s">
        <v>185</v>
      </c>
      <c r="AB11" s="27" t="s">
        <v>185</v>
      </c>
      <c r="AC11" s="27" t="s">
        <v>185</v>
      </c>
      <c r="AD11" s="27" t="s">
        <v>185</v>
      </c>
      <c r="AE11" s="27" t="s">
        <v>185</v>
      </c>
      <c r="AF11" s="27" t="s">
        <v>157</v>
      </c>
      <c r="AG11" s="27" t="s">
        <v>185</v>
      </c>
    </row>
    <row r="12" spans="1:33" outlineLevel="1" x14ac:dyDescent="0.3">
      <c r="B12" s="4" t="str">
        <f>INDEX({"31/01/2024 @ 15:43","macro_id=DBGlobal","label_id=144396","time=Q","year_from=2000","year_to=2023","direction=V","opt_font=true","fontsize=8","opt_color=true","col_desc=Calculation:10;Footnote 1:9;ID:8;Label:7;Reporter:6:s;Reporter:5:long;Indicator:4:s;Indicator:3:l;Unit:2:s;Unit:1:long;","numberformat=0.00","auto_tr=1999|2015","com=true","comp=4"},1,1)</f>
        <v>31/01/2024 @ 15:43</v>
      </c>
      <c r="C12" s="4" t="str">
        <f>INDEX({"31/01/2024 @ 15:43","macro_id=DBGlobal","label_id=77811","time=Q","year_from=2000","year_to=2023","direction=V","opt_font=true","fontsize=8","opt_color=true","col_desc=Calculation:10;Footnote 1:9;ID:8;Label:7;Reporter:6:s;Reporter:5:long;Indicator:4:s;Indicator:3:l;Unit:2:s;Unit:1:long;","numberformat=0.00","auto_tr=1999|2015","com=true","comp=4"},1,1)</f>
        <v>31/01/2024 @ 15:43</v>
      </c>
      <c r="D12" s="6" t="str">
        <f>INDEX({"31/01/2024 @ 15:43","macro_id=DBGlobal","label_id=77812","calc=SubScal(L_77812,100)","time=Q","year_from=2000","year_to=2023","direction=V","opt_font=true","fontsize=8","opt_color=true","col_desc=Calculation:10;Footnote 1:9;ID:8;Label:7;Reporter:6:s;Reporter:5:long;Indicator:4:s;Indicator:3:l;Unit:2:s;Unit:1:long;","numberformat=0.00","auto_tr=1999|2015","com=true","comp=4"},1,1)</f>
        <v>31/01/2024 @ 15:43</v>
      </c>
      <c r="E12" s="4" t="str">
        <f>INDEX({"31/01/2024 @ 15:43","macro_id=DBGlobal","label_id=144399","time=Q","year_from=2000","year_to=2023","direction=V","opt_font=true","fontsize=8","opt_color=true","col_desc=Calculation:10;Footnote 1:9;ID:8;Label:7;Reporter:6:s;Reporter:5:long;Indicator:4:s;Indicator:3:l;Unit:2:s;Unit:1:long;","numberformat=0.00","auto_tr=1999|2015","com=true","comp=4"},1,1)</f>
        <v>31/01/2024 @ 15:43</v>
      </c>
      <c r="F12" s="4" t="str">
        <f>INDEX({"31/01/2024 @ 15:43","macro_id=DBGlobal","label_id=101874","time=Q","year_from=2000","year_to=2023","direction=V","opt_font=true","fontsize=8","opt_color=true","col_desc=Calculation:10;Footnote 1:9;ID:8;Label:7;Reporter:6:s;Reporter:5:long;Indicator:4:s;Indicator:3:l;Unit:2:s;Unit:1:long;","numberformat=0.00","auto_tr=1999|2015","com=true","comp=4"},1,1)</f>
        <v>31/01/2024 @ 15:43</v>
      </c>
      <c r="G12" s="5" t="str">
        <f>INDEX({"31/01/2024 @ 15:43","macro_id=DBGlobal","label_id=89090","calc=SubScal(CPPY=100(L_89090),100)","time=Q","year_from=2000","year_to=2023","direction=V","opt_font=true","fontsize=8","opt_color=true","col_desc=Calculation:10;Footnote 1:9;ID:8;Label:7;Reporter:6:s;Reporter:5:long;Indicator:4:s;Indicator:3:l;Unit:2:s;Unit:1:long;","numberformat=0.00","auto_tr=1999|2015","com=true","comp=4"},1,1)</f>
        <v>31/01/2024 @ 15:43</v>
      </c>
      <c r="H12" s="5" t="str">
        <f>INDEX({"31/01/2024 @ 15:43","macro_id=DBGlobal","label_id=89088","calc=SubScal(CPPY=100(L_89088),100)","time=Q","year_from=2000","year_to=2023","direction=V","opt_font=true","fontsize=8","opt_color=true","col_desc=Calculation:10;Footnote 1:9;ID:8;Label:7;Reporter:6:s;Reporter:5:long;Indicator:4:s;Indicator:3:l;Unit:2:s;Unit:1:long;","numberformat=0.00","auto_tr=1999|2015","com=true","comp=4"},1,1)</f>
        <v>31/01/2024 @ 15:43</v>
      </c>
      <c r="I12" s="1" t="str">
        <f>INDEX({"31/01/2024 @ 15:43","macro_id=DBGlobal","label_id=89227","time=Q","year_from=2000","year_to=2023","direction=V","opt_font=true","fontsize=8","opt_color=true","col_desc=Calculation:10;Footnote 1:9;ID:8;Label:7;Reporter:6:s;Reporter:5:long;Indicator:4:s;Indicator:3:l;Unit:2:s;Unit:1:long;","numberformat=0.00","auto_tr=1999|2015","com=true","comp=4"},1,1)</f>
        <v>31/01/2024 @ 15:43</v>
      </c>
      <c r="J12" s="5" t="str">
        <f>INDEX({"31/01/2024 @ 15:43","macro_id=DBGlobal","label_id=88688","calc=SubScal(CPPY=100(L_88688),100)","time=Q","year_from=2000","year_to=2023","direction=V","opt_font=true","fontsize=8","opt_color=true","col_desc=Calculation:10;Footnote 1:9;ID:8;Label:7;Reporter:6:s;Reporter:5:long;Indicator:4:s;Indicator:3:l;Unit:2:s;Unit:1:long;","numberformat=0.00","auto_tr=1999|2015","com=true","comp=4"},1,1)</f>
        <v>31/01/2024 @ 15:43</v>
      </c>
      <c r="K12" s="5" t="str">
        <f>INDEX({"31/01/2024 @ 15:43","macro_id=DBGlobal","label_id=90881","calc=SubScal(CPPY=100(L_90881),100)","time=Q","year_from=2000","year_to=2023","direction=V","opt_font=true","fontsize=8","opt_color=true","col_desc=Calculation:10;Footnote 1:9;ID:8;Label:7;Reporter:6:s;Reporter:5:long;Indicator:4:s;Indicator:3:l;Unit:2:s;Unit:1:long;","numberformat=0.00","auto_tr=1999|2015","com=true","comp=4"},1,1)</f>
        <v>31/01/2024 @ 15:43</v>
      </c>
      <c r="L12" s="5" t="str">
        <f>INDEX({"31/01/2024 @ 15:43","macro_id=DBGlobal","label_id=90925","calc=SubScal(CPPY=100(L_90925),100)","time=Q","year_from=2000","year_to=2023","direction=V","opt_font=true","fontsize=8","opt_color=true","col_desc=Calculation:10;Footnote 1:9;ID:8;Label:7;Reporter:6:s;Reporter:5:long;Indicator:4:s;Indicator:3:l;Unit:2:s;Unit:1:long;","numberformat=0.00","auto_tr=1999|2015","com=true","comp=4"},1,1)</f>
        <v>31/01/2024 @ 15:43</v>
      </c>
      <c r="M12" s="5" t="str">
        <f>INDEX({"31/01/2024 @ 15:43","macro_id=DBGlobal","label_id=90947","calc=SubScal(CPPY=100(L_90947),100)","time=Q","year_from=2000","year_to=2023","direction=V","opt_font=true","fontsize=8","opt_color=true","col_desc=Calculation:10;Footnote 1:9;ID:8;Label:7;Reporter:6:s;Reporter:5:long;Indicator:4:s;Indicator:3:l;Unit:2:s;Unit:1:long;","numberformat=0.00","auto_tr=1999|2015","com=true","comp=4"},1,1)</f>
        <v>31/01/2024 @ 15:43</v>
      </c>
      <c r="N12" s="5" t="str">
        <f>INDEX({"31/01/2024 @ 15:43","macro_id=DBGlobal","label_id=90991","calc=SubScal(CPPY=100(L_90991),100)","time=Q","year_from=2000","year_to=2023","direction=V","opt_font=true","fontsize=8","opt_color=true","col_desc=Calculation:10;Footnote 1:9;ID:8;Label:7;Reporter:6:s;Reporter:5:long;Indicator:4:s;Indicator:3:l;Unit:2:s;Unit:1:long;","numberformat=0.00","auto_tr=1999|2015","com=true","comp=4"},1,1)</f>
        <v>31/01/2024 @ 15:43</v>
      </c>
      <c r="O12" s="5" t="str">
        <f>INDEX({"31/01/2024 @ 15:43","macro_id=DBGlobal","label_id=91013","calc=SubScal(CPPY=100(L_91013),100)","time=Q","year_from=2000","year_to=2023","direction=V","opt_font=true","fontsize=8","opt_color=true","col_desc=Calculation:10;Footnote 1:9;ID:8;Label:7;Reporter:6:s;Reporter:5:long;Indicator:4:s;Indicator:3:l;Unit:2:s;Unit:1:long;","numberformat=0.00","auto_tr=1999|2015","com=true","comp=4"},1,1)</f>
        <v>31/01/2024 @ 15:43</v>
      </c>
      <c r="P12" s="1" t="str">
        <f>INDEX({"31/01/2024 @ 15:43","macro_id=DBGlobal","label_id=32656","time=Q","year_from=2000","year_to=2023","direction=V","opt_font=true","fontsize=8","opt_color=true","col_desc=Calculation:10;Footnote 1:9;ID:8;Label:7;Reporter:6:s;Reporter:5:long;Indicator:4:s;Indicator:3:l;Unit:2:s;Unit:1:long;","numberformat=0.00","auto_tr=1999|2015","com=true","comp=4"},1,1)</f>
        <v>31/01/2024 @ 15:43</v>
      </c>
      <c r="Q12" s="1" t="str">
        <f>INDEX({"31/01/2024 @ 15:43","macro_id=DBGlobal","label_id=32686","time=Q","year_from=2000","year_to=2023","direction=V","opt_font=true","fontsize=8","opt_color=true","col_desc=Calculation:10;Footnote 1:9;ID:8;Label:7;Reporter:6:s;Reporter:5:long;Indicator:4:s;Indicator:3:l;Unit:2:s;Unit:1:long;","numberformat=0.00","auto_tr=1999|2015","com=true","comp=4"},1,1)</f>
        <v>31/01/2024 @ 15:43</v>
      </c>
      <c r="R12" s="1" t="str">
        <f>INDEX({"31/01/2024 @ 15:43","macro_id=DBGlobal","label_id=32703","time=Q","year_from=2000","year_to=2023","direction=V","opt_font=true","fontsize=8","opt_color=true","col_desc=Calculation:10;Footnote 1:9;ID:8;Label:7;Reporter:6:s;Reporter:5:long;Indicator:4:s;Indicator:3:l;Unit:2:s;Unit:1:long;","numberformat=0.00","auto_tr=1999|2015","com=true","comp=4"},1,1)</f>
        <v>31/01/2024 @ 15:43</v>
      </c>
      <c r="S12" s="5" t="str">
        <f>INDEX({"31/01/2024 @ 15:43","macro_id=DBGlobal","label_id=85711","calc=SubScal(L_85711,100)","time=Q","year_from=2000","year_to=2023","direction=V","opt_font=true","fontsize=8","opt_color=true","col_desc=Calculation:10;Footnote 1:9;ID:8;Label:7;Reporter:6:s;Reporter:5:long;Indicator:4:s;Indicator:3:l;Unit:2:s;Unit:1:long;","numberformat=0.00","auto_tr=1999|2015","com=true","comp=4"},1,1)</f>
        <v>31/01/2024 @ 15:43</v>
      </c>
      <c r="T12" s="1" t="str">
        <f>INDEX({"31/01/2024 @ 15:43","macro_id=DBGlobal","label_id=32455","time=Q","year_from=2000","year_to=2023","direction=V","opt_font=true","fontsize=8","opt_color=true","col_desc=Calculation:10;Footnote 1:9;ID:8;Label:7;Reporter:6:s;Reporter:5:long;Indicator:4:s;Indicator:3:l;Unit:2:s;Unit:1:long;","numberformat=0.00","auto_tr=1999|2015","com=true","comp=4"},1,1)</f>
        <v>31/01/2024 @ 15:43</v>
      </c>
      <c r="U12" s="1" t="str">
        <f>INDEX({"31/01/2024 @ 15:43","macro_id=DBGlobal","label_id=32771","time=Q","year_from=2000","year_to=2023","direction=V","opt_font=true","fontsize=8","opt_color=true","col_desc=Calculation:10;Footnote 1:9;ID:8;Label:7;Reporter:6:s;Reporter:5:long;Indicator:4:s;Indicator:3:l;Unit:2:s;Unit:1:long;","numberformat=0.00","auto_tr=1999|2015","com=true","comp=4"},1,1)</f>
        <v>31/01/2024 @ 15:43</v>
      </c>
      <c r="V12" s="1" t="str">
        <f>INDEX({"31/01/2024 @ 15:43","macro_id=DBGlobal","label_id=51741","time=Q","year_from=2000","year_to=2023","direction=V","opt_font=true","fontsize=8","opt_color=true","col_desc=Calculation:10;Footnote 1:9;ID:8;Label:7;Reporter:6:s;Reporter:5:long;Indicator:4:s;Indicator:3:l;Unit:2:s;Unit:1:long;","numberformat=0.00","auto_tr=1999|2015","com=true","comp=4"},1,1)</f>
        <v>31/01/2024 @ 15:43</v>
      </c>
      <c r="W12" s="5" t="str">
        <f>INDEX({"31/01/2024 @ 15:43","macro_id=DBGlobal","label_id=32886","calc=SubScal(L_32886,100)","time=Q","year_from=2000","year_to=2023","direction=V","opt_font=true","fontsize=8","opt_color=true","col_desc=Calculation:10;Footnote 1:9;ID:8;Label:7;Reporter:6:s;Reporter:5:long;Indicator:4:s;Indicator:3:l;Unit:2:s;Unit:1:long;","numberformat=0.00","auto_tr=1999|2015","com=true","comp=4"},1,1)</f>
        <v>31/01/2024 @ 15:43</v>
      </c>
      <c r="X12" s="6" t="str">
        <f>INDEX({"31/01/2024 @ 15:43","macro_id=DBGlobal","label_id=87283","calc=SubScal(CPPY=100(AddNull(L_87283,L_87357)),100)","time=Q","year_from=2000","year_to=2023","direction=V","opt_font=true","fontsize=8","opt_color=true","col_desc=Calculation:10;Footnote 1:9;ID:8;Label:7;Reporter:6:s;Reporter:5:long;Indicator:4:s;Indicator:3:l;Unit:2:s;Unit:1:long;","numberformat=0.00","auto_tr=1999|2015","com=true","comp=4"},1,1)</f>
        <v>31/01/2024 @ 15:43</v>
      </c>
      <c r="Y12" s="6" t="str">
        <f>INDEX({"31/01/2024 @ 15:43","macro_id=DBGlobal","label_id=87320","calc=SubScal(CPPY=100(AddNull(L_87320,L_87394)),100)","time=Q","year_from=2000","year_to=2023","direction=V","opt_font=true","fontsize=8","opt_color=true","col_desc=Calculation:10;Footnote 1:9;ID:8;Label:7;Reporter:6:s;Reporter:5:long;Indicator:4:s;Indicator:3:l;Unit:2:s;Unit:1:long;","numberformat=0.00","auto_tr=1999|2015","com=true","comp=4"},1,1)</f>
        <v>31/01/2024 @ 15:43</v>
      </c>
      <c r="Z12" s="1" t="str">
        <f>INDEX({"31/01/2024 @ 15:43","macro_id=DBGlobal","label_id=88755","time=Q","year_from=2000","year_to=2023","direction=V","opt_font=true","fontsize=8","opt_color=true","col_desc=Calculation:10;Footnote 1:9;ID:8;Label:7;Reporter:6:s;Reporter:5:long;Indicator:4:s;Indicator:3:l;Unit:2:s;Unit:1:long;","numberformat=0.00","auto_tr=1999|2015","com=true","comp=4"},1,1)</f>
        <v>31/01/2024 @ 15:43</v>
      </c>
      <c r="AA12" s="5" t="str">
        <f>INDEX({"31/01/2024 @ 15:43","macro_id=DBGlobal","label_id=90353","calc=AddNull(L_90353,L_90375)","time=Q","year_from=2000","year_to=2023","direction=V","opt_font=true","fontsize=8","opt_color=true","col_desc=Calculation:10;Footnote 1:9;ID:8;Label:7;Reporter:6:s;Reporter:5:long;Indicator:4:s;Indicator:3:l;Unit:2:s;Unit:1:long;","numberformat=0.00","auto_tr=1999|2015","com=true","comp=4"},1,1)</f>
        <v>31/01/2024 @ 15:43</v>
      </c>
      <c r="AB12" s="1" t="str">
        <f>INDEX({"31/01/2024 @ 15:43","macro_id=DBGlobal","label_id=90397","time=Q","year_from=2000","year_to=2023","direction=V","opt_font=true","fontsize=8","opt_color=true","col_desc=Calculation:10;Footnote 1:9;ID:8;Label:7;Reporter:6:s;Reporter:5:long;Indicator:4:s;Indicator:3:l;Unit:2:s;Unit:1:long;","numberformat=0.00","auto_tr=1999|2015","com=true","comp=4"},1,1)</f>
        <v>31/01/2024 @ 15:43</v>
      </c>
      <c r="AC12" s="1" t="str">
        <f>INDEX({"31/01/2024 @ 15:43","macro_id=DBGlobal","label_id=90419","time=Q","year_from=2000","year_to=2023","direction=V","opt_font=true","fontsize=8","opt_color=true","col_desc=Calculation:10;Footnote 1:9;ID:8;Label:7;Reporter:6:s;Reporter:5:long;Indicator:4:s;Indicator:3:l;Unit:2:s;Unit:1:long;","numberformat=0.00","auto_tr=1999|2015","com=true","comp=4"},1,1)</f>
        <v>31/01/2024 @ 15:43</v>
      </c>
      <c r="AD12" s="1" t="str">
        <f>INDEX({"31/01/2024 @ 15:43","macro_id=DBGlobal","label_id=90507","time=Q","year_from=2000","year_to=2023","direction=V","opt_font=true","fontsize=8","opt_color=true","col_desc=Calculation:10;Footnote 1:9;ID:8;Label:7;Reporter:6:s;Reporter:5:long;Indicator:4:s;Indicator:3:l;Unit:2:s;Unit:1:long;","numberformat=0.00","auto_tr=1999|2015","com=true","comp=4"},1,1)</f>
        <v>31/01/2024 @ 15:43</v>
      </c>
      <c r="AE12" s="1" t="str">
        <f>INDEX({"31/01/2024 @ 15:43","macro_id=DBGlobal","label_id=90529","time=Q","year_from=2000","year_to=2023","direction=V","opt_font=true","fontsize=8","opt_color=true","col_desc=Calculation:10;Footnote 1:9;ID:8;Label:7;Reporter:6:s;Reporter:5:long;Indicator:4:s;Indicator:3:l;Unit:2:s;Unit:1:long;","numberformat=0.00","auto_tr=1999|2015","com=true","comp=4"},1,1)</f>
        <v>31/01/2024 @ 15:43</v>
      </c>
      <c r="AF12" s="5" t="str">
        <f>INDEX({"31/01/2024 @ 15:43","macro_id=DBGlobal","label_id=89627","calc=SubScal(L_89627,100)","time=Q","year_from=2000","year_to=2023","direction=V","opt_font=true","fontsize=8","opt_color=true","col_desc=Calculation:10;Footnote 1:9;ID:8;Label:7;Reporter:6:s;Reporter:5:long;Indicator:4:s;Indicator:3:l;Unit:2:s;Unit:1:long;","numberformat=0.00","auto_tr=1999|2015","com=true","comp=4"},1,1)</f>
        <v>31/01/2024 @ 15:43</v>
      </c>
      <c r="AG12" s="4" t="str">
        <f>INDEX({"31/01/2024 @ 15:43","macro_id=DBGlobal","label_id=144787","time=Q","year_from=2000","year_to=2023","direction=V","opt_font=true","fontsize=8","opt_color=true","col_desc=Calculation:10;Footnote 1:9;ID:8;Label:7;Reporter:6:s;Reporter:5:long;Indicator:4:s;Indicator:3:l;Unit:2:s;Unit:1:long;","numberformat=0.00","auto_tr=1999|2015","com=true","comp=4"},1,1)</f>
        <v>31/01/2024 @ 15:43</v>
      </c>
    </row>
    <row r="13" spans="1:33" s="11" customFormat="1" x14ac:dyDescent="0.3">
      <c r="A13" s="11" t="s">
        <v>19</v>
      </c>
      <c r="B13" s="12">
        <v>4.8214176000000002</v>
      </c>
      <c r="C13" s="12">
        <v>73.989999999999995</v>
      </c>
      <c r="D13" s="12">
        <v>1.7557532</v>
      </c>
      <c r="E13" s="12">
        <v>3.25</v>
      </c>
      <c r="F13" s="13">
        <v>26.926666699999998</v>
      </c>
      <c r="G13" s="7" t="s">
        <v>107</v>
      </c>
      <c r="H13" s="7" t="s">
        <v>107</v>
      </c>
      <c r="I13" s="7" t="s">
        <v>107</v>
      </c>
      <c r="J13" s="12">
        <v>4.3193066</v>
      </c>
      <c r="K13" s="12">
        <v>5.6256941999999999</v>
      </c>
      <c r="L13" s="12">
        <v>6.1880699999999997E-2</v>
      </c>
      <c r="M13" s="12">
        <v>29.594557999999999</v>
      </c>
      <c r="N13" s="12">
        <v>7.6952750999999999</v>
      </c>
      <c r="O13" s="12">
        <v>27.584887800000001</v>
      </c>
      <c r="P13" s="7">
        <v>19856</v>
      </c>
      <c r="Q13" s="7">
        <v>1786</v>
      </c>
      <c r="R13" s="7">
        <v>8.3000000000000007</v>
      </c>
      <c r="S13" s="7" t="s">
        <v>107</v>
      </c>
      <c r="T13" s="12">
        <v>39.19</v>
      </c>
      <c r="U13" s="12">
        <v>11.84</v>
      </c>
      <c r="V13" s="12">
        <v>0.55516670000000001</v>
      </c>
      <c r="W13" s="7" t="s">
        <v>107</v>
      </c>
      <c r="X13" s="7" t="s">
        <v>107</v>
      </c>
      <c r="Y13" s="7" t="s">
        <v>107</v>
      </c>
      <c r="Z13" s="12">
        <v>-3.8736632000000002</v>
      </c>
      <c r="AA13" s="12">
        <v>73.070467100000002</v>
      </c>
      <c r="AB13" s="12">
        <v>12.150834400000001</v>
      </c>
      <c r="AC13" s="12">
        <v>18.747363199999999</v>
      </c>
      <c r="AD13" s="12">
        <v>20.2185877</v>
      </c>
      <c r="AE13" s="12">
        <v>24.1872525</v>
      </c>
      <c r="AF13" s="7" t="s">
        <v>107</v>
      </c>
      <c r="AG13" s="7" t="s">
        <v>107</v>
      </c>
    </row>
    <row r="14" spans="1:33" s="11" customFormat="1" outlineLevel="1" x14ac:dyDescent="0.3">
      <c r="A14" s="11" t="s">
        <v>20</v>
      </c>
      <c r="B14" s="12">
        <v>4.3154814000000004</v>
      </c>
      <c r="C14" s="12">
        <v>74.493333300000003</v>
      </c>
      <c r="D14" s="12">
        <v>1.6742492</v>
      </c>
      <c r="E14" s="12">
        <v>3.9166666999999999</v>
      </c>
      <c r="F14" s="13">
        <v>26.766666699999998</v>
      </c>
      <c r="G14" s="7" t="s">
        <v>107</v>
      </c>
      <c r="H14" s="7" t="s">
        <v>107</v>
      </c>
      <c r="I14" s="7" t="s">
        <v>107</v>
      </c>
      <c r="J14" s="12">
        <v>7.1580836999999997</v>
      </c>
      <c r="K14" s="12">
        <v>2.7738106999999999</v>
      </c>
      <c r="L14" s="12">
        <v>7.6890846000000002</v>
      </c>
      <c r="M14" s="12">
        <v>19.065647599999998</v>
      </c>
      <c r="N14" s="12">
        <v>22.496988999999999</v>
      </c>
      <c r="O14" s="12">
        <v>19.5271261</v>
      </c>
      <c r="P14" s="7">
        <v>22347</v>
      </c>
      <c r="Q14" s="7">
        <v>1456</v>
      </c>
      <c r="R14" s="7">
        <v>6.1</v>
      </c>
      <c r="S14" s="7" t="s">
        <v>107</v>
      </c>
      <c r="T14" s="12">
        <v>42.12</v>
      </c>
      <c r="U14" s="12">
        <v>12.716666699999999</v>
      </c>
      <c r="V14" s="12">
        <v>0.56913329999999995</v>
      </c>
      <c r="W14" s="7" t="s">
        <v>107</v>
      </c>
      <c r="X14" s="7" t="s">
        <v>107</v>
      </c>
      <c r="Y14" s="7" t="s">
        <v>107</v>
      </c>
      <c r="Z14" s="12">
        <v>-4.9248190000000003</v>
      </c>
      <c r="AA14" s="12">
        <v>67.823857000000004</v>
      </c>
      <c r="AB14" s="12">
        <v>12.029367000000001</v>
      </c>
      <c r="AC14" s="12">
        <v>23.284761100000001</v>
      </c>
      <c r="AD14" s="12">
        <v>20.659054699999999</v>
      </c>
      <c r="AE14" s="12">
        <v>23.7970398</v>
      </c>
      <c r="AF14" s="7" t="s">
        <v>107</v>
      </c>
      <c r="AG14" s="7" t="s">
        <v>107</v>
      </c>
    </row>
    <row r="15" spans="1:33" s="11" customFormat="1" outlineLevel="1" x14ac:dyDescent="0.3">
      <c r="A15" s="11" t="s">
        <v>21</v>
      </c>
      <c r="B15" s="12">
        <v>3.5071058000000002</v>
      </c>
      <c r="C15" s="12">
        <v>74.819999999999993</v>
      </c>
      <c r="D15" s="12">
        <v>1.9670194000000001</v>
      </c>
      <c r="E15" s="17">
        <v>4.3333332999999996</v>
      </c>
      <c r="F15" s="13">
        <v>30.673333299999999</v>
      </c>
      <c r="G15" s="7" t="s">
        <v>107</v>
      </c>
      <c r="H15" s="7" t="s">
        <v>107</v>
      </c>
      <c r="I15" s="7" t="s">
        <v>107</v>
      </c>
      <c r="J15" s="12">
        <v>8.4584655000000009</v>
      </c>
      <c r="K15" s="12">
        <v>5.6388835000000004</v>
      </c>
      <c r="L15" s="12">
        <v>6.7514365999999999</v>
      </c>
      <c r="M15" s="12">
        <v>13.1362475</v>
      </c>
      <c r="N15" s="12">
        <v>26.787247900000001</v>
      </c>
      <c r="O15" s="12">
        <v>22.369026999999999</v>
      </c>
      <c r="P15" s="7">
        <v>22796</v>
      </c>
      <c r="Q15" s="7">
        <v>1335</v>
      </c>
      <c r="R15" s="7">
        <v>5.5</v>
      </c>
      <c r="S15" s="7" t="s">
        <v>107</v>
      </c>
      <c r="T15" s="12">
        <v>48.4</v>
      </c>
      <c r="U15" s="12">
        <v>13.39</v>
      </c>
      <c r="V15" s="12">
        <v>0.58406670000000005</v>
      </c>
      <c r="W15" s="7" t="s">
        <v>107</v>
      </c>
      <c r="X15" s="7" t="s">
        <v>107</v>
      </c>
      <c r="Y15" s="7" t="s">
        <v>107</v>
      </c>
      <c r="Z15" s="12">
        <v>-1.7835080000000001</v>
      </c>
      <c r="AA15" s="12">
        <v>64.014651499999999</v>
      </c>
      <c r="AB15" s="12">
        <v>10.754546599999999</v>
      </c>
      <c r="AC15" s="12">
        <v>26.120490100000001</v>
      </c>
      <c r="AD15" s="12">
        <v>19.4594086</v>
      </c>
      <c r="AE15" s="12">
        <v>20.349096899999999</v>
      </c>
      <c r="AF15" s="7" t="s">
        <v>107</v>
      </c>
      <c r="AG15" s="7" t="s">
        <v>107</v>
      </c>
    </row>
    <row r="16" spans="1:33" s="11" customFormat="1" outlineLevel="1" x14ac:dyDescent="0.3">
      <c r="A16" s="11" t="s">
        <v>22</v>
      </c>
      <c r="B16" s="12">
        <v>2.8994336000000001</v>
      </c>
      <c r="C16" s="12">
        <v>75.3</v>
      </c>
      <c r="D16" s="12">
        <v>2.2218200000000001</v>
      </c>
      <c r="E16" s="17">
        <v>4.75</v>
      </c>
      <c r="F16" s="13">
        <v>29.7233333</v>
      </c>
      <c r="G16" s="7" t="s">
        <v>107</v>
      </c>
      <c r="H16" s="7" t="s">
        <v>107</v>
      </c>
      <c r="I16" s="7" t="s">
        <v>107</v>
      </c>
      <c r="J16" s="12">
        <v>7.2903501000000004</v>
      </c>
      <c r="K16" s="12">
        <v>4.1379444999999997</v>
      </c>
      <c r="L16" s="12">
        <v>3.4215102000000002</v>
      </c>
      <c r="M16" s="12">
        <v>18.471606699999999</v>
      </c>
      <c r="N16" s="12">
        <v>18.291345199999999</v>
      </c>
      <c r="O16" s="12">
        <v>18.283398300000002</v>
      </c>
      <c r="P16" s="7">
        <v>21153</v>
      </c>
      <c r="Q16" s="7">
        <v>1409</v>
      </c>
      <c r="R16" s="7">
        <v>6.2</v>
      </c>
      <c r="S16" s="7" t="s">
        <v>107</v>
      </c>
      <c r="T16" s="12">
        <v>204.86</v>
      </c>
      <c r="U16" s="12">
        <v>14.613333300000001</v>
      </c>
      <c r="V16" s="12">
        <v>0.59140000000000004</v>
      </c>
      <c r="W16" s="7" t="s">
        <v>107</v>
      </c>
      <c r="X16" s="7" t="s">
        <v>107</v>
      </c>
      <c r="Y16" s="7" t="s">
        <v>107</v>
      </c>
      <c r="Z16" s="12">
        <v>-4.1641085999999996</v>
      </c>
      <c r="AA16" s="12">
        <v>64.939949799999994</v>
      </c>
      <c r="AB16" s="12">
        <v>12.844973</v>
      </c>
      <c r="AC16" s="12">
        <v>25.092151999999999</v>
      </c>
      <c r="AD16" s="12">
        <v>19.426325500000001</v>
      </c>
      <c r="AE16" s="12">
        <v>22.303400400000001</v>
      </c>
      <c r="AF16" s="7" t="s">
        <v>107</v>
      </c>
      <c r="AG16" s="7" t="s">
        <v>107</v>
      </c>
    </row>
    <row r="17" spans="1:33" s="11" customFormat="1" outlineLevel="1" x14ac:dyDescent="0.3">
      <c r="A17" s="11" t="s">
        <v>23</v>
      </c>
      <c r="B17" s="12">
        <v>3.0047543999999999</v>
      </c>
      <c r="C17" s="12">
        <v>75.393333299999995</v>
      </c>
      <c r="D17" s="12">
        <v>1.8966527</v>
      </c>
      <c r="E17" s="17">
        <v>4.75</v>
      </c>
      <c r="F17" s="13">
        <v>25.873333299999999</v>
      </c>
      <c r="G17" s="7" t="s">
        <v>107</v>
      </c>
      <c r="H17" s="7" t="s">
        <v>107</v>
      </c>
      <c r="I17" s="7" t="s">
        <v>107</v>
      </c>
      <c r="J17" s="12">
        <v>2.6563064999999999</v>
      </c>
      <c r="K17" s="12">
        <v>-1.8364910000000001</v>
      </c>
      <c r="L17" s="12">
        <v>2.8707104999999999</v>
      </c>
      <c r="M17" s="12">
        <v>-5.7401362999999996</v>
      </c>
      <c r="N17" s="12">
        <v>11.0300084</v>
      </c>
      <c r="O17" s="12">
        <v>-10.1770212</v>
      </c>
      <c r="P17" s="7">
        <v>20149</v>
      </c>
      <c r="Q17" s="7">
        <v>1869</v>
      </c>
      <c r="R17" s="7">
        <v>8.5</v>
      </c>
      <c r="S17" s="7" t="s">
        <v>107</v>
      </c>
      <c r="T17" s="12">
        <v>87.23</v>
      </c>
      <c r="U17" s="12">
        <v>15.8833333</v>
      </c>
      <c r="V17" s="12">
        <v>0.74466670000000001</v>
      </c>
      <c r="W17" s="12">
        <v>-0.94339629999999997</v>
      </c>
      <c r="X17" s="7" t="s">
        <v>107</v>
      </c>
      <c r="Y17" s="7" t="s">
        <v>107</v>
      </c>
      <c r="Z17" s="12">
        <v>-1.0217579000000001</v>
      </c>
      <c r="AA17" s="12">
        <v>68.634282999999996</v>
      </c>
      <c r="AB17" s="12">
        <v>11.753252399999999</v>
      </c>
      <c r="AC17" s="12">
        <v>18.815759400000001</v>
      </c>
      <c r="AD17" s="12">
        <v>23.072087400000001</v>
      </c>
      <c r="AE17" s="12">
        <v>22.275359999999999</v>
      </c>
      <c r="AF17" s="12">
        <v>100.8917496</v>
      </c>
      <c r="AG17" s="7" t="s">
        <v>107</v>
      </c>
    </row>
    <row r="18" spans="1:33" s="11" customFormat="1" outlineLevel="1" x14ac:dyDescent="0.3">
      <c r="A18" s="11" t="s">
        <v>24</v>
      </c>
      <c r="B18" s="12">
        <v>2.2522867999999998</v>
      </c>
      <c r="C18" s="12">
        <v>76.483333299999998</v>
      </c>
      <c r="D18" s="12">
        <v>2.6713800000000001</v>
      </c>
      <c r="E18" s="17">
        <v>4.5833332999999996</v>
      </c>
      <c r="F18" s="13">
        <v>27.273333300000001</v>
      </c>
      <c r="G18" s="7" t="s">
        <v>107</v>
      </c>
      <c r="H18" s="7" t="s">
        <v>107</v>
      </c>
      <c r="I18" s="7" t="s">
        <v>107</v>
      </c>
      <c r="J18" s="12">
        <v>-6.9464126000000004</v>
      </c>
      <c r="K18" s="12">
        <v>-9.2646909999999991</v>
      </c>
      <c r="L18" s="12">
        <v>0.16117709999999999</v>
      </c>
      <c r="M18" s="12">
        <v>-39.931822699999998</v>
      </c>
      <c r="N18" s="12">
        <v>5.745012</v>
      </c>
      <c r="O18" s="12">
        <v>-31.283511000000001</v>
      </c>
      <c r="P18" s="7">
        <v>22231</v>
      </c>
      <c r="Q18" s="7">
        <v>1604</v>
      </c>
      <c r="R18" s="7">
        <v>6.7</v>
      </c>
      <c r="S18" s="7" t="s">
        <v>107</v>
      </c>
      <c r="T18" s="12">
        <v>62.9</v>
      </c>
      <c r="U18" s="12">
        <v>19.576666700000001</v>
      </c>
      <c r="V18" s="12">
        <v>1.0409333000000001</v>
      </c>
      <c r="W18" s="12">
        <v>-11.102831500000001</v>
      </c>
      <c r="X18" s="7" t="s">
        <v>107</v>
      </c>
      <c r="Y18" s="7" t="s">
        <v>107</v>
      </c>
      <c r="Z18" s="12">
        <v>2.9307675999999998</v>
      </c>
      <c r="AA18" s="12">
        <v>65.779939299999995</v>
      </c>
      <c r="AB18" s="12">
        <v>12.7685344</v>
      </c>
      <c r="AC18" s="12">
        <v>15.3029853</v>
      </c>
      <c r="AD18" s="12">
        <v>28.708068799999999</v>
      </c>
      <c r="AE18" s="12">
        <v>22.559527899999999</v>
      </c>
      <c r="AF18" s="12">
        <v>19.643764699999998</v>
      </c>
      <c r="AG18" s="7" t="s">
        <v>107</v>
      </c>
    </row>
    <row r="19" spans="1:33" s="11" customFormat="1" outlineLevel="1" x14ac:dyDescent="0.3">
      <c r="A19" s="11" t="s">
        <v>25</v>
      </c>
      <c r="B19" s="12">
        <v>1.8991327</v>
      </c>
      <c r="C19" s="12">
        <v>76.516666700000002</v>
      </c>
      <c r="D19" s="12">
        <v>2.2676647000000001</v>
      </c>
      <c r="E19" s="17">
        <v>4.1666667000000004</v>
      </c>
      <c r="F19" s="13">
        <v>25.303333299999998</v>
      </c>
      <c r="G19" s="7" t="s">
        <v>107</v>
      </c>
      <c r="H19" s="7" t="s">
        <v>107</v>
      </c>
      <c r="I19" s="7" t="s">
        <v>107</v>
      </c>
      <c r="J19" s="12">
        <v>-7.1090010000000001</v>
      </c>
      <c r="K19" s="12">
        <v>-7.4690336000000004</v>
      </c>
      <c r="L19" s="12">
        <v>-2.1347328000000001</v>
      </c>
      <c r="M19" s="12">
        <v>-30.4088195</v>
      </c>
      <c r="N19" s="12">
        <v>3.6483302000000002</v>
      </c>
      <c r="O19" s="12">
        <v>-25.2962089</v>
      </c>
      <c r="P19" s="7">
        <v>23038</v>
      </c>
      <c r="Q19" s="7">
        <v>1954</v>
      </c>
      <c r="R19" s="7">
        <v>7.8</v>
      </c>
      <c r="S19" s="7" t="s">
        <v>107</v>
      </c>
      <c r="T19" s="12">
        <v>59.07</v>
      </c>
      <c r="U19" s="12">
        <v>21.69</v>
      </c>
      <c r="V19" s="12">
        <v>1.2532333</v>
      </c>
      <c r="W19" s="12">
        <v>-9.7613883000000001</v>
      </c>
      <c r="X19" s="7" t="s">
        <v>107</v>
      </c>
      <c r="Y19" s="7" t="s">
        <v>107</v>
      </c>
      <c r="Z19" s="12">
        <v>4.1653589000000002</v>
      </c>
      <c r="AA19" s="12">
        <v>61.376120800000002</v>
      </c>
      <c r="AB19" s="12">
        <v>11.095226500000001</v>
      </c>
      <c r="AC19" s="12">
        <v>21.1404782</v>
      </c>
      <c r="AD19" s="12">
        <v>28.864761900000001</v>
      </c>
      <c r="AE19" s="12">
        <v>22.4765874</v>
      </c>
      <c r="AF19" s="12">
        <v>-15.310617499999999</v>
      </c>
      <c r="AG19" s="7" t="s">
        <v>107</v>
      </c>
    </row>
    <row r="20" spans="1:33" s="11" customFormat="1" outlineLevel="1" x14ac:dyDescent="0.3">
      <c r="A20" s="11" t="s">
        <v>26</v>
      </c>
      <c r="B20" s="12">
        <v>1.4300580000000001</v>
      </c>
      <c r="C20" s="12">
        <v>76.746666700000006</v>
      </c>
      <c r="D20" s="12">
        <v>1.9212041</v>
      </c>
      <c r="E20" s="17">
        <v>3.4166666999999999</v>
      </c>
      <c r="F20" s="13">
        <v>19.350000000000001</v>
      </c>
      <c r="G20" s="7" t="s">
        <v>107</v>
      </c>
      <c r="H20" s="7" t="s">
        <v>107</v>
      </c>
      <c r="I20" s="7" t="s">
        <v>107</v>
      </c>
      <c r="J20" s="12">
        <v>-9.8797761000000008</v>
      </c>
      <c r="K20" s="12">
        <v>-7.5908468999999998</v>
      </c>
      <c r="L20" s="12">
        <v>0.77340710000000001</v>
      </c>
      <c r="M20" s="12">
        <v>-45.298859700000001</v>
      </c>
      <c r="N20" s="12">
        <v>0.12398240000000001</v>
      </c>
      <c r="O20" s="12">
        <v>-28.288039300000001</v>
      </c>
      <c r="P20" s="7">
        <v>20704</v>
      </c>
      <c r="Q20" s="7">
        <v>2404</v>
      </c>
      <c r="R20" s="7">
        <v>10.4</v>
      </c>
      <c r="S20" s="7" t="s">
        <v>107</v>
      </c>
      <c r="T20" s="12">
        <v>58.94</v>
      </c>
      <c r="U20" s="12">
        <v>25.266666699999998</v>
      </c>
      <c r="V20" s="12">
        <v>1.3692</v>
      </c>
      <c r="W20" s="12">
        <v>-11.979547</v>
      </c>
      <c r="X20" s="7" t="s">
        <v>107</v>
      </c>
      <c r="Y20" s="7" t="s">
        <v>107</v>
      </c>
      <c r="Z20" s="12">
        <v>1.6976564999999999</v>
      </c>
      <c r="AA20" s="12">
        <v>65.090044899999995</v>
      </c>
      <c r="AB20" s="12">
        <v>14.5875159</v>
      </c>
      <c r="AC20" s="12">
        <v>16.689155499999998</v>
      </c>
      <c r="AD20" s="12">
        <v>26.883846699999999</v>
      </c>
      <c r="AE20" s="12">
        <v>23.250576599999999</v>
      </c>
      <c r="AF20" s="12">
        <v>-27.946894700000001</v>
      </c>
      <c r="AG20" s="7" t="s">
        <v>107</v>
      </c>
    </row>
    <row r="21" spans="1:33" s="11" customFormat="1" outlineLevel="1" x14ac:dyDescent="0.3">
      <c r="A21" s="11" t="s">
        <v>27</v>
      </c>
      <c r="B21" s="12">
        <v>7.1740499999999999E-2</v>
      </c>
      <c r="C21" s="12">
        <v>77.180000000000007</v>
      </c>
      <c r="D21" s="12">
        <v>2.3697940000000002</v>
      </c>
      <c r="E21" s="17">
        <v>3.25</v>
      </c>
      <c r="F21" s="13">
        <v>21.1333333</v>
      </c>
      <c r="G21" s="7" t="s">
        <v>107</v>
      </c>
      <c r="H21" s="7" t="s">
        <v>107</v>
      </c>
      <c r="I21" s="7" t="s">
        <v>107</v>
      </c>
      <c r="J21" s="12">
        <v>-1.0184972999999999</v>
      </c>
      <c r="K21" s="12">
        <v>-3.1776863</v>
      </c>
      <c r="L21" s="12">
        <v>4.5997408999999996</v>
      </c>
      <c r="M21" s="12">
        <v>5.0249509999999997</v>
      </c>
      <c r="N21" s="12">
        <v>2.6560397</v>
      </c>
      <c r="O21" s="12">
        <v>4.2274038000000003</v>
      </c>
      <c r="P21" s="7">
        <v>19387</v>
      </c>
      <c r="Q21" s="7">
        <v>2531</v>
      </c>
      <c r="R21" s="7">
        <v>11.5</v>
      </c>
      <c r="S21" s="7" t="s">
        <v>107</v>
      </c>
      <c r="T21" s="12">
        <v>61</v>
      </c>
      <c r="U21" s="12">
        <v>28.1</v>
      </c>
      <c r="V21" s="12">
        <v>1.1949666999999999</v>
      </c>
      <c r="W21" s="12">
        <v>3.2034631</v>
      </c>
      <c r="X21" s="7" t="s">
        <v>107</v>
      </c>
      <c r="Y21" s="7" t="s">
        <v>107</v>
      </c>
      <c r="Z21" s="12">
        <v>-0.9019836</v>
      </c>
      <c r="AA21" s="12">
        <v>68.926899899999995</v>
      </c>
      <c r="AB21" s="12">
        <v>13.0584405</v>
      </c>
      <c r="AC21" s="12">
        <v>16.931092499999998</v>
      </c>
      <c r="AD21" s="12">
        <v>24.3280174</v>
      </c>
      <c r="AE21" s="12">
        <v>23.2444503</v>
      </c>
      <c r="AF21" s="12">
        <v>-22.386559900000002</v>
      </c>
      <c r="AG21" s="7" t="s">
        <v>107</v>
      </c>
    </row>
    <row r="22" spans="1:33" s="11" customFormat="1" outlineLevel="1" x14ac:dyDescent="0.3">
      <c r="A22" s="11" t="s">
        <v>28</v>
      </c>
      <c r="B22" s="12">
        <v>1.2490021</v>
      </c>
      <c r="C22" s="12">
        <v>77.933333300000001</v>
      </c>
      <c r="D22" s="12">
        <v>1.8958379000000001</v>
      </c>
      <c r="E22" s="17">
        <v>3.25</v>
      </c>
      <c r="F22" s="13">
        <v>25.053333299999998</v>
      </c>
      <c r="G22" s="7" t="s">
        <v>107</v>
      </c>
      <c r="H22" s="7" t="s">
        <v>107</v>
      </c>
      <c r="I22" s="7" t="s">
        <v>107</v>
      </c>
      <c r="J22" s="12">
        <v>7.8798018000000001</v>
      </c>
      <c r="K22" s="12">
        <v>5.4049962999999996</v>
      </c>
      <c r="L22" s="12">
        <v>4.9599026999999998</v>
      </c>
      <c r="M22" s="12">
        <v>50.615164900000003</v>
      </c>
      <c r="N22" s="12">
        <v>1.5423228</v>
      </c>
      <c r="O22" s="12">
        <v>20.267240300000001</v>
      </c>
      <c r="P22" s="7">
        <v>21975</v>
      </c>
      <c r="Q22" s="7">
        <v>2259</v>
      </c>
      <c r="R22" s="7">
        <v>9.3000000000000007</v>
      </c>
      <c r="S22" s="7" t="s">
        <v>107</v>
      </c>
      <c r="T22" s="12">
        <v>55</v>
      </c>
      <c r="U22" s="12">
        <v>29.163333300000001</v>
      </c>
      <c r="V22" s="12">
        <v>1.3084</v>
      </c>
      <c r="W22" s="12">
        <v>11.902766</v>
      </c>
      <c r="X22" s="7" t="s">
        <v>107</v>
      </c>
      <c r="Y22" s="7" t="s">
        <v>107</v>
      </c>
      <c r="Z22" s="12">
        <v>-1.0458109</v>
      </c>
      <c r="AA22" s="12">
        <v>65.272340400000004</v>
      </c>
      <c r="AB22" s="12">
        <v>13.0033767</v>
      </c>
      <c r="AC22" s="12">
        <v>20.476191100000001</v>
      </c>
      <c r="AD22" s="12">
        <v>23.372953800000001</v>
      </c>
      <c r="AE22" s="12">
        <v>22.124849999999999</v>
      </c>
      <c r="AF22" s="12">
        <v>-0.52295340000000001</v>
      </c>
      <c r="AG22" s="7" t="s">
        <v>107</v>
      </c>
    </row>
    <row r="23" spans="1:33" s="11" customFormat="1" outlineLevel="1" x14ac:dyDescent="0.3">
      <c r="A23" s="11" t="s">
        <v>29</v>
      </c>
      <c r="B23" s="12">
        <v>1.6677649999999999</v>
      </c>
      <c r="C23" s="12">
        <v>77.973333299999993</v>
      </c>
      <c r="D23" s="12">
        <v>1.9037246000000001</v>
      </c>
      <c r="E23" s="17">
        <v>3.25</v>
      </c>
      <c r="F23" s="13">
        <v>26.93</v>
      </c>
      <c r="G23" s="7" t="s">
        <v>107</v>
      </c>
      <c r="H23" s="7" t="s">
        <v>107</v>
      </c>
      <c r="I23" s="7" t="s">
        <v>107</v>
      </c>
      <c r="J23" s="12">
        <v>7.0484251000000002</v>
      </c>
      <c r="K23" s="12">
        <v>7.1415595999999999</v>
      </c>
      <c r="L23" s="12">
        <v>7.9988858</v>
      </c>
      <c r="M23" s="12">
        <v>22.400331699999999</v>
      </c>
      <c r="N23" s="12">
        <v>9.9703499000000004</v>
      </c>
      <c r="O23" s="12">
        <v>26.1992045</v>
      </c>
      <c r="P23" s="7">
        <v>22833</v>
      </c>
      <c r="Q23" s="7">
        <v>2414</v>
      </c>
      <c r="R23" s="7">
        <v>9.6</v>
      </c>
      <c r="S23" s="7" t="s">
        <v>107</v>
      </c>
      <c r="T23" s="12">
        <v>53</v>
      </c>
      <c r="U23" s="12">
        <v>30.4933333</v>
      </c>
      <c r="V23" s="12">
        <v>1.6244666999999999</v>
      </c>
      <c r="W23" s="12">
        <v>9.7756410999999996</v>
      </c>
      <c r="X23" s="7" t="s">
        <v>107</v>
      </c>
      <c r="Y23" s="7" t="s">
        <v>107</v>
      </c>
      <c r="Z23" s="12">
        <v>2.0053162000000002</v>
      </c>
      <c r="AA23" s="12">
        <v>60.603987799999999</v>
      </c>
      <c r="AB23" s="12">
        <v>11.2445617</v>
      </c>
      <c r="AC23" s="12">
        <v>23.2610134</v>
      </c>
      <c r="AD23" s="12">
        <v>27.1667846</v>
      </c>
      <c r="AE23" s="12">
        <v>22.276357300000001</v>
      </c>
      <c r="AF23" s="12">
        <v>22.432256299999999</v>
      </c>
      <c r="AG23" s="7" t="s">
        <v>107</v>
      </c>
    </row>
    <row r="24" spans="1:33" s="11" customFormat="1" outlineLevel="1" x14ac:dyDescent="0.3">
      <c r="A24" s="11" t="s">
        <v>30</v>
      </c>
      <c r="B24" s="12">
        <v>1.208337</v>
      </c>
      <c r="C24" s="12">
        <v>78.4033333</v>
      </c>
      <c r="D24" s="12">
        <v>2.158617</v>
      </c>
      <c r="E24" s="17">
        <v>3.0833333000000001</v>
      </c>
      <c r="F24" s="13">
        <v>26.736666700000001</v>
      </c>
      <c r="G24" s="7" t="s">
        <v>107</v>
      </c>
      <c r="H24" s="7" t="s">
        <v>107</v>
      </c>
      <c r="I24" s="7" t="s">
        <v>107</v>
      </c>
      <c r="J24" s="12">
        <v>11.1591574</v>
      </c>
      <c r="K24" s="12">
        <v>5.6240433000000003</v>
      </c>
      <c r="L24" s="12">
        <v>5.1303137999999997</v>
      </c>
      <c r="M24" s="12">
        <v>61.533909899999998</v>
      </c>
      <c r="N24" s="12">
        <v>18.2548216</v>
      </c>
      <c r="O24" s="12">
        <v>36.4700214</v>
      </c>
      <c r="P24" s="7">
        <v>21658</v>
      </c>
      <c r="Q24" s="7">
        <v>2689</v>
      </c>
      <c r="R24" s="7">
        <v>11</v>
      </c>
      <c r="S24" s="7" t="s">
        <v>107</v>
      </c>
      <c r="T24" s="12">
        <v>51</v>
      </c>
      <c r="U24" s="12">
        <v>33.363333300000001</v>
      </c>
      <c r="V24" s="12">
        <v>1.6171333000000001</v>
      </c>
      <c r="W24" s="12">
        <v>12.6141077</v>
      </c>
      <c r="X24" s="7" t="s">
        <v>107</v>
      </c>
      <c r="Y24" s="7" t="s">
        <v>107</v>
      </c>
      <c r="Z24" s="12">
        <v>-1.2086653000000001</v>
      </c>
      <c r="AA24" s="12">
        <v>62.443866200000002</v>
      </c>
      <c r="AB24" s="12">
        <v>14.094966899999999</v>
      </c>
      <c r="AC24" s="12">
        <v>22.2764855</v>
      </c>
      <c r="AD24" s="12">
        <v>25.000193700000001</v>
      </c>
      <c r="AE24" s="12">
        <v>23.8155216</v>
      </c>
      <c r="AF24" s="12">
        <v>34.389774600000003</v>
      </c>
      <c r="AG24" s="7" t="s">
        <v>107</v>
      </c>
    </row>
    <row r="25" spans="1:33" s="11" customFormat="1" outlineLevel="1" x14ac:dyDescent="0.3">
      <c r="A25" s="11" t="s">
        <v>31</v>
      </c>
      <c r="B25" s="12">
        <v>1.0748135000000001</v>
      </c>
      <c r="C25" s="12">
        <v>78.856666700000005</v>
      </c>
      <c r="D25" s="12">
        <v>2.1724109</v>
      </c>
      <c r="E25" s="17">
        <v>2.6666666999999999</v>
      </c>
      <c r="F25" s="13">
        <v>31.52</v>
      </c>
      <c r="G25" s="7" t="s">
        <v>107</v>
      </c>
      <c r="H25" s="7" t="s">
        <v>107</v>
      </c>
      <c r="I25" s="7" t="s">
        <v>107</v>
      </c>
      <c r="J25" s="12">
        <v>6.6995579000000003</v>
      </c>
      <c r="K25" s="12">
        <v>8.8931339999999999</v>
      </c>
      <c r="L25" s="12">
        <v>1.8907369999999999</v>
      </c>
      <c r="M25" s="12">
        <v>14.0070976</v>
      </c>
      <c r="N25" s="12">
        <v>7.3493595000000003</v>
      </c>
      <c r="O25" s="12">
        <v>16.928390400000001</v>
      </c>
      <c r="P25" s="7">
        <v>20244</v>
      </c>
      <c r="Q25" s="7">
        <v>2844</v>
      </c>
      <c r="R25" s="7">
        <v>12.3</v>
      </c>
      <c r="S25" s="7" t="s">
        <v>107</v>
      </c>
      <c r="T25" s="12">
        <v>51</v>
      </c>
      <c r="U25" s="12">
        <v>35.893333300000002</v>
      </c>
      <c r="V25" s="12">
        <v>1.7778666999999999</v>
      </c>
      <c r="W25" s="12">
        <v>9.3120805000000004</v>
      </c>
      <c r="X25" s="7" t="s">
        <v>107</v>
      </c>
      <c r="Y25" s="7" t="s">
        <v>107</v>
      </c>
      <c r="Z25" s="12">
        <v>-5.2552183000000001</v>
      </c>
      <c r="AA25" s="12">
        <v>68.062240900000006</v>
      </c>
      <c r="AB25" s="12">
        <v>12.8350103</v>
      </c>
      <c r="AC25" s="12">
        <v>20.930793399999999</v>
      </c>
      <c r="AD25" s="12">
        <v>25.6514843</v>
      </c>
      <c r="AE25" s="12">
        <v>27.479518599999999</v>
      </c>
      <c r="AF25" s="12">
        <v>50.030413199999998</v>
      </c>
      <c r="AG25" s="7" t="s">
        <v>107</v>
      </c>
    </row>
    <row r="26" spans="1:33" s="11" customFormat="1" outlineLevel="1" x14ac:dyDescent="0.3">
      <c r="A26" s="11" t="s">
        <v>32</v>
      </c>
      <c r="B26" s="12">
        <v>0.33264589999999999</v>
      </c>
      <c r="C26" s="12">
        <v>79.37</v>
      </c>
      <c r="D26" s="12">
        <v>1.843456</v>
      </c>
      <c r="E26" s="17">
        <v>2.3333333000000001</v>
      </c>
      <c r="F26" s="13">
        <v>26.17</v>
      </c>
      <c r="G26" s="7" t="s">
        <v>107</v>
      </c>
      <c r="H26" s="7" t="s">
        <v>107</v>
      </c>
      <c r="I26" s="7" t="s">
        <v>107</v>
      </c>
      <c r="J26" s="12">
        <v>3.5875403000000001</v>
      </c>
      <c r="K26" s="12">
        <v>6.6515908000000001</v>
      </c>
      <c r="L26" s="12">
        <v>0.95458639999999995</v>
      </c>
      <c r="M26" s="12">
        <v>15.7032335</v>
      </c>
      <c r="N26" s="12">
        <v>3.0444309000000001</v>
      </c>
      <c r="O26" s="12">
        <v>21.9584273</v>
      </c>
      <c r="P26" s="7">
        <v>21696</v>
      </c>
      <c r="Q26" s="7">
        <v>2418</v>
      </c>
      <c r="R26" s="7">
        <v>10</v>
      </c>
      <c r="S26" s="7" t="s">
        <v>107</v>
      </c>
      <c r="T26" s="12">
        <v>45</v>
      </c>
      <c r="U26" s="12">
        <v>38.130000000000003</v>
      </c>
      <c r="V26" s="12">
        <v>1.7173333</v>
      </c>
      <c r="W26" s="12">
        <v>4.4943819999999999</v>
      </c>
      <c r="X26" s="7" t="s">
        <v>107</v>
      </c>
      <c r="Y26" s="7" t="s">
        <v>107</v>
      </c>
      <c r="Z26" s="12">
        <v>-3.2783807999999999</v>
      </c>
      <c r="AA26" s="12">
        <v>66.223350600000003</v>
      </c>
      <c r="AB26" s="12">
        <v>12.6346091</v>
      </c>
      <c r="AC26" s="12">
        <v>21.885782599999999</v>
      </c>
      <c r="AD26" s="12">
        <v>22.295807</v>
      </c>
      <c r="AE26" s="12">
        <v>23.0395404</v>
      </c>
      <c r="AF26" s="12">
        <v>52.373186099999998</v>
      </c>
      <c r="AG26" s="7" t="s">
        <v>107</v>
      </c>
    </row>
    <row r="27" spans="1:33" s="11" customFormat="1" outlineLevel="1" x14ac:dyDescent="0.3">
      <c r="A27" s="11" t="s">
        <v>33</v>
      </c>
      <c r="B27" s="12">
        <v>0.71308099999999996</v>
      </c>
      <c r="C27" s="12">
        <v>79.47</v>
      </c>
      <c r="D27" s="12">
        <v>1.9194597</v>
      </c>
      <c r="E27" s="17">
        <v>2</v>
      </c>
      <c r="F27" s="13">
        <v>28.45</v>
      </c>
      <c r="G27" s="7" t="s">
        <v>107</v>
      </c>
      <c r="H27" s="7" t="s">
        <v>107</v>
      </c>
      <c r="I27" s="7" t="s">
        <v>107</v>
      </c>
      <c r="J27" s="12">
        <v>5.9342059000000003</v>
      </c>
      <c r="K27" s="12">
        <v>5.3287602999999999</v>
      </c>
      <c r="L27" s="12">
        <v>1.6992118</v>
      </c>
      <c r="M27" s="12">
        <v>21.440354200000002</v>
      </c>
      <c r="N27" s="12">
        <v>13.229779199999999</v>
      </c>
      <c r="O27" s="12">
        <v>27.341318699999999</v>
      </c>
      <c r="P27" s="7">
        <v>22411</v>
      </c>
      <c r="Q27" s="7">
        <v>2328</v>
      </c>
      <c r="R27" s="7">
        <v>9.4</v>
      </c>
      <c r="S27" s="7" t="s">
        <v>107</v>
      </c>
      <c r="T27" s="12">
        <v>35</v>
      </c>
      <c r="U27" s="12">
        <v>38.17</v>
      </c>
      <c r="V27" s="12">
        <v>1.5692667</v>
      </c>
      <c r="W27" s="12">
        <v>10.364963400000001</v>
      </c>
      <c r="X27" s="7" t="s">
        <v>107</v>
      </c>
      <c r="Y27" s="7" t="s">
        <v>107</v>
      </c>
      <c r="Z27" s="12">
        <v>1.3792982</v>
      </c>
      <c r="AA27" s="12">
        <v>62.6035325</v>
      </c>
      <c r="AB27" s="12">
        <v>11.7824939</v>
      </c>
      <c r="AC27" s="12">
        <v>23.0608842</v>
      </c>
      <c r="AD27" s="12">
        <v>22.5908473</v>
      </c>
      <c r="AE27" s="12">
        <v>20.0377732</v>
      </c>
      <c r="AF27" s="12">
        <v>59.651363199999999</v>
      </c>
      <c r="AG27" s="7" t="s">
        <v>107</v>
      </c>
    </row>
    <row r="28" spans="1:33" s="11" customFormat="1" outlineLevel="1" x14ac:dyDescent="0.3">
      <c r="A28" s="11" t="s">
        <v>34</v>
      </c>
      <c r="B28" s="12">
        <v>1.3127310999999999</v>
      </c>
      <c r="C28" s="12">
        <v>79.913333300000005</v>
      </c>
      <c r="D28" s="12">
        <v>1.9259385</v>
      </c>
      <c r="E28" s="17">
        <v>2</v>
      </c>
      <c r="F28" s="13">
        <v>29.39</v>
      </c>
      <c r="G28" s="7" t="s">
        <v>107</v>
      </c>
      <c r="H28" s="7" t="s">
        <v>107</v>
      </c>
      <c r="I28" s="7" t="s">
        <v>107</v>
      </c>
      <c r="J28" s="12">
        <v>6.8419281999999999</v>
      </c>
      <c r="K28" s="12">
        <v>11.487556</v>
      </c>
      <c r="L28" s="12">
        <v>-2.2007549000000002</v>
      </c>
      <c r="M28" s="12">
        <v>20.5411702</v>
      </c>
      <c r="N28" s="12">
        <v>6.5405996999999996</v>
      </c>
      <c r="O28" s="12">
        <v>26.221820300000001</v>
      </c>
      <c r="P28" s="7">
        <v>20811</v>
      </c>
      <c r="Q28" s="7">
        <v>2396</v>
      </c>
      <c r="R28" s="7">
        <v>10.3</v>
      </c>
      <c r="S28" s="7" t="s">
        <v>107</v>
      </c>
      <c r="T28" s="12">
        <v>31</v>
      </c>
      <c r="U28" s="12">
        <v>39.58</v>
      </c>
      <c r="V28" s="12">
        <v>1.7224999999999999</v>
      </c>
      <c r="W28" s="12">
        <v>10.685335500000001</v>
      </c>
      <c r="X28" s="7" t="s">
        <v>107</v>
      </c>
      <c r="Y28" s="7" t="s">
        <v>107</v>
      </c>
      <c r="Z28" s="12">
        <v>-3.6652591999999999</v>
      </c>
      <c r="AA28" s="12">
        <v>65.207313299999996</v>
      </c>
      <c r="AB28" s="12">
        <v>13.176623899999999</v>
      </c>
      <c r="AC28" s="12">
        <v>22.9373717</v>
      </c>
      <c r="AD28" s="12">
        <v>22.073262799999998</v>
      </c>
      <c r="AE28" s="12">
        <v>23.394571599999999</v>
      </c>
      <c r="AF28" s="12">
        <v>95.762317300000007</v>
      </c>
      <c r="AG28" s="7" t="s">
        <v>107</v>
      </c>
    </row>
    <row r="29" spans="1:33" s="11" customFormat="1" outlineLevel="1" x14ac:dyDescent="0.3">
      <c r="A29" s="11" t="s">
        <v>35</v>
      </c>
      <c r="B29" s="12">
        <v>2.4350660999999998</v>
      </c>
      <c r="C29" s="12">
        <v>80.113333299999994</v>
      </c>
      <c r="D29" s="12">
        <v>1.5936086</v>
      </c>
      <c r="E29" s="17">
        <v>2</v>
      </c>
      <c r="F29" s="13">
        <v>31.923333299999999</v>
      </c>
      <c r="G29" s="7" t="s">
        <v>107</v>
      </c>
      <c r="H29" s="7" t="s">
        <v>107</v>
      </c>
      <c r="I29" s="7" t="s">
        <v>107</v>
      </c>
      <c r="J29" s="12">
        <v>10.965901000000001</v>
      </c>
      <c r="K29" s="12">
        <v>12.117209799999999</v>
      </c>
      <c r="L29" s="12">
        <v>7.4834718000000002</v>
      </c>
      <c r="M29" s="12">
        <v>32.728397800000003</v>
      </c>
      <c r="N29" s="12">
        <v>11.506959999999999</v>
      </c>
      <c r="O29" s="12">
        <v>29.057157</v>
      </c>
      <c r="P29" s="7">
        <v>19902</v>
      </c>
      <c r="Q29" s="7">
        <v>2830</v>
      </c>
      <c r="R29" s="7">
        <v>12.4</v>
      </c>
      <c r="S29" s="7" t="s">
        <v>107</v>
      </c>
      <c r="T29" s="12">
        <v>27</v>
      </c>
      <c r="U29" s="12">
        <v>40.556666700000001</v>
      </c>
      <c r="V29" s="12">
        <v>1.6671332999999999</v>
      </c>
      <c r="W29" s="12">
        <v>10.590944</v>
      </c>
      <c r="X29" s="7" t="s">
        <v>107</v>
      </c>
      <c r="Y29" s="7" t="s">
        <v>107</v>
      </c>
      <c r="Z29" s="12">
        <v>-6.0803329000000002</v>
      </c>
      <c r="AA29" s="12">
        <v>68.343752600000002</v>
      </c>
      <c r="AB29" s="12">
        <v>12.992789500000001</v>
      </c>
      <c r="AC29" s="12">
        <v>22.637468899999998</v>
      </c>
      <c r="AD29" s="12">
        <v>22.1897527</v>
      </c>
      <c r="AE29" s="12">
        <v>26.163755299999998</v>
      </c>
      <c r="AF29" s="12">
        <v>120.6096962</v>
      </c>
      <c r="AG29" s="7" t="s">
        <v>107</v>
      </c>
    </row>
    <row r="30" spans="1:33" s="11" customFormat="1" outlineLevel="1" x14ac:dyDescent="0.3">
      <c r="A30" s="11" t="s">
        <v>36</v>
      </c>
      <c r="B30" s="12">
        <v>2.9592486</v>
      </c>
      <c r="C30" s="12">
        <v>81.069999999999993</v>
      </c>
      <c r="D30" s="12">
        <v>2.1418672000000001</v>
      </c>
      <c r="E30" s="17">
        <v>2</v>
      </c>
      <c r="F30" s="13">
        <v>35.446666700000002</v>
      </c>
      <c r="G30" s="7" t="s">
        <v>107</v>
      </c>
      <c r="H30" s="7" t="s">
        <v>107</v>
      </c>
      <c r="I30" s="7" t="s">
        <v>107</v>
      </c>
      <c r="J30" s="12">
        <v>11.754084000000001</v>
      </c>
      <c r="K30" s="12">
        <v>13.7203176</v>
      </c>
      <c r="L30" s="12">
        <v>0.6432774</v>
      </c>
      <c r="M30" s="12">
        <v>26.402122299999998</v>
      </c>
      <c r="N30" s="12">
        <v>18.999004500000002</v>
      </c>
      <c r="O30" s="12">
        <v>31.835075499999999</v>
      </c>
      <c r="P30" s="7">
        <v>22188</v>
      </c>
      <c r="Q30" s="7">
        <v>2269</v>
      </c>
      <c r="R30" s="7">
        <v>9.3000000000000007</v>
      </c>
      <c r="S30" s="7" t="s">
        <v>107</v>
      </c>
      <c r="T30" s="12">
        <v>27</v>
      </c>
      <c r="U30" s="12">
        <v>41.19</v>
      </c>
      <c r="V30" s="12">
        <v>1.7567333000000001</v>
      </c>
      <c r="W30" s="12">
        <v>16.272401500000001</v>
      </c>
      <c r="X30" s="7" t="s">
        <v>107</v>
      </c>
      <c r="Y30" s="7" t="s">
        <v>107</v>
      </c>
      <c r="Z30" s="12">
        <v>-4.3795726999999998</v>
      </c>
      <c r="AA30" s="12">
        <v>66.491490900000002</v>
      </c>
      <c r="AB30" s="12">
        <v>11.5801859</v>
      </c>
      <c r="AC30" s="12">
        <v>24.001933699999999</v>
      </c>
      <c r="AD30" s="12">
        <v>24.184884700000001</v>
      </c>
      <c r="AE30" s="12">
        <v>26.258495199999999</v>
      </c>
      <c r="AF30" s="12">
        <v>144.1434984</v>
      </c>
      <c r="AG30" s="7" t="s">
        <v>107</v>
      </c>
    </row>
    <row r="31" spans="1:33" s="11" customFormat="1" outlineLevel="1" x14ac:dyDescent="0.3">
      <c r="A31" s="11" t="s">
        <v>37</v>
      </c>
      <c r="B31" s="12">
        <v>2.4141233999999998</v>
      </c>
      <c r="C31" s="12">
        <v>81.156666700000002</v>
      </c>
      <c r="D31" s="12">
        <v>2.1223942</v>
      </c>
      <c r="E31" s="17">
        <v>2</v>
      </c>
      <c r="F31" s="13">
        <v>41.386666699999999</v>
      </c>
      <c r="G31" s="7" t="s">
        <v>107</v>
      </c>
      <c r="H31" s="7" t="s">
        <v>107</v>
      </c>
      <c r="I31" s="7" t="s">
        <v>107</v>
      </c>
      <c r="J31" s="12">
        <v>8.3854989</v>
      </c>
      <c r="K31" s="12">
        <v>9.2333557000000006</v>
      </c>
      <c r="L31" s="12">
        <v>0.4931779</v>
      </c>
      <c r="M31" s="12">
        <v>18.085179700000001</v>
      </c>
      <c r="N31" s="12">
        <v>5.9569875999999997</v>
      </c>
      <c r="O31" s="12">
        <v>14.5203331</v>
      </c>
      <c r="P31" s="7">
        <v>22874</v>
      </c>
      <c r="Q31" s="7">
        <v>2390</v>
      </c>
      <c r="R31" s="7">
        <v>9.5</v>
      </c>
      <c r="S31" s="7" t="s">
        <v>107</v>
      </c>
      <c r="T31" s="12">
        <v>24</v>
      </c>
      <c r="U31" s="12">
        <v>41.753333300000001</v>
      </c>
      <c r="V31" s="12">
        <v>1.8075000000000001</v>
      </c>
      <c r="W31" s="12">
        <v>8.4656085000000001</v>
      </c>
      <c r="X31" s="7" t="s">
        <v>107</v>
      </c>
      <c r="Y31" s="7" t="s">
        <v>107</v>
      </c>
      <c r="Z31" s="12">
        <v>-4.8162700000000003E-2</v>
      </c>
      <c r="AA31" s="12">
        <v>61.855378600000002</v>
      </c>
      <c r="AB31" s="12">
        <v>10.6261604</v>
      </c>
      <c r="AC31" s="12">
        <v>26.617899900000001</v>
      </c>
      <c r="AD31" s="12">
        <v>24.201713099999999</v>
      </c>
      <c r="AE31" s="12">
        <v>23.301151999999998</v>
      </c>
      <c r="AF31" s="12">
        <v>135.11685059999999</v>
      </c>
      <c r="AG31" s="7" t="s">
        <v>107</v>
      </c>
    </row>
    <row r="32" spans="1:33" s="11" customFormat="1" outlineLevel="1" x14ac:dyDescent="0.3">
      <c r="A32" s="11" t="s">
        <v>38</v>
      </c>
      <c r="B32" s="12">
        <v>2.308249</v>
      </c>
      <c r="C32" s="12">
        <v>81.663333300000005</v>
      </c>
      <c r="D32" s="12">
        <v>2.1898724000000001</v>
      </c>
      <c r="E32" s="17">
        <v>2</v>
      </c>
      <c r="F32" s="13">
        <v>44.163333299999998</v>
      </c>
      <c r="G32" s="7" t="s">
        <v>107</v>
      </c>
      <c r="H32" s="7" t="s">
        <v>107</v>
      </c>
      <c r="I32" s="7" t="s">
        <v>107</v>
      </c>
      <c r="J32" s="12">
        <v>8.5454416999999996</v>
      </c>
      <c r="K32" s="12">
        <v>4.4465846999999998</v>
      </c>
      <c r="L32" s="12">
        <v>16.9310504</v>
      </c>
      <c r="M32" s="12">
        <v>14.553455599999999</v>
      </c>
      <c r="N32" s="12">
        <v>13.5705291</v>
      </c>
      <c r="O32" s="12">
        <v>12.261292299999999</v>
      </c>
      <c r="P32" s="7">
        <v>21870</v>
      </c>
      <c r="Q32" s="7">
        <v>2428</v>
      </c>
      <c r="R32" s="7">
        <v>10</v>
      </c>
      <c r="S32" s="7" t="s">
        <v>107</v>
      </c>
      <c r="T32" s="12">
        <v>22</v>
      </c>
      <c r="U32" s="12">
        <v>43.53</v>
      </c>
      <c r="V32" s="12">
        <v>1.8714333000000001</v>
      </c>
      <c r="W32" s="12">
        <v>4.3941410999999997</v>
      </c>
      <c r="X32" s="7" t="s">
        <v>107</v>
      </c>
      <c r="Y32" s="7" t="s">
        <v>107</v>
      </c>
      <c r="Z32" s="12">
        <v>-4.0025339999999998</v>
      </c>
      <c r="AA32" s="12">
        <v>61.811453399999998</v>
      </c>
      <c r="AB32" s="12">
        <v>14.1178027</v>
      </c>
      <c r="AC32" s="12">
        <v>25.916877700000001</v>
      </c>
      <c r="AD32" s="12">
        <v>23.628362599999999</v>
      </c>
      <c r="AE32" s="12">
        <v>25.4744964</v>
      </c>
      <c r="AF32" s="12">
        <v>103.4175134</v>
      </c>
      <c r="AG32" s="7" t="s">
        <v>107</v>
      </c>
    </row>
    <row r="33" spans="1:33" s="11" customFormat="1" outlineLevel="1" x14ac:dyDescent="0.3">
      <c r="A33" s="11" t="s">
        <v>39</v>
      </c>
      <c r="B33" s="12">
        <v>1.1277817999999999</v>
      </c>
      <c r="C33" s="12">
        <v>81.773333300000004</v>
      </c>
      <c r="D33" s="12">
        <v>2.0720646</v>
      </c>
      <c r="E33" s="17">
        <v>2</v>
      </c>
      <c r="F33" s="13">
        <v>47.696666700000002</v>
      </c>
      <c r="G33" s="7" t="s">
        <v>107</v>
      </c>
      <c r="H33" s="7" t="s">
        <v>107</v>
      </c>
      <c r="I33" s="7" t="s">
        <v>107</v>
      </c>
      <c r="J33" s="12">
        <v>9.6010846000000001</v>
      </c>
      <c r="K33" s="12">
        <v>4.9647674999999998</v>
      </c>
      <c r="L33" s="12">
        <v>4.2847369000000004</v>
      </c>
      <c r="M33" s="12">
        <v>23.817136099999999</v>
      </c>
      <c r="N33" s="12">
        <v>12.7314094</v>
      </c>
      <c r="O33" s="12">
        <v>9.6155360000000005</v>
      </c>
      <c r="P33" s="7">
        <v>18988</v>
      </c>
      <c r="Q33" s="7">
        <v>2574</v>
      </c>
      <c r="R33" s="7">
        <v>11.9</v>
      </c>
      <c r="S33" s="7" t="s">
        <v>107</v>
      </c>
      <c r="T33" s="12">
        <v>19.5</v>
      </c>
      <c r="U33" s="12">
        <v>44.113333300000001</v>
      </c>
      <c r="V33" s="12">
        <v>1.7406999999999999</v>
      </c>
      <c r="W33" s="12">
        <v>10.964608</v>
      </c>
      <c r="X33" s="7" t="s">
        <v>107</v>
      </c>
      <c r="Y33" s="7" t="s">
        <v>107</v>
      </c>
      <c r="Z33" s="12">
        <v>-5.6583480000000002</v>
      </c>
      <c r="AA33" s="12">
        <v>66.397904600000004</v>
      </c>
      <c r="AB33" s="12">
        <v>12.6062762</v>
      </c>
      <c r="AC33" s="12">
        <v>24.244780500000001</v>
      </c>
      <c r="AD33" s="12">
        <v>23.329761699999999</v>
      </c>
      <c r="AE33" s="12">
        <v>26.578716</v>
      </c>
      <c r="AF33" s="12">
        <v>88.921809100000004</v>
      </c>
      <c r="AG33" s="7" t="s">
        <v>107</v>
      </c>
    </row>
    <row r="34" spans="1:33" s="11" customFormat="1" outlineLevel="1" x14ac:dyDescent="0.3">
      <c r="A34" s="11" t="s">
        <v>40</v>
      </c>
      <c r="B34" s="12">
        <v>2.2042253999999999</v>
      </c>
      <c r="C34" s="12">
        <v>82.71</v>
      </c>
      <c r="D34" s="12">
        <v>2.0229431</v>
      </c>
      <c r="E34" s="17">
        <v>2</v>
      </c>
      <c r="F34" s="13">
        <v>51.626666700000001</v>
      </c>
      <c r="G34" s="7" t="s">
        <v>107</v>
      </c>
      <c r="H34" s="7" t="s">
        <v>107</v>
      </c>
      <c r="I34" s="7" t="s">
        <v>107</v>
      </c>
      <c r="J34" s="12">
        <v>7.8988073999999999</v>
      </c>
      <c r="K34" s="12">
        <v>3.1458254999999999</v>
      </c>
      <c r="L34" s="12">
        <v>3.0905325000000001</v>
      </c>
      <c r="M34" s="12">
        <v>26.0935174</v>
      </c>
      <c r="N34" s="12">
        <v>6.2941814000000003</v>
      </c>
      <c r="O34" s="12">
        <v>8.7897241000000008</v>
      </c>
      <c r="P34" s="7">
        <v>20597</v>
      </c>
      <c r="Q34" s="7">
        <v>2191</v>
      </c>
      <c r="R34" s="7">
        <v>9.6</v>
      </c>
      <c r="S34" s="7" t="s">
        <v>107</v>
      </c>
      <c r="T34" s="12">
        <v>18.25</v>
      </c>
      <c r="U34" s="12">
        <v>44.77</v>
      </c>
      <c r="V34" s="12">
        <v>1.7200333000000001</v>
      </c>
      <c r="W34" s="12">
        <v>8.9395807000000005</v>
      </c>
      <c r="X34" s="7" t="s">
        <v>107</v>
      </c>
      <c r="Y34" s="7" t="s">
        <v>107</v>
      </c>
      <c r="Z34" s="12">
        <v>-5.3932865000000003</v>
      </c>
      <c r="AA34" s="12">
        <v>64.066222199999999</v>
      </c>
      <c r="AB34" s="12">
        <v>11.373915200000001</v>
      </c>
      <c r="AC34" s="12">
        <v>27.420063599999999</v>
      </c>
      <c r="AD34" s="12">
        <v>22.3171374</v>
      </c>
      <c r="AE34" s="12">
        <v>25.177338299999999</v>
      </c>
      <c r="AF34" s="12">
        <v>69.0277691</v>
      </c>
      <c r="AG34" s="7" t="s">
        <v>107</v>
      </c>
    </row>
    <row r="35" spans="1:33" s="11" customFormat="1" outlineLevel="1" x14ac:dyDescent="0.3">
      <c r="A35" s="11" t="s">
        <v>41</v>
      </c>
      <c r="B35" s="12">
        <v>2.0830310000000001</v>
      </c>
      <c r="C35" s="12">
        <v>83.016666700000002</v>
      </c>
      <c r="D35" s="12">
        <v>2.2918634999999998</v>
      </c>
      <c r="E35" s="17">
        <v>2</v>
      </c>
      <c r="F35" s="13">
        <v>61.47</v>
      </c>
      <c r="G35" s="7" t="s">
        <v>107</v>
      </c>
      <c r="H35" s="7" t="s">
        <v>107</v>
      </c>
      <c r="I35" s="7" t="s">
        <v>107</v>
      </c>
      <c r="J35" s="12">
        <v>8.0729285999999991</v>
      </c>
      <c r="K35" s="12">
        <v>6.4303999000000003</v>
      </c>
      <c r="L35" s="12">
        <v>5.8294588999999997</v>
      </c>
      <c r="M35" s="12">
        <v>19.323720600000001</v>
      </c>
      <c r="N35" s="12">
        <v>6.8329813000000001</v>
      </c>
      <c r="O35" s="12">
        <v>14.179130600000001</v>
      </c>
      <c r="P35" s="7">
        <v>20740</v>
      </c>
      <c r="Q35" s="7">
        <v>2288</v>
      </c>
      <c r="R35" s="7">
        <v>9.9</v>
      </c>
      <c r="S35" s="7" t="s">
        <v>107</v>
      </c>
      <c r="T35" s="12">
        <v>18.25</v>
      </c>
      <c r="U35" s="12">
        <v>45.006666699999997</v>
      </c>
      <c r="V35" s="12">
        <v>1.6365666999999999</v>
      </c>
      <c r="W35" s="12">
        <v>12.2560976</v>
      </c>
      <c r="X35" s="7" t="s">
        <v>107</v>
      </c>
      <c r="Y35" s="7" t="s">
        <v>107</v>
      </c>
      <c r="Z35" s="12">
        <v>-1.3186643</v>
      </c>
      <c r="AA35" s="12">
        <v>61.210177100000003</v>
      </c>
      <c r="AB35" s="12">
        <v>11.181041</v>
      </c>
      <c r="AC35" s="12">
        <v>28.0874104</v>
      </c>
      <c r="AD35" s="12">
        <v>21.4700831</v>
      </c>
      <c r="AE35" s="12">
        <v>21.9487171</v>
      </c>
      <c r="AF35" s="12">
        <v>69.438188800000006</v>
      </c>
      <c r="AG35" s="7" t="s">
        <v>107</v>
      </c>
    </row>
    <row r="36" spans="1:33" s="11" customFormat="1" outlineLevel="1" x14ac:dyDescent="0.3">
      <c r="A36" s="11" t="s">
        <v>42</v>
      </c>
      <c r="B36" s="12">
        <v>2.0666498999999998</v>
      </c>
      <c r="C36" s="12">
        <v>83.51</v>
      </c>
      <c r="D36" s="12">
        <v>2.2613167999999999</v>
      </c>
      <c r="E36" s="17">
        <v>2.0833333000000001</v>
      </c>
      <c r="F36" s="13">
        <v>56.88</v>
      </c>
      <c r="G36" s="7" t="s">
        <v>107</v>
      </c>
      <c r="H36" s="7" t="s">
        <v>107</v>
      </c>
      <c r="I36" s="7" t="s">
        <v>107</v>
      </c>
      <c r="J36" s="12">
        <v>10.4321444</v>
      </c>
      <c r="K36" s="12">
        <v>10.615603999999999</v>
      </c>
      <c r="L36" s="12">
        <v>1.6521444000000001</v>
      </c>
      <c r="M36" s="12">
        <v>22.4204808</v>
      </c>
      <c r="N36" s="12">
        <v>7.9551788999999999</v>
      </c>
      <c r="O36" s="12">
        <v>15.8460248</v>
      </c>
      <c r="P36" s="7">
        <v>20057</v>
      </c>
      <c r="Q36" s="7">
        <v>2469</v>
      </c>
      <c r="R36" s="7">
        <v>11</v>
      </c>
      <c r="S36" s="7" t="s">
        <v>107</v>
      </c>
      <c r="T36" s="12">
        <v>17.5</v>
      </c>
      <c r="U36" s="12">
        <v>46.713333300000002</v>
      </c>
      <c r="V36" s="12">
        <v>1.6133667</v>
      </c>
      <c r="W36" s="12">
        <v>24.107142799999998</v>
      </c>
      <c r="X36" s="7" t="s">
        <v>107</v>
      </c>
      <c r="Y36" s="7" t="s">
        <v>107</v>
      </c>
      <c r="Z36" s="12">
        <v>-5.1252725000000003</v>
      </c>
      <c r="AA36" s="12">
        <v>62.720103100000003</v>
      </c>
      <c r="AB36" s="12">
        <v>13.5748009</v>
      </c>
      <c r="AC36" s="12">
        <v>26.933905599999999</v>
      </c>
      <c r="AD36" s="12">
        <v>20.790927499999999</v>
      </c>
      <c r="AE36" s="12">
        <v>24.019731799999999</v>
      </c>
      <c r="AF36" s="12">
        <v>72.117673699999997</v>
      </c>
      <c r="AG36" s="7" t="s">
        <v>107</v>
      </c>
    </row>
    <row r="37" spans="1:33" s="11" customFormat="1" outlineLevel="1" x14ac:dyDescent="0.3">
      <c r="A37" s="11" t="s">
        <v>43</v>
      </c>
      <c r="B37" s="12">
        <v>3.8191847000000001</v>
      </c>
      <c r="C37" s="12">
        <v>83.573333300000002</v>
      </c>
      <c r="D37" s="12">
        <v>2.2012065999999999</v>
      </c>
      <c r="E37" s="17">
        <v>2.3333333000000001</v>
      </c>
      <c r="F37" s="13">
        <v>61.753333300000001</v>
      </c>
      <c r="G37" s="7" t="s">
        <v>107</v>
      </c>
      <c r="H37" s="7" t="s">
        <v>107</v>
      </c>
      <c r="I37" s="7" t="s">
        <v>107</v>
      </c>
      <c r="J37" s="12">
        <v>6.4501974000000004</v>
      </c>
      <c r="K37" s="12">
        <v>6.3467259</v>
      </c>
      <c r="L37" s="12">
        <v>10.238607500000001</v>
      </c>
      <c r="M37" s="12">
        <v>11.494582400000001</v>
      </c>
      <c r="N37" s="12">
        <v>5.7878746000000003</v>
      </c>
      <c r="O37" s="12">
        <v>12.011138499999999</v>
      </c>
      <c r="P37" s="7">
        <v>18944</v>
      </c>
      <c r="Q37" s="7">
        <v>2641</v>
      </c>
      <c r="R37" s="7">
        <v>12.2</v>
      </c>
      <c r="S37" s="12">
        <v>12.844036300000001</v>
      </c>
      <c r="T37" s="12">
        <v>16.5</v>
      </c>
      <c r="U37" s="12">
        <v>47.46</v>
      </c>
      <c r="V37" s="12">
        <v>1.6019667</v>
      </c>
      <c r="W37" s="12">
        <v>7.6923076999999997</v>
      </c>
      <c r="X37" s="7" t="s">
        <v>107</v>
      </c>
      <c r="Y37" s="7" t="s">
        <v>107</v>
      </c>
      <c r="Z37" s="12">
        <v>-7.2620002000000001</v>
      </c>
      <c r="AA37" s="12">
        <v>67.042774699999995</v>
      </c>
      <c r="AB37" s="12">
        <v>13.6300341</v>
      </c>
      <c r="AC37" s="12">
        <v>24.7579803</v>
      </c>
      <c r="AD37" s="12">
        <v>21.6275038</v>
      </c>
      <c r="AE37" s="12">
        <v>27.058292900000001</v>
      </c>
      <c r="AF37" s="12">
        <v>71.937944900000005</v>
      </c>
      <c r="AG37" s="12">
        <v>43.101832899999998</v>
      </c>
    </row>
    <row r="38" spans="1:33" s="11" customFormat="1" outlineLevel="1" x14ac:dyDescent="0.3">
      <c r="A38" s="11" t="s">
        <v>44</v>
      </c>
      <c r="B38" s="12">
        <v>2.9723983</v>
      </c>
      <c r="C38" s="12">
        <v>84.693333300000006</v>
      </c>
      <c r="D38" s="12">
        <v>2.3979365000000001</v>
      </c>
      <c r="E38" s="17">
        <v>2.5833333000000001</v>
      </c>
      <c r="F38" s="13">
        <v>69.533333299999995</v>
      </c>
      <c r="G38" s="7" t="s">
        <v>107</v>
      </c>
      <c r="H38" s="7" t="s">
        <v>107</v>
      </c>
      <c r="I38" s="7" t="s">
        <v>107</v>
      </c>
      <c r="J38" s="12">
        <v>9.3665917000000007</v>
      </c>
      <c r="K38" s="12">
        <v>7.1929720000000001</v>
      </c>
      <c r="L38" s="12">
        <v>16.171351300000001</v>
      </c>
      <c r="M38" s="12">
        <v>16.388744299999999</v>
      </c>
      <c r="N38" s="12">
        <v>7.4258898000000002</v>
      </c>
      <c r="O38" s="12">
        <v>12.853705</v>
      </c>
      <c r="P38" s="7">
        <v>20873</v>
      </c>
      <c r="Q38" s="7">
        <v>2107</v>
      </c>
      <c r="R38" s="7">
        <v>9.1999999999999993</v>
      </c>
      <c r="S38" s="12">
        <v>12.0930231</v>
      </c>
      <c r="T38" s="12">
        <v>22.25</v>
      </c>
      <c r="U38" s="12">
        <v>48.88</v>
      </c>
      <c r="V38" s="12">
        <v>1.8346332999999999</v>
      </c>
      <c r="W38" s="12">
        <v>11.2054329</v>
      </c>
      <c r="X38" s="7" t="s">
        <v>107</v>
      </c>
      <c r="Y38" s="7" t="s">
        <v>107</v>
      </c>
      <c r="Z38" s="12">
        <v>-7.9591203000000004</v>
      </c>
      <c r="AA38" s="12">
        <v>62.681386000000003</v>
      </c>
      <c r="AB38" s="12">
        <v>12.9257305</v>
      </c>
      <c r="AC38" s="12">
        <v>29.903806800000002</v>
      </c>
      <c r="AD38" s="12">
        <v>22.734029799999998</v>
      </c>
      <c r="AE38" s="12">
        <v>28.2449531</v>
      </c>
      <c r="AF38" s="12">
        <v>74.698110099999994</v>
      </c>
      <c r="AG38" s="12">
        <v>45.021589599999999</v>
      </c>
    </row>
    <row r="39" spans="1:33" s="11" customFormat="1" outlineLevel="1" x14ac:dyDescent="0.3">
      <c r="A39" s="11" t="s">
        <v>45</v>
      </c>
      <c r="B39" s="12">
        <v>3.3099788999999999</v>
      </c>
      <c r="C39" s="12">
        <v>84.873333299999999</v>
      </c>
      <c r="D39" s="12">
        <v>2.2364986</v>
      </c>
      <c r="E39" s="17">
        <v>2.9166666999999999</v>
      </c>
      <c r="F39" s="13">
        <v>69.62</v>
      </c>
      <c r="G39" s="7" t="s">
        <v>107</v>
      </c>
      <c r="H39" s="7" t="s">
        <v>107</v>
      </c>
      <c r="I39" s="7" t="s">
        <v>107</v>
      </c>
      <c r="J39" s="12">
        <v>5.9647059999999996</v>
      </c>
      <c r="K39" s="12">
        <v>1.8982087999999999</v>
      </c>
      <c r="L39" s="12">
        <v>12.629394700000001</v>
      </c>
      <c r="M39" s="12">
        <v>12.333112</v>
      </c>
      <c r="N39" s="12">
        <v>3.0909762000000001</v>
      </c>
      <c r="O39" s="12">
        <v>3.4255494</v>
      </c>
      <c r="P39" s="7">
        <v>21222</v>
      </c>
      <c r="Q39" s="7">
        <v>2254</v>
      </c>
      <c r="R39" s="7">
        <v>9.6</v>
      </c>
      <c r="S39" s="12">
        <v>13.208461399999999</v>
      </c>
      <c r="T39" s="12">
        <v>22.5</v>
      </c>
      <c r="U39" s="12">
        <v>49.7766667</v>
      </c>
      <c r="V39" s="12">
        <v>1.9128000000000001</v>
      </c>
      <c r="W39" s="12">
        <v>6.7354697999999997</v>
      </c>
      <c r="X39" s="7" t="s">
        <v>107</v>
      </c>
      <c r="Y39" s="7" t="s">
        <v>107</v>
      </c>
      <c r="Z39" s="12">
        <v>-3.1101774999999998</v>
      </c>
      <c r="AA39" s="12">
        <v>58.870687199999999</v>
      </c>
      <c r="AB39" s="12">
        <v>11.804658</v>
      </c>
      <c r="AC39" s="12">
        <v>31.5464561</v>
      </c>
      <c r="AD39" s="12">
        <v>22.934423899999999</v>
      </c>
      <c r="AE39" s="12">
        <v>25.156225200000002</v>
      </c>
      <c r="AF39" s="12">
        <v>58.583237400000002</v>
      </c>
      <c r="AG39" s="12">
        <v>44.455813900000003</v>
      </c>
    </row>
    <row r="40" spans="1:33" s="11" customFormat="1" outlineLevel="1" x14ac:dyDescent="0.3">
      <c r="A40" s="11" t="s">
        <v>46</v>
      </c>
      <c r="B40" s="12">
        <v>3.7478780999999999</v>
      </c>
      <c r="C40" s="12">
        <v>85.166666699999993</v>
      </c>
      <c r="D40" s="12">
        <v>1.9837944000000001</v>
      </c>
      <c r="E40" s="17">
        <v>3.3333333000000001</v>
      </c>
      <c r="F40" s="13">
        <v>59.68</v>
      </c>
      <c r="G40" s="7" t="s">
        <v>107</v>
      </c>
      <c r="H40" s="7" t="s">
        <v>107</v>
      </c>
      <c r="I40" s="7" t="s">
        <v>107</v>
      </c>
      <c r="J40" s="12">
        <v>6.1555568000000003</v>
      </c>
      <c r="K40" s="12">
        <v>-7.8656100000000007E-2</v>
      </c>
      <c r="L40" s="12">
        <v>3.2698605000000001</v>
      </c>
      <c r="M40" s="12">
        <v>17.4190936</v>
      </c>
      <c r="N40" s="12">
        <v>6.6957395999999996</v>
      </c>
      <c r="O40" s="12">
        <v>1.4196215000000001</v>
      </c>
      <c r="P40" s="7">
        <v>20695</v>
      </c>
      <c r="Q40" s="7">
        <v>2294</v>
      </c>
      <c r="R40" s="7">
        <v>10</v>
      </c>
      <c r="S40" s="12">
        <v>14.5510359</v>
      </c>
      <c r="T40" s="12">
        <v>22.5</v>
      </c>
      <c r="U40" s="12">
        <v>51.24</v>
      </c>
      <c r="V40" s="12">
        <v>1.8786666999999999</v>
      </c>
      <c r="W40" s="12">
        <v>4.0596094000000003</v>
      </c>
      <c r="X40" s="7" t="s">
        <v>107</v>
      </c>
      <c r="Y40" s="7" t="s">
        <v>107</v>
      </c>
      <c r="Z40" s="12">
        <v>-5.1843525000000001</v>
      </c>
      <c r="AA40" s="12">
        <v>59.756140600000002</v>
      </c>
      <c r="AB40" s="12">
        <v>13.4543684</v>
      </c>
      <c r="AC40" s="12">
        <v>30.0653617</v>
      </c>
      <c r="AD40" s="12">
        <v>22.1250173</v>
      </c>
      <c r="AE40" s="12">
        <v>25.400892500000001</v>
      </c>
      <c r="AF40" s="12">
        <v>47.5177391</v>
      </c>
      <c r="AG40" s="12">
        <v>44.225354099999997</v>
      </c>
    </row>
    <row r="41" spans="1:33" s="11" customFormat="1" outlineLevel="1" x14ac:dyDescent="0.3">
      <c r="A41" s="11" t="s">
        <v>47</v>
      </c>
      <c r="B41" s="12">
        <v>3.5234725999999998</v>
      </c>
      <c r="C41" s="12">
        <v>85.39</v>
      </c>
      <c r="D41" s="12">
        <v>2.1737397000000001</v>
      </c>
      <c r="E41" s="17">
        <v>3.5833333000000001</v>
      </c>
      <c r="F41" s="13">
        <v>57.763333299999999</v>
      </c>
      <c r="G41" s="7" t="s">
        <v>107</v>
      </c>
      <c r="H41" s="7" t="s">
        <v>107</v>
      </c>
      <c r="I41" s="7" t="s">
        <v>107</v>
      </c>
      <c r="J41" s="12">
        <v>8.2026725000000003</v>
      </c>
      <c r="K41" s="12">
        <v>4.3561617999999998</v>
      </c>
      <c r="L41" s="12">
        <v>7.1693072000000004</v>
      </c>
      <c r="M41" s="12">
        <v>14.4848634</v>
      </c>
      <c r="N41" s="12">
        <v>12.251108500000001</v>
      </c>
      <c r="O41" s="12">
        <v>7.1974422999999996</v>
      </c>
      <c r="P41" s="7">
        <v>19688</v>
      </c>
      <c r="Q41" s="7">
        <v>2603</v>
      </c>
      <c r="R41" s="7">
        <v>11.7</v>
      </c>
      <c r="S41" s="12">
        <v>14.1279339</v>
      </c>
      <c r="T41" s="12">
        <v>22.5</v>
      </c>
      <c r="U41" s="12">
        <v>52.356666699999998</v>
      </c>
      <c r="V41" s="12">
        <v>1.8485</v>
      </c>
      <c r="W41" s="12">
        <v>10.9175378</v>
      </c>
      <c r="X41" s="7" t="s">
        <v>107</v>
      </c>
      <c r="Y41" s="7" t="s">
        <v>107</v>
      </c>
      <c r="Z41" s="12">
        <v>-6.9343544000000001</v>
      </c>
      <c r="AA41" s="12">
        <v>63.402045999999999</v>
      </c>
      <c r="AB41" s="12">
        <v>14.1452609</v>
      </c>
      <c r="AC41" s="12">
        <v>27.464023699999998</v>
      </c>
      <c r="AD41" s="12">
        <v>23.9590982</v>
      </c>
      <c r="AE41" s="12">
        <v>28.9704184</v>
      </c>
      <c r="AF41" s="12">
        <v>36.9618252</v>
      </c>
      <c r="AG41" s="12">
        <v>40.7077429</v>
      </c>
    </row>
    <row r="42" spans="1:33" s="11" customFormat="1" outlineLevel="1" x14ac:dyDescent="0.3">
      <c r="A42" s="11" t="s">
        <v>48</v>
      </c>
      <c r="B42" s="12">
        <v>3.1678283999999999</v>
      </c>
      <c r="C42" s="12">
        <v>86.5</v>
      </c>
      <c r="D42" s="12">
        <v>2.1331864</v>
      </c>
      <c r="E42" s="17">
        <v>3.8333333000000001</v>
      </c>
      <c r="F42" s="13">
        <v>68.583333300000007</v>
      </c>
      <c r="G42" s="7" t="s">
        <v>107</v>
      </c>
      <c r="H42" s="7" t="s">
        <v>107</v>
      </c>
      <c r="I42" s="7" t="s">
        <v>107</v>
      </c>
      <c r="J42" s="12">
        <v>3.2263725999999999</v>
      </c>
      <c r="K42" s="12">
        <v>1.8259976</v>
      </c>
      <c r="L42" s="12">
        <v>13.8080303</v>
      </c>
      <c r="M42" s="12">
        <v>-2.6014097</v>
      </c>
      <c r="N42" s="12">
        <v>9.1739853</v>
      </c>
      <c r="O42" s="12">
        <v>3.6250157999999999</v>
      </c>
      <c r="P42" s="7">
        <v>21321</v>
      </c>
      <c r="Q42" s="7">
        <v>2168</v>
      </c>
      <c r="R42" s="7">
        <v>9.1999999999999993</v>
      </c>
      <c r="S42" s="12">
        <v>14.2116182</v>
      </c>
      <c r="T42" s="12">
        <v>22.5</v>
      </c>
      <c r="U42" s="12">
        <v>53.5266667</v>
      </c>
      <c r="V42" s="12">
        <v>1.8039666999999999</v>
      </c>
      <c r="W42" s="12">
        <v>6.0050889999999999</v>
      </c>
      <c r="X42" s="7" t="s">
        <v>107</v>
      </c>
      <c r="Y42" s="7" t="s">
        <v>107</v>
      </c>
      <c r="Z42" s="12">
        <v>-6.1760789999999997</v>
      </c>
      <c r="AA42" s="12">
        <v>62.447716200000002</v>
      </c>
      <c r="AB42" s="12">
        <v>14.3051298</v>
      </c>
      <c r="AC42" s="12">
        <v>27.382980700000001</v>
      </c>
      <c r="AD42" s="12">
        <v>22.839334699999998</v>
      </c>
      <c r="AE42" s="12">
        <v>26.975166099999999</v>
      </c>
      <c r="AF42" s="12">
        <v>26.114387900000001</v>
      </c>
      <c r="AG42" s="12">
        <v>38.583805300000002</v>
      </c>
    </row>
    <row r="43" spans="1:33" s="11" customFormat="1" outlineLevel="1" x14ac:dyDescent="0.3">
      <c r="A43" s="11" t="s">
        <v>49</v>
      </c>
      <c r="B43" s="12">
        <v>3.1476855000000001</v>
      </c>
      <c r="C43" s="12">
        <v>86.6</v>
      </c>
      <c r="D43" s="12">
        <v>2.0344042999999998</v>
      </c>
      <c r="E43" s="17">
        <v>4</v>
      </c>
      <c r="F43" s="13">
        <v>74.953333299999997</v>
      </c>
      <c r="G43" s="7" t="s">
        <v>107</v>
      </c>
      <c r="H43" s="7" t="s">
        <v>107</v>
      </c>
      <c r="I43" s="7" t="s">
        <v>107</v>
      </c>
      <c r="J43" s="12">
        <v>3.6383206000000001</v>
      </c>
      <c r="K43" s="12">
        <v>6.6147606999999997</v>
      </c>
      <c r="L43" s="12">
        <v>4.2805090000000003</v>
      </c>
      <c r="M43" s="12">
        <v>4.8757761999999998</v>
      </c>
      <c r="N43" s="12">
        <v>4.0934182999999997</v>
      </c>
      <c r="O43" s="12">
        <v>12.8545216</v>
      </c>
      <c r="P43" s="7">
        <v>21525</v>
      </c>
      <c r="Q43" s="7">
        <v>2307</v>
      </c>
      <c r="R43" s="7">
        <v>9.6999999999999993</v>
      </c>
      <c r="S43" s="12">
        <v>16.6737982</v>
      </c>
      <c r="T43" s="12">
        <v>22.25</v>
      </c>
      <c r="U43" s="12">
        <v>53.33</v>
      </c>
      <c r="V43" s="12">
        <v>1.7677</v>
      </c>
      <c r="W43" s="12">
        <v>6.1577608000000001</v>
      </c>
      <c r="X43" s="7" t="s">
        <v>107</v>
      </c>
      <c r="Y43" s="7" t="s">
        <v>107</v>
      </c>
      <c r="Z43" s="12">
        <v>-3.4930686</v>
      </c>
      <c r="AA43" s="12">
        <v>61.220554399999997</v>
      </c>
      <c r="AB43" s="12">
        <v>12.0976029</v>
      </c>
      <c r="AC43" s="12">
        <v>29.483017799999999</v>
      </c>
      <c r="AD43" s="12">
        <v>21.008765199999999</v>
      </c>
      <c r="AE43" s="12">
        <v>23.809940300000001</v>
      </c>
      <c r="AF43" s="12">
        <v>31.8512536</v>
      </c>
      <c r="AG43" s="12">
        <v>38.479436200000002</v>
      </c>
    </row>
    <row r="44" spans="1:33" s="11" customFormat="1" outlineLevel="1" x14ac:dyDescent="0.3">
      <c r="A44" s="11" t="s">
        <v>50</v>
      </c>
      <c r="B44" s="12">
        <v>2.7223932</v>
      </c>
      <c r="C44" s="12">
        <v>87.72</v>
      </c>
      <c r="D44" s="12">
        <v>2.998043</v>
      </c>
      <c r="E44" s="17">
        <v>4</v>
      </c>
      <c r="F44" s="13">
        <v>88.56</v>
      </c>
      <c r="G44" s="7" t="s">
        <v>107</v>
      </c>
      <c r="H44" s="7" t="s">
        <v>107</v>
      </c>
      <c r="I44" s="7" t="s">
        <v>107</v>
      </c>
      <c r="J44" s="12">
        <v>5.5480457999999997</v>
      </c>
      <c r="K44" s="12">
        <v>8.1008381000000007</v>
      </c>
      <c r="L44" s="12">
        <v>3.2335633000000001</v>
      </c>
      <c r="M44" s="12">
        <v>11.3379501</v>
      </c>
      <c r="N44" s="12">
        <v>3.2202008000000002</v>
      </c>
      <c r="O44" s="12">
        <v>15.0907275</v>
      </c>
      <c r="P44" s="7">
        <v>20466</v>
      </c>
      <c r="Q44" s="7">
        <v>2395</v>
      </c>
      <c r="R44" s="7">
        <v>10.5</v>
      </c>
      <c r="S44" s="12">
        <v>13.8952163</v>
      </c>
      <c r="T44" s="12">
        <v>20</v>
      </c>
      <c r="U44" s="12">
        <v>55.423333300000003</v>
      </c>
      <c r="V44" s="12">
        <v>1.7260667000000001</v>
      </c>
      <c r="W44" s="12">
        <v>5.4814815000000001</v>
      </c>
      <c r="X44" s="7" t="s">
        <v>107</v>
      </c>
      <c r="Y44" s="7" t="s">
        <v>107</v>
      </c>
      <c r="Z44" s="12">
        <v>-5.8818945999999999</v>
      </c>
      <c r="AA44" s="12">
        <v>61.5636352</v>
      </c>
      <c r="AB44" s="12">
        <v>13.259728900000001</v>
      </c>
      <c r="AC44" s="12">
        <v>29.703509</v>
      </c>
      <c r="AD44" s="12">
        <v>20.290391700000001</v>
      </c>
      <c r="AE44" s="12">
        <v>24.817264900000001</v>
      </c>
      <c r="AF44" s="12">
        <v>37.502378100000001</v>
      </c>
      <c r="AG44" s="12">
        <v>37.758742699999999</v>
      </c>
    </row>
    <row r="45" spans="1:33" s="11" customFormat="1" outlineLevel="1" x14ac:dyDescent="0.3">
      <c r="A45" s="11" t="s">
        <v>51</v>
      </c>
      <c r="B45" s="12">
        <v>1.9060995000000001</v>
      </c>
      <c r="C45" s="12">
        <v>88.42</v>
      </c>
      <c r="D45" s="12">
        <v>3.5484249000000001</v>
      </c>
      <c r="E45" s="17">
        <v>4</v>
      </c>
      <c r="F45" s="13">
        <v>96.936666700000004</v>
      </c>
      <c r="G45" s="7" t="s">
        <v>107</v>
      </c>
      <c r="H45" s="7" t="s">
        <v>107</v>
      </c>
      <c r="I45" s="7" t="s">
        <v>107</v>
      </c>
      <c r="J45" s="12">
        <v>7.2505837</v>
      </c>
      <c r="K45" s="12">
        <v>6.4579620999999996</v>
      </c>
      <c r="L45" s="12">
        <v>7.2539775999999998</v>
      </c>
      <c r="M45" s="12">
        <v>11.442989499999999</v>
      </c>
      <c r="N45" s="12">
        <v>13.0173866</v>
      </c>
      <c r="O45" s="12">
        <v>14.2538245</v>
      </c>
      <c r="P45" s="7">
        <v>19864</v>
      </c>
      <c r="Q45" s="7">
        <v>2677</v>
      </c>
      <c r="R45" s="7">
        <v>11.9</v>
      </c>
      <c r="S45" s="12">
        <v>14.5564515</v>
      </c>
      <c r="T45" s="12">
        <v>19.25</v>
      </c>
      <c r="U45" s="12">
        <v>56.9733333</v>
      </c>
      <c r="V45" s="12">
        <v>1.8087667000000001</v>
      </c>
      <c r="W45" s="12">
        <v>7.748691</v>
      </c>
      <c r="X45" s="7" t="s">
        <v>107</v>
      </c>
      <c r="Y45" s="7" t="s">
        <v>107</v>
      </c>
      <c r="Z45" s="12">
        <v>-6.6925226000000002</v>
      </c>
      <c r="AA45" s="12">
        <v>63.403146599999999</v>
      </c>
      <c r="AB45" s="12">
        <v>14.1757624</v>
      </c>
      <c r="AC45" s="12">
        <v>27.5149519</v>
      </c>
      <c r="AD45" s="12">
        <v>24.570584799999999</v>
      </c>
      <c r="AE45" s="12">
        <v>29.664445600000001</v>
      </c>
      <c r="AF45" s="12">
        <v>41.0033162</v>
      </c>
      <c r="AG45" s="12">
        <v>35.511741899999997</v>
      </c>
    </row>
    <row r="46" spans="1:33" s="11" customFormat="1" outlineLevel="1" x14ac:dyDescent="0.3">
      <c r="A46" s="11" t="s">
        <v>52</v>
      </c>
      <c r="B46" s="12">
        <v>1.9101475000000001</v>
      </c>
      <c r="C46" s="12">
        <v>89.906666700000002</v>
      </c>
      <c r="D46" s="12">
        <v>3.9383430000000001</v>
      </c>
      <c r="E46" s="17">
        <v>4</v>
      </c>
      <c r="F46" s="13">
        <v>121.3966667</v>
      </c>
      <c r="G46" s="7" t="s">
        <v>107</v>
      </c>
      <c r="H46" s="7" t="s">
        <v>107</v>
      </c>
      <c r="I46" s="7" t="s">
        <v>107</v>
      </c>
      <c r="J46" s="12">
        <v>2.2524424000000001</v>
      </c>
      <c r="K46" s="12">
        <v>0.71588039999999997</v>
      </c>
      <c r="L46" s="12">
        <v>-2.2733370000000002</v>
      </c>
      <c r="M46" s="12">
        <v>6.8995401999999997</v>
      </c>
      <c r="N46" s="12">
        <v>4.6652431999999999</v>
      </c>
      <c r="O46" s="12">
        <v>3.0472012999999998</v>
      </c>
      <c r="P46" s="7">
        <v>21842</v>
      </c>
      <c r="Q46" s="7">
        <v>2203</v>
      </c>
      <c r="R46" s="7">
        <v>9.1999999999999993</v>
      </c>
      <c r="S46" s="12">
        <v>13.4812508</v>
      </c>
      <c r="T46" s="12">
        <v>20.25</v>
      </c>
      <c r="U46" s="12">
        <v>59.063333299999996</v>
      </c>
      <c r="V46" s="12">
        <v>1.9704667</v>
      </c>
      <c r="W46" s="12">
        <v>4.2726837</v>
      </c>
      <c r="X46" s="7" t="s">
        <v>107</v>
      </c>
      <c r="Y46" s="7" t="s">
        <v>107</v>
      </c>
      <c r="Z46" s="12">
        <v>-7.5675590000000001</v>
      </c>
      <c r="AA46" s="12">
        <v>61.044678699999999</v>
      </c>
      <c r="AB46" s="12">
        <v>13.1500865</v>
      </c>
      <c r="AC46" s="12">
        <v>31.1622144</v>
      </c>
      <c r="AD46" s="12">
        <v>23.8816062</v>
      </c>
      <c r="AE46" s="12">
        <v>29.238581799999999</v>
      </c>
      <c r="AF46" s="12">
        <v>39.525894200000003</v>
      </c>
      <c r="AG46" s="12">
        <v>35.1476854</v>
      </c>
    </row>
    <row r="47" spans="1:33" s="11" customFormat="1" outlineLevel="1" x14ac:dyDescent="0.3">
      <c r="A47" s="11" t="s">
        <v>53</v>
      </c>
      <c r="B47" s="12">
        <v>0.87131639999999999</v>
      </c>
      <c r="C47" s="12">
        <v>90.323333300000002</v>
      </c>
      <c r="D47" s="12">
        <v>4.2994611000000003</v>
      </c>
      <c r="E47" s="17">
        <v>4.25</v>
      </c>
      <c r="F47" s="13">
        <v>114.3966667</v>
      </c>
      <c r="G47" s="7" t="s">
        <v>107</v>
      </c>
      <c r="H47" s="7" t="s">
        <v>107</v>
      </c>
      <c r="I47" s="7" t="s">
        <v>107</v>
      </c>
      <c r="J47" s="12">
        <v>0.99271869999999995</v>
      </c>
      <c r="K47" s="12">
        <v>0.55443120000000001</v>
      </c>
      <c r="L47" s="12">
        <v>5.2990542999999999</v>
      </c>
      <c r="M47" s="12">
        <v>-5.7867090000000001</v>
      </c>
      <c r="N47" s="12">
        <v>5.1389731999999997</v>
      </c>
      <c r="O47" s="12">
        <v>-2.6899924999999998</v>
      </c>
      <c r="P47" s="7">
        <v>22068</v>
      </c>
      <c r="Q47" s="7">
        <v>2502</v>
      </c>
      <c r="R47" s="7">
        <v>10.199999999999999</v>
      </c>
      <c r="S47" s="12">
        <v>9.9511002000000008</v>
      </c>
      <c r="T47" s="12">
        <v>20.25</v>
      </c>
      <c r="U47" s="12">
        <v>59.5433333</v>
      </c>
      <c r="V47" s="12">
        <v>1.8213333</v>
      </c>
      <c r="W47" s="12">
        <v>-1.1025886</v>
      </c>
      <c r="X47" s="7" t="s">
        <v>107</v>
      </c>
      <c r="Y47" s="7" t="s">
        <v>107</v>
      </c>
      <c r="Z47" s="12">
        <v>-3.2385088999999998</v>
      </c>
      <c r="AA47" s="12">
        <v>59.479616399999998</v>
      </c>
      <c r="AB47" s="12">
        <v>12.7754265</v>
      </c>
      <c r="AC47" s="12">
        <v>30.310866099999998</v>
      </c>
      <c r="AD47" s="12">
        <v>23.114611400000001</v>
      </c>
      <c r="AE47" s="12">
        <v>25.680516699999998</v>
      </c>
      <c r="AF47" s="12">
        <v>37.639681899999999</v>
      </c>
      <c r="AG47" s="12">
        <v>35.480846999999997</v>
      </c>
    </row>
    <row r="48" spans="1:33" s="11" customFormat="1" outlineLevel="1" x14ac:dyDescent="0.3">
      <c r="A48" s="11" t="s">
        <v>54</v>
      </c>
      <c r="B48" s="12">
        <v>-1.9881508000000001</v>
      </c>
      <c r="C48" s="12">
        <v>90.23</v>
      </c>
      <c r="D48" s="12">
        <v>2.8613770999999999</v>
      </c>
      <c r="E48" s="17">
        <v>3.1666666999999999</v>
      </c>
      <c r="F48" s="13">
        <v>54.66</v>
      </c>
      <c r="G48" s="7" t="s">
        <v>107</v>
      </c>
      <c r="H48" s="7" t="s">
        <v>107</v>
      </c>
      <c r="I48" s="7" t="s">
        <v>107</v>
      </c>
      <c r="J48" s="12">
        <v>-6.0217844999999999</v>
      </c>
      <c r="K48" s="12">
        <v>-5.6280339000000001</v>
      </c>
      <c r="L48" s="12">
        <v>4.3471941999999997</v>
      </c>
      <c r="M48" s="12">
        <v>-25.687206400000001</v>
      </c>
      <c r="N48" s="12">
        <v>-6.6708388000000003</v>
      </c>
      <c r="O48" s="12">
        <v>-23.555608200000002</v>
      </c>
      <c r="P48" s="7">
        <v>20999</v>
      </c>
      <c r="Q48" s="7">
        <v>3037</v>
      </c>
      <c r="R48" s="7">
        <v>12.6</v>
      </c>
      <c r="S48" s="12">
        <v>5.1529411999999999</v>
      </c>
      <c r="T48" s="12">
        <v>17.5</v>
      </c>
      <c r="U48" s="12">
        <v>61.483333299999998</v>
      </c>
      <c r="V48" s="12">
        <v>2.0282667000000001</v>
      </c>
      <c r="W48" s="12">
        <v>-12.172284700000001</v>
      </c>
      <c r="X48" s="7" t="s">
        <v>107</v>
      </c>
      <c r="Y48" s="7" t="s">
        <v>107</v>
      </c>
      <c r="Z48" s="12">
        <v>-3.4954504000000002</v>
      </c>
      <c r="AA48" s="12">
        <v>60.818463399999999</v>
      </c>
      <c r="AB48" s="12">
        <v>14.390784699999999</v>
      </c>
      <c r="AC48" s="12">
        <v>25.800318900000001</v>
      </c>
      <c r="AD48" s="12">
        <v>22.8841435</v>
      </c>
      <c r="AE48" s="12">
        <v>23.8937104</v>
      </c>
      <c r="AF48" s="12">
        <v>23.898307800000001</v>
      </c>
      <c r="AG48" s="12">
        <v>37.7480276</v>
      </c>
    </row>
    <row r="49" spans="1:33" s="11" customFormat="1" outlineLevel="1" x14ac:dyDescent="0.3">
      <c r="A49" s="11" t="s">
        <v>55</v>
      </c>
      <c r="B49" s="12">
        <v>-5.4359460999999998</v>
      </c>
      <c r="C49" s="12">
        <v>89.88</v>
      </c>
      <c r="D49" s="12">
        <v>1.6512100999999999</v>
      </c>
      <c r="E49" s="17">
        <v>1.8333333000000001</v>
      </c>
      <c r="F49" s="13">
        <v>44.433333300000001</v>
      </c>
      <c r="G49" s="7" t="s">
        <v>107</v>
      </c>
      <c r="H49" s="7" t="s">
        <v>107</v>
      </c>
      <c r="I49" s="7" t="s">
        <v>107</v>
      </c>
      <c r="J49" s="12">
        <v>-14.5409145</v>
      </c>
      <c r="K49" s="12">
        <v>-9.2490503999999998</v>
      </c>
      <c r="L49" s="12">
        <v>0.3529138</v>
      </c>
      <c r="M49" s="12">
        <v>-55.750420699999999</v>
      </c>
      <c r="N49" s="12">
        <v>-15.4876109</v>
      </c>
      <c r="O49" s="12">
        <v>-35.060296700000002</v>
      </c>
      <c r="P49" s="7">
        <v>19779</v>
      </c>
      <c r="Q49" s="7">
        <v>3802</v>
      </c>
      <c r="R49" s="7">
        <v>16.100000000000001</v>
      </c>
      <c r="S49" s="12">
        <v>-3.2617620999999999</v>
      </c>
      <c r="T49" s="12">
        <v>13</v>
      </c>
      <c r="U49" s="12">
        <v>61.743333300000003</v>
      </c>
      <c r="V49" s="12">
        <v>2.1617666999999998</v>
      </c>
      <c r="W49" s="12">
        <v>-22.303207</v>
      </c>
      <c r="X49" s="7" t="s">
        <v>107</v>
      </c>
      <c r="Y49" s="7" t="s">
        <v>107</v>
      </c>
      <c r="Z49" s="12">
        <v>-1.3709216</v>
      </c>
      <c r="AA49" s="12">
        <v>64.319571400000001</v>
      </c>
      <c r="AB49" s="12">
        <v>16.307281700000001</v>
      </c>
      <c r="AC49" s="12">
        <v>18.2320733</v>
      </c>
      <c r="AD49" s="12">
        <v>25.451433099999999</v>
      </c>
      <c r="AE49" s="12">
        <v>24.3103549</v>
      </c>
      <c r="AF49" s="12">
        <v>13.8244706</v>
      </c>
      <c r="AG49" s="12">
        <v>40.451831499999997</v>
      </c>
    </row>
    <row r="50" spans="1:33" s="11" customFormat="1" outlineLevel="1" x14ac:dyDescent="0.3">
      <c r="A50" s="11" t="s">
        <v>56</v>
      </c>
      <c r="B50" s="12">
        <v>-5.8020649999999998</v>
      </c>
      <c r="C50" s="12">
        <v>90.723333299999993</v>
      </c>
      <c r="D50" s="12">
        <v>0.90834930000000003</v>
      </c>
      <c r="E50" s="17">
        <v>1.0833333000000001</v>
      </c>
      <c r="F50" s="13">
        <v>58.696666700000002</v>
      </c>
      <c r="G50" s="7" t="s">
        <v>107</v>
      </c>
      <c r="H50" s="7" t="s">
        <v>107</v>
      </c>
      <c r="I50" s="7" t="s">
        <v>107</v>
      </c>
      <c r="J50" s="12">
        <v>-6.8090482000000003</v>
      </c>
      <c r="K50" s="12">
        <v>-3.2626134000000002</v>
      </c>
      <c r="L50" s="12">
        <v>4.6771617000000001</v>
      </c>
      <c r="M50" s="12">
        <v>-28.785483500000002</v>
      </c>
      <c r="N50" s="12">
        <v>-9.0428534000000003</v>
      </c>
      <c r="O50" s="12">
        <v>-19.4187853</v>
      </c>
      <c r="P50" s="7">
        <v>21455</v>
      </c>
      <c r="Q50" s="7">
        <v>3382</v>
      </c>
      <c r="R50" s="7">
        <v>13.6</v>
      </c>
      <c r="S50" s="12">
        <v>-3.8874913000000002</v>
      </c>
      <c r="T50" s="12">
        <v>11.25</v>
      </c>
      <c r="U50" s="12">
        <v>62.426666699999998</v>
      </c>
      <c r="V50" s="12">
        <v>2.1400999999999999</v>
      </c>
      <c r="W50" s="12">
        <v>-15.285451200000001</v>
      </c>
      <c r="X50" s="7" t="s">
        <v>107</v>
      </c>
      <c r="Y50" s="7" t="s">
        <v>107</v>
      </c>
      <c r="Z50" s="12">
        <v>-3.1323585</v>
      </c>
      <c r="AA50" s="12">
        <v>62.482339799999998</v>
      </c>
      <c r="AB50" s="12">
        <v>15.5016891</v>
      </c>
      <c r="AC50" s="12">
        <v>23.100323800000002</v>
      </c>
      <c r="AD50" s="12">
        <v>22.279617600000002</v>
      </c>
      <c r="AE50" s="12">
        <v>23.363970299999998</v>
      </c>
      <c r="AF50" s="12">
        <v>9.3014334000000005</v>
      </c>
      <c r="AG50" s="12">
        <v>40.362927999999997</v>
      </c>
    </row>
    <row r="51" spans="1:33" s="11" customFormat="1" outlineLevel="1" x14ac:dyDescent="0.3">
      <c r="A51" s="11" t="s">
        <v>57</v>
      </c>
      <c r="B51" s="12">
        <v>-4.1677857999999999</v>
      </c>
      <c r="C51" s="12">
        <v>90.663333300000005</v>
      </c>
      <c r="D51" s="12">
        <v>0.37642540000000002</v>
      </c>
      <c r="E51" s="17">
        <v>1</v>
      </c>
      <c r="F51" s="13">
        <v>68.2</v>
      </c>
      <c r="G51" s="7" t="s">
        <v>107</v>
      </c>
      <c r="H51" s="7" t="s">
        <v>107</v>
      </c>
      <c r="I51" s="7" t="s">
        <v>107</v>
      </c>
      <c r="J51" s="12">
        <v>-1.5703729</v>
      </c>
      <c r="K51" s="12">
        <v>-3.2538562</v>
      </c>
      <c r="L51" s="12">
        <v>5.7553019000000001</v>
      </c>
      <c r="M51" s="12">
        <v>-10.974103700000001</v>
      </c>
      <c r="N51" s="12">
        <v>4.0352182000000001</v>
      </c>
      <c r="O51" s="12">
        <v>-7.8296894000000004</v>
      </c>
      <c r="P51" s="7">
        <v>22108</v>
      </c>
      <c r="Q51" s="7">
        <v>3429</v>
      </c>
      <c r="R51" s="7">
        <v>13.4</v>
      </c>
      <c r="S51" s="12">
        <v>-2.7018011999999998</v>
      </c>
      <c r="T51" s="12">
        <v>9.75</v>
      </c>
      <c r="U51" s="12">
        <v>62.7233333</v>
      </c>
      <c r="V51" s="12">
        <v>2.1441667</v>
      </c>
      <c r="W51" s="12">
        <v>-8.3373729000000001</v>
      </c>
      <c r="X51" s="7" t="s">
        <v>107</v>
      </c>
      <c r="Y51" s="7" t="s">
        <v>107</v>
      </c>
      <c r="Z51" s="12">
        <v>-0.65413940000000004</v>
      </c>
      <c r="AA51" s="12">
        <v>59.733892500000003</v>
      </c>
      <c r="AB51" s="12">
        <v>14.0480254</v>
      </c>
      <c r="AC51" s="12">
        <v>25.236887100000001</v>
      </c>
      <c r="AD51" s="12">
        <v>23.6069052</v>
      </c>
      <c r="AE51" s="12">
        <v>22.625706600000001</v>
      </c>
      <c r="AF51" s="12">
        <v>4.5298236999999997</v>
      </c>
      <c r="AG51" s="12">
        <v>42.413053699999999</v>
      </c>
    </row>
    <row r="52" spans="1:33" s="11" customFormat="1" outlineLevel="1" x14ac:dyDescent="0.3">
      <c r="A52" s="11" t="s">
        <v>58</v>
      </c>
      <c r="B52" s="12">
        <v>-1.8288317999999999</v>
      </c>
      <c r="C52" s="12">
        <v>91.146666699999997</v>
      </c>
      <c r="D52" s="12">
        <v>1.0159222999999999</v>
      </c>
      <c r="E52" s="17">
        <v>1</v>
      </c>
      <c r="F52" s="13">
        <v>74.63</v>
      </c>
      <c r="G52" s="7" t="s">
        <v>107</v>
      </c>
      <c r="H52" s="7" t="s">
        <v>107</v>
      </c>
      <c r="I52" s="7" t="s">
        <v>107</v>
      </c>
      <c r="J52" s="12">
        <v>2.9747347</v>
      </c>
      <c r="K52" s="12">
        <v>0.78224119999999997</v>
      </c>
      <c r="L52" s="12">
        <v>20.3903584</v>
      </c>
      <c r="M52" s="12">
        <v>1.9028145999999999</v>
      </c>
      <c r="N52" s="12">
        <v>7.3109289000000004</v>
      </c>
      <c r="O52" s="12">
        <v>10.966905300000001</v>
      </c>
      <c r="P52" s="7">
        <v>21741</v>
      </c>
      <c r="Q52" s="7">
        <v>3270</v>
      </c>
      <c r="R52" s="7">
        <v>13.1</v>
      </c>
      <c r="S52" s="12">
        <v>2.1816962000000002</v>
      </c>
      <c r="T52" s="12">
        <v>9</v>
      </c>
      <c r="U52" s="12">
        <v>64.996666700000006</v>
      </c>
      <c r="V52" s="12">
        <v>2.2032666999999999</v>
      </c>
      <c r="W52" s="12">
        <v>8.3155649999999994</v>
      </c>
      <c r="X52" s="7" t="s">
        <v>107</v>
      </c>
      <c r="Y52" s="7" t="s">
        <v>107</v>
      </c>
      <c r="Z52" s="12">
        <v>-2.3517682999999998</v>
      </c>
      <c r="AA52" s="12">
        <v>60.479286399999999</v>
      </c>
      <c r="AB52" s="12">
        <v>16.887112900000002</v>
      </c>
      <c r="AC52" s="12">
        <v>23.6991339</v>
      </c>
      <c r="AD52" s="12">
        <v>22.492895300000001</v>
      </c>
      <c r="AE52" s="12">
        <v>23.5584284</v>
      </c>
      <c r="AF52" s="12">
        <v>10.473527000000001</v>
      </c>
      <c r="AG52" s="12">
        <v>43.437326499999998</v>
      </c>
    </row>
    <row r="53" spans="1:33" s="11" customFormat="1" outlineLevel="1" x14ac:dyDescent="0.3">
      <c r="A53" s="11" t="s">
        <v>59</v>
      </c>
      <c r="B53" s="12">
        <v>1.1991562</v>
      </c>
      <c r="C53" s="12">
        <v>91.416666699999993</v>
      </c>
      <c r="D53" s="12">
        <v>1.709687</v>
      </c>
      <c r="E53" s="17">
        <v>1</v>
      </c>
      <c r="F53" s="13">
        <v>76.25</v>
      </c>
      <c r="G53" s="7" t="s">
        <v>107</v>
      </c>
      <c r="H53" s="7" t="s">
        <v>107</v>
      </c>
      <c r="I53" s="7" t="s">
        <v>107</v>
      </c>
      <c r="J53" s="12">
        <v>6.9203774999999998</v>
      </c>
      <c r="K53" s="12">
        <v>6.8124973999999998</v>
      </c>
      <c r="L53" s="12">
        <v>9.0835705999999998</v>
      </c>
      <c r="M53" s="12">
        <v>35.2814628</v>
      </c>
      <c r="N53" s="12">
        <v>-5.2198403000000004</v>
      </c>
      <c r="O53" s="12">
        <v>16.398463</v>
      </c>
      <c r="P53" s="7">
        <v>21267</v>
      </c>
      <c r="Q53" s="7">
        <v>3564</v>
      </c>
      <c r="R53" s="7">
        <v>14.4</v>
      </c>
      <c r="S53" s="12">
        <v>11.182534800000001</v>
      </c>
      <c r="T53" s="12">
        <v>7</v>
      </c>
      <c r="U53" s="12">
        <v>67.483333299999998</v>
      </c>
      <c r="V53" s="12">
        <v>2.0868332999999999</v>
      </c>
      <c r="W53" s="12">
        <v>14.0712946</v>
      </c>
      <c r="X53" s="7" t="s">
        <v>107</v>
      </c>
      <c r="Y53" s="7" t="s">
        <v>107</v>
      </c>
      <c r="Z53" s="12">
        <v>-5.7294529000000001</v>
      </c>
      <c r="AA53" s="12">
        <v>65.264760600000002</v>
      </c>
      <c r="AB53" s="12">
        <v>15.821319000000001</v>
      </c>
      <c r="AC53" s="12">
        <v>22.974850799999999</v>
      </c>
      <c r="AD53" s="12">
        <v>21.5840277</v>
      </c>
      <c r="AE53" s="12">
        <v>25.644958200000001</v>
      </c>
      <c r="AF53" s="12">
        <v>17.692274399999999</v>
      </c>
      <c r="AG53" s="12">
        <v>38.357088699999998</v>
      </c>
    </row>
    <row r="54" spans="1:33" s="11" customFormat="1" outlineLevel="1" x14ac:dyDescent="0.3">
      <c r="A54" s="11" t="s">
        <v>60</v>
      </c>
      <c r="B54" s="12">
        <v>2.6157658000000001</v>
      </c>
      <c r="C54" s="12">
        <v>92.57</v>
      </c>
      <c r="D54" s="12">
        <v>2.0354926</v>
      </c>
      <c r="E54" s="17">
        <v>1</v>
      </c>
      <c r="F54" s="13">
        <v>78.510000000000005</v>
      </c>
      <c r="G54" s="7" t="s">
        <v>107</v>
      </c>
      <c r="H54" s="7" t="s">
        <v>107</v>
      </c>
      <c r="I54" s="7" t="s">
        <v>107</v>
      </c>
      <c r="J54" s="12">
        <v>8.0778046999999997</v>
      </c>
      <c r="K54" s="12">
        <v>8.7312107999999995</v>
      </c>
      <c r="L54" s="12">
        <v>0.320712</v>
      </c>
      <c r="M54" s="12">
        <v>23.642589000000001</v>
      </c>
      <c r="N54" s="12">
        <v>10.788529799999999</v>
      </c>
      <c r="O54" s="12">
        <v>22.1885108</v>
      </c>
      <c r="P54" s="7">
        <v>23055</v>
      </c>
      <c r="Q54" s="7">
        <v>2846</v>
      </c>
      <c r="R54" s="7">
        <v>11</v>
      </c>
      <c r="S54" s="12">
        <v>15.798239199999999</v>
      </c>
      <c r="T54" s="12">
        <v>7</v>
      </c>
      <c r="U54" s="12">
        <v>68.183333300000001</v>
      </c>
      <c r="V54" s="12">
        <v>1.9572000000000001</v>
      </c>
      <c r="W54" s="12">
        <v>12.717391299999999</v>
      </c>
      <c r="X54" s="7" t="s">
        <v>107</v>
      </c>
      <c r="Y54" s="7" t="s">
        <v>107</v>
      </c>
      <c r="Z54" s="12">
        <v>-5.5155504999999998</v>
      </c>
      <c r="AA54" s="12">
        <v>62.814805300000003</v>
      </c>
      <c r="AB54" s="12">
        <v>14.987257400000001</v>
      </c>
      <c r="AC54" s="12">
        <v>26.116238899999999</v>
      </c>
      <c r="AD54" s="12">
        <v>22.400914799999999</v>
      </c>
      <c r="AE54" s="12">
        <v>26.3192129</v>
      </c>
      <c r="AF54" s="12">
        <v>22.3489422</v>
      </c>
      <c r="AG54" s="12">
        <v>38.396423599999999</v>
      </c>
    </row>
    <row r="55" spans="1:33" s="11" customFormat="1" outlineLevel="1" x14ac:dyDescent="0.3">
      <c r="A55" s="11" t="s">
        <v>61</v>
      </c>
      <c r="B55" s="12">
        <v>2.4618717000000001</v>
      </c>
      <c r="C55" s="12">
        <v>92.583333300000007</v>
      </c>
      <c r="D55" s="12">
        <v>2.1177248999999998</v>
      </c>
      <c r="E55" s="17">
        <v>1</v>
      </c>
      <c r="F55" s="13">
        <v>76.819999999999993</v>
      </c>
      <c r="G55" s="7" t="s">
        <v>107</v>
      </c>
      <c r="H55" s="7" t="s">
        <v>107</v>
      </c>
      <c r="I55" s="7" t="s">
        <v>107</v>
      </c>
      <c r="J55" s="12">
        <v>8.6850263999999999</v>
      </c>
      <c r="K55" s="12">
        <v>14.611702899999999</v>
      </c>
      <c r="L55" s="12">
        <v>1.5272648</v>
      </c>
      <c r="M55" s="12">
        <v>15.641308</v>
      </c>
      <c r="N55" s="12">
        <v>-1.9839659000000001</v>
      </c>
      <c r="O55" s="12">
        <v>16.110467799999999</v>
      </c>
      <c r="P55" s="7">
        <v>23195</v>
      </c>
      <c r="Q55" s="7">
        <v>2971</v>
      </c>
      <c r="R55" s="7">
        <v>11.4</v>
      </c>
      <c r="S55" s="12">
        <v>17.563707000000001</v>
      </c>
      <c r="T55" s="12">
        <v>7</v>
      </c>
      <c r="U55" s="12">
        <v>67.98</v>
      </c>
      <c r="V55" s="12">
        <v>1.9560333000000001</v>
      </c>
      <c r="W55" s="12">
        <v>11.263881599999999</v>
      </c>
      <c r="X55" s="7" t="s">
        <v>107</v>
      </c>
      <c r="Y55" s="7" t="s">
        <v>107</v>
      </c>
      <c r="Z55" s="12">
        <v>-4.4917204999999996</v>
      </c>
      <c r="AA55" s="12">
        <v>61.919397600000003</v>
      </c>
      <c r="AB55" s="12">
        <v>13.4526729</v>
      </c>
      <c r="AC55" s="12">
        <v>27.827496</v>
      </c>
      <c r="AD55" s="12">
        <v>20.622012000000002</v>
      </c>
      <c r="AE55" s="12">
        <v>23.821581599999998</v>
      </c>
      <c r="AF55" s="12">
        <v>28.230607500000001</v>
      </c>
      <c r="AG55" s="12">
        <v>38.582273200000003</v>
      </c>
    </row>
    <row r="56" spans="1:33" s="11" customFormat="1" outlineLevel="1" x14ac:dyDescent="0.3">
      <c r="A56" s="11" t="s">
        <v>62</v>
      </c>
      <c r="B56" s="12">
        <v>2.3931737000000002</v>
      </c>
      <c r="C56" s="12">
        <v>93.383333300000004</v>
      </c>
      <c r="D56" s="12">
        <v>2.4539203000000001</v>
      </c>
      <c r="E56" s="17">
        <v>1</v>
      </c>
      <c r="F56" s="13">
        <v>86.466666700000005</v>
      </c>
      <c r="G56" s="7" t="s">
        <v>107</v>
      </c>
      <c r="H56" s="7" t="s">
        <v>107</v>
      </c>
      <c r="I56" s="7" t="s">
        <v>107</v>
      </c>
      <c r="J56" s="12">
        <v>9.6699202999999994</v>
      </c>
      <c r="K56" s="12">
        <v>12.951824200000001</v>
      </c>
      <c r="L56" s="12">
        <v>-2.3914547000000002</v>
      </c>
      <c r="M56" s="12">
        <v>28.4337971</v>
      </c>
      <c r="N56" s="12">
        <v>3.8275356999999999</v>
      </c>
      <c r="O56" s="12">
        <v>22.3567803</v>
      </c>
      <c r="P56" s="7">
        <v>22854</v>
      </c>
      <c r="Q56" s="7">
        <v>2811</v>
      </c>
      <c r="R56" s="7">
        <v>11</v>
      </c>
      <c r="S56" s="12">
        <v>18.372933400000001</v>
      </c>
      <c r="T56" s="12">
        <v>6.5</v>
      </c>
      <c r="U56" s="12">
        <v>69.823333300000002</v>
      </c>
      <c r="V56" s="12">
        <v>1.9892000000000001</v>
      </c>
      <c r="W56" s="12">
        <v>14.3700788</v>
      </c>
      <c r="X56" s="7" t="s">
        <v>107</v>
      </c>
      <c r="Y56" s="7" t="s">
        <v>107</v>
      </c>
      <c r="Z56" s="12">
        <v>-7.4848806000000003</v>
      </c>
      <c r="AA56" s="12">
        <v>61.385049500000001</v>
      </c>
      <c r="AB56" s="12">
        <v>15.4768013</v>
      </c>
      <c r="AC56" s="12">
        <v>29.056566199999999</v>
      </c>
      <c r="AD56" s="12">
        <v>20.4254803</v>
      </c>
      <c r="AE56" s="12">
        <v>26.343897500000001</v>
      </c>
      <c r="AF56" s="12">
        <v>32.899744900000002</v>
      </c>
      <c r="AG56" s="12">
        <v>39.7072796</v>
      </c>
    </row>
    <row r="57" spans="1:33" s="11" customFormat="1" outlineLevel="1" x14ac:dyDescent="0.3">
      <c r="A57" s="11" t="s">
        <v>63</v>
      </c>
      <c r="B57" s="12">
        <v>3.2110127999999998</v>
      </c>
      <c r="C57" s="12">
        <v>94.073333300000002</v>
      </c>
      <c r="D57" s="12">
        <v>2.9061075000000001</v>
      </c>
      <c r="E57" s="17">
        <v>1</v>
      </c>
      <c r="F57" s="13">
        <v>104.96</v>
      </c>
      <c r="G57" s="7" t="s">
        <v>107</v>
      </c>
      <c r="H57" s="7" t="s">
        <v>107</v>
      </c>
      <c r="I57" s="7" t="s">
        <v>107</v>
      </c>
      <c r="J57" s="12">
        <v>11.8019345</v>
      </c>
      <c r="K57" s="12">
        <v>17.2746882</v>
      </c>
      <c r="L57" s="12">
        <v>-4.9184979999999996</v>
      </c>
      <c r="M57" s="12">
        <v>31.982232400000001</v>
      </c>
      <c r="N57" s="12">
        <v>9.4739584000000008</v>
      </c>
      <c r="O57" s="12">
        <v>31.332293799999999</v>
      </c>
      <c r="P57" s="7">
        <v>22802</v>
      </c>
      <c r="Q57" s="7">
        <v>2964</v>
      </c>
      <c r="R57" s="7">
        <v>11.5</v>
      </c>
      <c r="S57" s="12">
        <v>16.766663000000001</v>
      </c>
      <c r="T57" s="12">
        <v>6.25</v>
      </c>
      <c r="U57" s="12">
        <v>70.413333300000005</v>
      </c>
      <c r="V57" s="12">
        <v>2.1576333000000001</v>
      </c>
      <c r="W57" s="12">
        <v>19.627192900000001</v>
      </c>
      <c r="X57" s="12">
        <v>20.9887853</v>
      </c>
      <c r="Y57" s="12">
        <v>45.027336900000002</v>
      </c>
      <c r="Z57" s="12">
        <v>-11.4963768</v>
      </c>
      <c r="AA57" s="12">
        <v>66.177127900000002</v>
      </c>
      <c r="AB57" s="12">
        <v>14.530669</v>
      </c>
      <c r="AC57" s="12">
        <v>28.716910500000001</v>
      </c>
      <c r="AD57" s="12">
        <v>22.310991999999999</v>
      </c>
      <c r="AE57" s="12">
        <v>31.735696099999998</v>
      </c>
      <c r="AF57" s="12">
        <v>35.410924700000002</v>
      </c>
      <c r="AG57" s="12">
        <v>33.786473899999997</v>
      </c>
    </row>
    <row r="58" spans="1:33" s="11" customFormat="1" outlineLevel="1" x14ac:dyDescent="0.3">
      <c r="A58" s="11" t="s">
        <v>64</v>
      </c>
      <c r="B58" s="12">
        <v>2.1036085</v>
      </c>
      <c r="C58" s="12">
        <v>95.516666700000002</v>
      </c>
      <c r="D58" s="12">
        <v>3.1831767000000002</v>
      </c>
      <c r="E58" s="17">
        <v>1.25</v>
      </c>
      <c r="F58" s="13">
        <v>117.36</v>
      </c>
      <c r="G58" s="7" t="s">
        <v>107</v>
      </c>
      <c r="H58" s="7" t="s">
        <v>107</v>
      </c>
      <c r="I58" s="7" t="s">
        <v>107</v>
      </c>
      <c r="J58" s="12">
        <v>11.5437862</v>
      </c>
      <c r="K58" s="12">
        <v>15.0150317</v>
      </c>
      <c r="L58" s="12">
        <v>4.5760234999999998</v>
      </c>
      <c r="M58" s="12">
        <v>23.058824699999999</v>
      </c>
      <c r="N58" s="12">
        <v>4.4744077000000004</v>
      </c>
      <c r="O58" s="12">
        <v>21.3246672</v>
      </c>
      <c r="P58" s="7">
        <v>24445</v>
      </c>
      <c r="Q58" s="7">
        <v>2550</v>
      </c>
      <c r="R58" s="7">
        <v>9.4</v>
      </c>
      <c r="S58" s="12">
        <v>15.2660777</v>
      </c>
      <c r="T58" s="12">
        <v>6.25</v>
      </c>
      <c r="U58" s="12">
        <v>72.193333300000006</v>
      </c>
      <c r="V58" s="12">
        <v>2.2551332999999998</v>
      </c>
      <c r="W58" s="12">
        <v>14.9951785</v>
      </c>
      <c r="X58" s="12">
        <v>2.7459106000000002</v>
      </c>
      <c r="Y58" s="12">
        <v>23.611521</v>
      </c>
      <c r="Z58" s="12">
        <v>-10.561312600000001</v>
      </c>
      <c r="AA58" s="12">
        <v>63.732297600000003</v>
      </c>
      <c r="AB58" s="12">
        <v>13.718132199999999</v>
      </c>
      <c r="AC58" s="12">
        <v>31.600046599999999</v>
      </c>
      <c r="AD58" s="12">
        <v>21.974890500000001</v>
      </c>
      <c r="AE58" s="12">
        <v>31.025366900000002</v>
      </c>
      <c r="AF58" s="12">
        <v>38.644164699999997</v>
      </c>
      <c r="AG58" s="12">
        <v>34.396007099999999</v>
      </c>
    </row>
    <row r="59" spans="1:33" s="11" customFormat="1" outlineLevel="1" x14ac:dyDescent="0.3">
      <c r="A59" s="11" t="s">
        <v>65</v>
      </c>
      <c r="B59" s="12">
        <v>1.8176159000000001</v>
      </c>
      <c r="C59" s="12">
        <v>95.433333300000001</v>
      </c>
      <c r="D59" s="12">
        <v>3.0783078000000001</v>
      </c>
      <c r="E59" s="17">
        <v>1.5</v>
      </c>
      <c r="F59" s="13">
        <v>113.34</v>
      </c>
      <c r="G59" s="7" t="s">
        <v>107</v>
      </c>
      <c r="H59" s="7" t="s">
        <v>107</v>
      </c>
      <c r="I59" s="7" t="s">
        <v>107</v>
      </c>
      <c r="J59" s="12">
        <v>11.6163676</v>
      </c>
      <c r="K59" s="12">
        <v>9.2827543000000006</v>
      </c>
      <c r="L59" s="12">
        <v>-0.89283330000000005</v>
      </c>
      <c r="M59" s="12">
        <v>13.8478592</v>
      </c>
      <c r="N59" s="12">
        <v>23.9348493</v>
      </c>
      <c r="O59" s="12">
        <v>11.980211799999999</v>
      </c>
      <c r="P59" s="7">
        <v>24884</v>
      </c>
      <c r="Q59" s="7">
        <v>2521</v>
      </c>
      <c r="R59" s="7">
        <v>9.1999999999999993</v>
      </c>
      <c r="S59" s="12">
        <v>15.678460299999999</v>
      </c>
      <c r="T59" s="12">
        <v>5.75</v>
      </c>
      <c r="U59" s="12">
        <v>72.31</v>
      </c>
      <c r="V59" s="12">
        <v>2.4512333000000002</v>
      </c>
      <c r="W59" s="12">
        <v>14.876426</v>
      </c>
      <c r="X59" s="12">
        <v>12.1738059</v>
      </c>
      <c r="Y59" s="12">
        <v>18.447498</v>
      </c>
      <c r="Z59" s="12">
        <v>-6.7554550000000004</v>
      </c>
      <c r="AA59" s="12">
        <v>60.474308299999997</v>
      </c>
      <c r="AB59" s="12">
        <v>11.792762099999999</v>
      </c>
      <c r="AC59" s="12">
        <v>33.006464100000002</v>
      </c>
      <c r="AD59" s="12">
        <v>24.193021000000002</v>
      </c>
      <c r="AE59" s="12">
        <v>29.466555499999998</v>
      </c>
      <c r="AF59" s="12">
        <v>35.543487200000001</v>
      </c>
      <c r="AG59" s="12">
        <v>35.712373800000002</v>
      </c>
    </row>
    <row r="60" spans="1:33" s="11" customFormat="1" outlineLevel="1" x14ac:dyDescent="0.3">
      <c r="A60" s="11" t="s">
        <v>66</v>
      </c>
      <c r="B60" s="12">
        <v>0.47384009999999999</v>
      </c>
      <c r="C60" s="12">
        <v>96.41</v>
      </c>
      <c r="D60" s="12">
        <v>3.2411208999999999</v>
      </c>
      <c r="E60" s="17">
        <v>1.25</v>
      </c>
      <c r="F60" s="13">
        <v>109.3966667</v>
      </c>
      <c r="G60" s="7" t="s">
        <v>107</v>
      </c>
      <c r="H60" s="7" t="s">
        <v>107</v>
      </c>
      <c r="I60" s="7" t="s">
        <v>107</v>
      </c>
      <c r="J60" s="12">
        <v>10.023126899999999</v>
      </c>
      <c r="K60" s="12">
        <v>8.3956037000000006</v>
      </c>
      <c r="L60" s="12">
        <v>4.8306041999999998</v>
      </c>
      <c r="M60" s="12">
        <v>4.7149707999999997</v>
      </c>
      <c r="N60" s="12">
        <v>12.799662</v>
      </c>
      <c r="O60" s="12">
        <v>-0.2788138</v>
      </c>
      <c r="P60" s="7">
        <v>24267</v>
      </c>
      <c r="Q60" s="7">
        <v>2429</v>
      </c>
      <c r="R60" s="7">
        <v>9.1</v>
      </c>
      <c r="S60" s="12">
        <v>15.3084822</v>
      </c>
      <c r="T60" s="12">
        <v>5.75</v>
      </c>
      <c r="U60" s="12">
        <v>76.243333300000003</v>
      </c>
      <c r="V60" s="12">
        <v>2.4762</v>
      </c>
      <c r="W60" s="12">
        <v>12.779690199999999</v>
      </c>
      <c r="X60" s="12">
        <v>9.5376591000000008</v>
      </c>
      <c r="Y60" s="12">
        <v>7.3076734999999999</v>
      </c>
      <c r="Z60" s="12">
        <v>-7.4907763999999997</v>
      </c>
      <c r="AA60" s="12">
        <v>61.430120299999999</v>
      </c>
      <c r="AB60" s="12">
        <v>14.5855648</v>
      </c>
      <c r="AC60" s="12">
        <v>30.223614300000001</v>
      </c>
      <c r="AD60" s="12">
        <v>23.2093013</v>
      </c>
      <c r="AE60" s="12">
        <v>29.4486007</v>
      </c>
      <c r="AF60" s="12">
        <v>29.001264800000001</v>
      </c>
      <c r="AG60" s="12">
        <v>36.111248500000002</v>
      </c>
    </row>
    <row r="61" spans="1:33" s="11" customFormat="1" outlineLevel="1" x14ac:dyDescent="0.3">
      <c r="A61" s="11" t="s">
        <v>67</v>
      </c>
      <c r="B61" s="12">
        <v>3.7986600000000002E-2</v>
      </c>
      <c r="C61" s="12">
        <v>96.803333300000006</v>
      </c>
      <c r="D61" s="12">
        <v>2.9019914</v>
      </c>
      <c r="E61" s="17">
        <v>1</v>
      </c>
      <c r="F61" s="13">
        <v>118.49</v>
      </c>
      <c r="G61" s="7" t="s">
        <v>107</v>
      </c>
      <c r="H61" s="7" t="s">
        <v>107</v>
      </c>
      <c r="I61" s="12">
        <v>-1.0941452</v>
      </c>
      <c r="J61" s="12">
        <v>6.740818</v>
      </c>
      <c r="K61" s="12">
        <v>3.4591300999999999</v>
      </c>
      <c r="L61" s="12">
        <v>7.4592067000000002</v>
      </c>
      <c r="M61" s="12">
        <v>-1.8883357999999999</v>
      </c>
      <c r="N61" s="12">
        <v>13.6301405</v>
      </c>
      <c r="O61" s="12">
        <v>-2.7558327</v>
      </c>
      <c r="P61" s="7">
        <v>23338</v>
      </c>
      <c r="Q61" s="7">
        <v>2721</v>
      </c>
      <c r="R61" s="7">
        <v>10.4</v>
      </c>
      <c r="S61" s="12">
        <v>17.4701047</v>
      </c>
      <c r="T61" s="12">
        <v>5.75</v>
      </c>
      <c r="U61" s="12">
        <v>77.836666699999995</v>
      </c>
      <c r="V61" s="12">
        <v>2.3551332999999999</v>
      </c>
      <c r="W61" s="12">
        <v>6.4161320000000002</v>
      </c>
      <c r="X61" s="12">
        <v>14.9545183</v>
      </c>
      <c r="Y61" s="12">
        <v>3.8423424000000002</v>
      </c>
      <c r="Z61" s="12">
        <v>-8.6729573999999996</v>
      </c>
      <c r="AA61" s="12">
        <v>65.2742954</v>
      </c>
      <c r="AB61" s="12">
        <v>14.082191099999999</v>
      </c>
      <c r="AC61" s="12">
        <v>27.989186</v>
      </c>
      <c r="AD61" s="12">
        <v>24.144322599999999</v>
      </c>
      <c r="AE61" s="12">
        <v>31.489998100000001</v>
      </c>
      <c r="AF61" s="12">
        <v>23.750261699999999</v>
      </c>
      <c r="AG61" s="12">
        <v>31.892198400000002</v>
      </c>
    </row>
    <row r="62" spans="1:33" s="11" customFormat="1" outlineLevel="1" x14ac:dyDescent="0.3">
      <c r="A62" s="11" t="s">
        <v>68</v>
      </c>
      <c r="B62" s="12">
        <v>-0.91019320000000004</v>
      </c>
      <c r="C62" s="12">
        <v>97.993333300000003</v>
      </c>
      <c r="D62" s="12">
        <v>2.5929156999999998</v>
      </c>
      <c r="E62" s="17">
        <v>1</v>
      </c>
      <c r="F62" s="13">
        <v>108.41666669999999</v>
      </c>
      <c r="G62" s="7" t="s">
        <v>107</v>
      </c>
      <c r="H62" s="7" t="s">
        <v>107</v>
      </c>
      <c r="I62" s="12">
        <v>0.1875628</v>
      </c>
      <c r="J62" s="12">
        <v>5.0404391000000004</v>
      </c>
      <c r="K62" s="12">
        <v>1.7188213000000001</v>
      </c>
      <c r="L62" s="12">
        <v>6.5339727999999999</v>
      </c>
      <c r="M62" s="12">
        <v>-8.2034558000000004</v>
      </c>
      <c r="N62" s="12">
        <v>24.736696599999998</v>
      </c>
      <c r="O62" s="12">
        <v>-0.69617720000000005</v>
      </c>
      <c r="P62" s="7">
        <v>25282</v>
      </c>
      <c r="Q62" s="7">
        <v>2272</v>
      </c>
      <c r="R62" s="7">
        <v>8.1999999999999993</v>
      </c>
      <c r="S62" s="12">
        <v>16.488413600000001</v>
      </c>
      <c r="T62" s="12">
        <v>5.75</v>
      </c>
      <c r="U62" s="12">
        <v>79.0966667</v>
      </c>
      <c r="V62" s="12">
        <v>2.3168666999999998</v>
      </c>
      <c r="W62" s="12">
        <v>6.1635220000000004</v>
      </c>
      <c r="X62" s="12">
        <v>28.593995799999998</v>
      </c>
      <c r="Y62" s="12">
        <v>8.0708683000000008</v>
      </c>
      <c r="Z62" s="12">
        <v>-6.4870798000000001</v>
      </c>
      <c r="AA62" s="12">
        <v>62.232115700000001</v>
      </c>
      <c r="AB62" s="12">
        <v>14.4635748</v>
      </c>
      <c r="AC62" s="12">
        <v>28.384711299999999</v>
      </c>
      <c r="AD62" s="12">
        <v>25.280931200000001</v>
      </c>
      <c r="AE62" s="12">
        <v>30.361332999999998</v>
      </c>
      <c r="AF62" s="12">
        <v>17.589586099999998</v>
      </c>
      <c r="AG62" s="12">
        <v>32.025940300000002</v>
      </c>
    </row>
    <row r="63" spans="1:33" s="11" customFormat="1" outlineLevel="1" x14ac:dyDescent="0.3">
      <c r="A63" s="11" t="s">
        <v>69</v>
      </c>
      <c r="B63" s="12">
        <v>-1.0352741000000001</v>
      </c>
      <c r="C63" s="12">
        <v>97.9566667</v>
      </c>
      <c r="D63" s="12">
        <v>2.6440796999999998</v>
      </c>
      <c r="E63" s="17">
        <v>0.75</v>
      </c>
      <c r="F63" s="13">
        <v>109.61333329999999</v>
      </c>
      <c r="G63" s="7" t="s">
        <v>107</v>
      </c>
      <c r="H63" s="7" t="s">
        <v>107</v>
      </c>
      <c r="I63" s="12">
        <v>-2.2535031999999999</v>
      </c>
      <c r="J63" s="12">
        <v>3.6446805000000002</v>
      </c>
      <c r="K63" s="12">
        <v>2.6485601999999999</v>
      </c>
      <c r="L63" s="12">
        <v>12.0417725</v>
      </c>
      <c r="M63" s="12">
        <v>-1.9798662</v>
      </c>
      <c r="N63" s="12">
        <v>8.2128578999999995</v>
      </c>
      <c r="O63" s="12">
        <v>2.3459691999999999</v>
      </c>
      <c r="P63" s="7">
        <v>25367</v>
      </c>
      <c r="Q63" s="7">
        <v>2445</v>
      </c>
      <c r="R63" s="7">
        <v>8.8000000000000007</v>
      </c>
      <c r="S63" s="12">
        <v>15.502898999999999</v>
      </c>
      <c r="T63" s="12">
        <v>5.75</v>
      </c>
      <c r="U63" s="12">
        <v>78.89</v>
      </c>
      <c r="V63" s="12">
        <v>2.2583000000000002</v>
      </c>
      <c r="W63" s="12">
        <v>2.9788994999999998</v>
      </c>
      <c r="X63" s="12">
        <v>23.129780199999999</v>
      </c>
      <c r="Y63" s="12">
        <v>8.9012747000000001</v>
      </c>
      <c r="Z63" s="12">
        <v>-3.3626323</v>
      </c>
      <c r="AA63" s="12">
        <v>60.632201500000001</v>
      </c>
      <c r="AB63" s="12">
        <v>13.082095000000001</v>
      </c>
      <c r="AC63" s="12">
        <v>28.2872059</v>
      </c>
      <c r="AD63" s="12">
        <v>24.569310999999999</v>
      </c>
      <c r="AE63" s="12">
        <v>26.5708111</v>
      </c>
      <c r="AF63" s="12">
        <v>16.949995699999999</v>
      </c>
      <c r="AG63" s="12">
        <v>32.400026699999998</v>
      </c>
    </row>
    <row r="64" spans="1:33" s="11" customFormat="1" outlineLevel="1" x14ac:dyDescent="0.3">
      <c r="A64" s="11" t="s">
        <v>70</v>
      </c>
      <c r="B64" s="12">
        <v>-0.98067590000000004</v>
      </c>
      <c r="C64" s="12">
        <v>98.773333300000004</v>
      </c>
      <c r="D64" s="12">
        <v>2.4513362999999999</v>
      </c>
      <c r="E64" s="17">
        <v>0.75</v>
      </c>
      <c r="F64" s="13">
        <v>110.08666669999999</v>
      </c>
      <c r="G64" s="7" t="s">
        <v>107</v>
      </c>
      <c r="H64" s="7" t="s">
        <v>107</v>
      </c>
      <c r="I64" s="12">
        <v>-3.7944588000000001</v>
      </c>
      <c r="J64" s="12">
        <v>4.1864122000000004</v>
      </c>
      <c r="K64" s="12">
        <v>4.8394706000000003</v>
      </c>
      <c r="L64" s="12">
        <v>2.3754040000000001</v>
      </c>
      <c r="M64" s="12">
        <v>-3.4975691000000002</v>
      </c>
      <c r="N64" s="12">
        <v>13.0790194</v>
      </c>
      <c r="O64" s="12">
        <v>3.6269170000000002</v>
      </c>
      <c r="P64" s="7">
        <v>25291</v>
      </c>
      <c r="Q64" s="7">
        <v>2630</v>
      </c>
      <c r="R64" s="7">
        <v>9.4</v>
      </c>
      <c r="S64" s="12">
        <v>13.203914599999999</v>
      </c>
      <c r="T64" s="12">
        <v>5.5</v>
      </c>
      <c r="U64" s="12">
        <v>81.4033333</v>
      </c>
      <c r="V64" s="12">
        <v>2.3277667000000002</v>
      </c>
      <c r="W64" s="12">
        <v>2.2128958000000001</v>
      </c>
      <c r="X64" s="12">
        <v>18.595358999999998</v>
      </c>
      <c r="Y64" s="12">
        <v>5.2697896000000002</v>
      </c>
      <c r="Z64" s="12">
        <v>-4.1367590999999999</v>
      </c>
      <c r="AA64" s="12">
        <v>60.277372700000001</v>
      </c>
      <c r="AB64" s="12">
        <v>14.8915504</v>
      </c>
      <c r="AC64" s="12">
        <v>27.648647700000001</v>
      </c>
      <c r="AD64" s="12">
        <v>23.504665200000002</v>
      </c>
      <c r="AE64" s="12">
        <v>26.322235899999999</v>
      </c>
      <c r="AF64" s="12">
        <v>18.3423543</v>
      </c>
      <c r="AG64" s="12">
        <v>32.393640300000001</v>
      </c>
    </row>
    <row r="65" spans="1:33" s="11" customFormat="1" outlineLevel="1" x14ac:dyDescent="0.3">
      <c r="A65" s="11" t="s">
        <v>71</v>
      </c>
      <c r="B65" s="12">
        <v>-1.6415721999999999</v>
      </c>
      <c r="C65" s="12">
        <v>98.726666699999996</v>
      </c>
      <c r="D65" s="12">
        <v>1.9868463000000001</v>
      </c>
      <c r="E65" s="17">
        <v>0.75</v>
      </c>
      <c r="F65" s="13">
        <v>112.4933333</v>
      </c>
      <c r="G65" s="12">
        <v>17.966579599999999</v>
      </c>
      <c r="H65" s="12">
        <v>14.328318100000001</v>
      </c>
      <c r="I65" s="12">
        <v>-2.2069884000000002</v>
      </c>
      <c r="J65" s="12">
        <v>8.4204109999999996</v>
      </c>
      <c r="K65" s="12">
        <v>6.6607497000000002</v>
      </c>
      <c r="L65" s="12">
        <v>8.1136713</v>
      </c>
      <c r="M65" s="12">
        <v>11.485882500000001</v>
      </c>
      <c r="N65" s="12">
        <v>10.6291168</v>
      </c>
      <c r="O65" s="12">
        <v>8.9206929000000006</v>
      </c>
      <c r="P65" s="7">
        <v>24546</v>
      </c>
      <c r="Q65" s="7">
        <v>2884</v>
      </c>
      <c r="R65" s="7">
        <v>10.5</v>
      </c>
      <c r="S65" s="12">
        <v>12.653093699999999</v>
      </c>
      <c r="T65" s="12">
        <v>5.5</v>
      </c>
      <c r="U65" s="12">
        <v>83.566666699999999</v>
      </c>
      <c r="V65" s="12">
        <v>2.3578000000000001</v>
      </c>
      <c r="W65" s="12">
        <v>3.8329027</v>
      </c>
      <c r="X65" s="12">
        <v>7.8913414</v>
      </c>
      <c r="Y65" s="12">
        <v>5.7717238999999996</v>
      </c>
      <c r="Z65" s="12">
        <v>-7.4710416000000004</v>
      </c>
      <c r="AA65" s="12">
        <v>63.460923299999997</v>
      </c>
      <c r="AB65" s="12">
        <v>14.7430976</v>
      </c>
      <c r="AC65" s="12">
        <v>27.843390299999999</v>
      </c>
      <c r="AD65" s="12">
        <v>23.502762799999999</v>
      </c>
      <c r="AE65" s="12">
        <v>29.550173900000001</v>
      </c>
      <c r="AF65" s="12">
        <v>21.058997000000002</v>
      </c>
      <c r="AG65" s="12">
        <v>28.355147200000001</v>
      </c>
    </row>
    <row r="66" spans="1:33" s="11" customFormat="1" outlineLevel="1" x14ac:dyDescent="0.3">
      <c r="A66" s="11" t="s">
        <v>72</v>
      </c>
      <c r="B66" s="12">
        <v>-0.1331087</v>
      </c>
      <c r="C66" s="12">
        <v>99.533333299999995</v>
      </c>
      <c r="D66" s="12">
        <v>1.5715355</v>
      </c>
      <c r="E66" s="17">
        <v>0.58333330000000005</v>
      </c>
      <c r="F66" s="13">
        <v>102.5766667</v>
      </c>
      <c r="G66" s="12">
        <v>14.266988700000001</v>
      </c>
      <c r="H66" s="12">
        <v>18.376867000000001</v>
      </c>
      <c r="I66" s="12">
        <v>1.3753451999999999</v>
      </c>
      <c r="J66" s="12">
        <v>9.7386476999999996</v>
      </c>
      <c r="K66" s="12">
        <v>7.7120677000000004</v>
      </c>
      <c r="L66" s="12">
        <v>9.310886</v>
      </c>
      <c r="M66" s="12">
        <v>21.061203299999999</v>
      </c>
      <c r="N66" s="12">
        <v>5.6494549999999997</v>
      </c>
      <c r="O66" s="12">
        <v>12.3979509</v>
      </c>
      <c r="P66" s="7">
        <v>26130</v>
      </c>
      <c r="Q66" s="7">
        <v>2526</v>
      </c>
      <c r="R66" s="7">
        <v>8.8000000000000007</v>
      </c>
      <c r="S66" s="12">
        <v>14.131599</v>
      </c>
      <c r="T66" s="12">
        <v>4.5</v>
      </c>
      <c r="U66" s="12">
        <v>84.47</v>
      </c>
      <c r="V66" s="12">
        <v>2.4057667</v>
      </c>
      <c r="W66" s="12">
        <v>6.7140601000000002</v>
      </c>
      <c r="X66" s="12">
        <v>0.46429870000000001</v>
      </c>
      <c r="Y66" s="12">
        <v>7.4581742999999996</v>
      </c>
      <c r="Z66" s="12">
        <v>-8.3457272000000007</v>
      </c>
      <c r="AA66" s="12">
        <v>61.041181000000002</v>
      </c>
      <c r="AB66" s="12">
        <v>13.8889861</v>
      </c>
      <c r="AC66" s="12">
        <v>30.696025800000001</v>
      </c>
      <c r="AD66" s="12">
        <v>24.168686699999999</v>
      </c>
      <c r="AE66" s="12">
        <v>29.794877400000001</v>
      </c>
      <c r="AF66" s="12">
        <v>23.828488700000001</v>
      </c>
      <c r="AG66" s="12">
        <v>29.134887599999999</v>
      </c>
    </row>
    <row r="67" spans="1:33" s="11" customFormat="1" outlineLevel="1" x14ac:dyDescent="0.3">
      <c r="A67" s="11" t="s">
        <v>73</v>
      </c>
      <c r="B67" s="12">
        <v>0.53477319999999995</v>
      </c>
      <c r="C67" s="12">
        <v>99.423333299999996</v>
      </c>
      <c r="D67" s="12">
        <v>1.4972605999999999</v>
      </c>
      <c r="E67" s="17">
        <v>0.5</v>
      </c>
      <c r="F67" s="13">
        <v>110.27</v>
      </c>
      <c r="G67" s="12">
        <v>17.276686900000001</v>
      </c>
      <c r="H67" s="12">
        <v>17.6835825</v>
      </c>
      <c r="I67" s="12">
        <v>-2.1837643</v>
      </c>
      <c r="J67" s="12">
        <v>8.9135158000000008</v>
      </c>
      <c r="K67" s="12">
        <v>8.7960209000000003</v>
      </c>
      <c r="L67" s="12">
        <v>8.5628527999999999</v>
      </c>
      <c r="M67" s="12">
        <v>16.472340599999999</v>
      </c>
      <c r="N67" s="12">
        <v>0.93860220000000005</v>
      </c>
      <c r="O67" s="12">
        <v>8.9805756999999993</v>
      </c>
      <c r="P67" s="7">
        <v>25960</v>
      </c>
      <c r="Q67" s="7">
        <v>2806</v>
      </c>
      <c r="R67" s="7">
        <v>9.8000000000000007</v>
      </c>
      <c r="S67" s="12">
        <v>14.9425287</v>
      </c>
      <c r="T67" s="12">
        <v>4.5</v>
      </c>
      <c r="U67" s="12">
        <v>85.33</v>
      </c>
      <c r="V67" s="12">
        <v>2.6116999999999999</v>
      </c>
      <c r="W67" s="12">
        <v>7.5130574000000001</v>
      </c>
      <c r="X67" s="12">
        <v>-6.7453707999999999</v>
      </c>
      <c r="Y67" s="12">
        <v>-1.3592291000000001</v>
      </c>
      <c r="Z67" s="12">
        <v>-4.6364583000000001</v>
      </c>
      <c r="AA67" s="12">
        <v>60.312885700000002</v>
      </c>
      <c r="AB67" s="12">
        <v>12.8638292</v>
      </c>
      <c r="AC67" s="12">
        <v>30.191091400000001</v>
      </c>
      <c r="AD67" s="12">
        <v>23.6907639</v>
      </c>
      <c r="AE67" s="12">
        <v>27.0585682</v>
      </c>
      <c r="AF67" s="12">
        <v>25.816545300000001</v>
      </c>
      <c r="AG67" s="12">
        <v>30.316086299999998</v>
      </c>
    </row>
    <row r="68" spans="1:33" s="11" customFormat="1" outlineLevel="1" x14ac:dyDescent="0.3">
      <c r="A68" s="11" t="s">
        <v>74</v>
      </c>
      <c r="B68" s="12">
        <v>0.83200640000000003</v>
      </c>
      <c r="C68" s="12">
        <v>99.72</v>
      </c>
      <c r="D68" s="12">
        <v>0.95842340000000004</v>
      </c>
      <c r="E68" s="17">
        <v>0.3333333</v>
      </c>
      <c r="F68" s="13">
        <v>109.21</v>
      </c>
      <c r="G68" s="12">
        <v>11.376640200000001</v>
      </c>
      <c r="H68" s="12">
        <v>17.692303800000001</v>
      </c>
      <c r="I68" s="12">
        <v>-1.946458</v>
      </c>
      <c r="J68" s="12">
        <v>6.9866273000000003</v>
      </c>
      <c r="K68" s="12">
        <v>7.1320940999999998</v>
      </c>
      <c r="L68" s="12">
        <v>6.4349740999999998</v>
      </c>
      <c r="M68" s="12">
        <v>15.706117000000001</v>
      </c>
      <c r="N68" s="12">
        <v>3.8499648</v>
      </c>
      <c r="O68" s="12">
        <v>13.2332201</v>
      </c>
      <c r="P68" s="7">
        <v>25443</v>
      </c>
      <c r="Q68" s="7">
        <v>2784</v>
      </c>
      <c r="R68" s="7">
        <v>9.9</v>
      </c>
      <c r="S68" s="12">
        <v>15.844671099999999</v>
      </c>
      <c r="T68" s="12">
        <v>4.5</v>
      </c>
      <c r="U68" s="12">
        <v>87.503333299999994</v>
      </c>
      <c r="V68" s="12">
        <v>2.7562332999999999</v>
      </c>
      <c r="W68" s="12">
        <v>7.8760731000000002</v>
      </c>
      <c r="X68" s="12">
        <v>-4.5249370000000004</v>
      </c>
      <c r="Y68" s="12">
        <v>3.0787043000000001</v>
      </c>
      <c r="Z68" s="12">
        <v>-6.3782135999999996</v>
      </c>
      <c r="AA68" s="12">
        <v>60.835362000000003</v>
      </c>
      <c r="AB68" s="12">
        <v>14.7194801</v>
      </c>
      <c r="AC68" s="12">
        <v>29.475191500000001</v>
      </c>
      <c r="AD68" s="12">
        <v>23.785503800000001</v>
      </c>
      <c r="AE68" s="12">
        <v>28.815535400000002</v>
      </c>
      <c r="AF68" s="12">
        <v>24.118297699999999</v>
      </c>
      <c r="AG68" s="12">
        <v>31.0654115</v>
      </c>
    </row>
    <row r="69" spans="1:33" s="11" customFormat="1" outlineLevel="1" x14ac:dyDescent="0.3">
      <c r="A69" s="11" t="s">
        <v>75</v>
      </c>
      <c r="B69" s="12">
        <v>1.8456245</v>
      </c>
      <c r="C69" s="12">
        <v>99.49</v>
      </c>
      <c r="D69" s="12">
        <v>0.77317840000000004</v>
      </c>
      <c r="E69" s="17">
        <v>0.25</v>
      </c>
      <c r="F69" s="13">
        <v>108.16666669999999</v>
      </c>
      <c r="G69" s="12">
        <v>16.981380900000001</v>
      </c>
      <c r="H69" s="12">
        <v>12.8813719</v>
      </c>
      <c r="I69" s="12">
        <v>-3.4142293000000001</v>
      </c>
      <c r="J69" s="12">
        <v>8.5736469</v>
      </c>
      <c r="K69" s="12">
        <v>2.0497515000000002</v>
      </c>
      <c r="L69" s="12">
        <v>7.1399515999999998</v>
      </c>
      <c r="M69" s="12">
        <v>13.715073200000001</v>
      </c>
      <c r="N69" s="12">
        <v>12.422886500000001</v>
      </c>
      <c r="O69" s="12">
        <v>1.8756250999999999</v>
      </c>
      <c r="P69" s="7">
        <v>24998.9</v>
      </c>
      <c r="Q69" s="7">
        <v>2825</v>
      </c>
      <c r="R69" s="7">
        <v>10.199999999999999</v>
      </c>
      <c r="S69" s="12">
        <v>16.279562299999998</v>
      </c>
      <c r="T69" s="12">
        <v>10</v>
      </c>
      <c r="U69" s="12">
        <v>90.313333299999996</v>
      </c>
      <c r="V69" s="12">
        <v>3.0369999999999999</v>
      </c>
      <c r="W69" s="12">
        <v>9.8299461000000008</v>
      </c>
      <c r="X69" s="12">
        <v>5.0985563000000003</v>
      </c>
      <c r="Y69" s="12">
        <v>-5.4384740000000003</v>
      </c>
      <c r="Z69" s="12">
        <v>-5.3700077999999998</v>
      </c>
      <c r="AA69" s="12">
        <v>60.014239600000003</v>
      </c>
      <c r="AB69" s="12">
        <v>14.9290763</v>
      </c>
      <c r="AC69" s="12">
        <v>29.201020400000001</v>
      </c>
      <c r="AD69" s="12">
        <v>27.018641200000001</v>
      </c>
      <c r="AE69" s="12">
        <v>31.162979799999999</v>
      </c>
      <c r="AF69" s="12">
        <v>17.963431100000001</v>
      </c>
      <c r="AG69" s="12">
        <v>28.091819999999998</v>
      </c>
    </row>
    <row r="70" spans="1:33" s="11" customFormat="1" outlineLevel="1" x14ac:dyDescent="0.3">
      <c r="A70" s="11" t="s">
        <v>76</v>
      </c>
      <c r="B70" s="12">
        <v>1.1953549000000001</v>
      </c>
      <c r="C70" s="12">
        <v>100.22333329999999</v>
      </c>
      <c r="D70" s="12">
        <v>0.69323509999999999</v>
      </c>
      <c r="E70" s="17">
        <v>0.21666669999999999</v>
      </c>
      <c r="F70" s="13">
        <v>109.7</v>
      </c>
      <c r="G70" s="12">
        <v>4.1262753999999999</v>
      </c>
      <c r="H70" s="12">
        <v>1.3423581</v>
      </c>
      <c r="I70" s="12">
        <v>0.433834</v>
      </c>
      <c r="J70" s="12">
        <v>2.7886755000000001</v>
      </c>
      <c r="K70" s="12">
        <v>2.8723095999999999</v>
      </c>
      <c r="L70" s="12">
        <v>-0.88261369999999995</v>
      </c>
      <c r="M70" s="12">
        <v>-3.5812781999999999</v>
      </c>
      <c r="N70" s="12">
        <v>4.6325487000000001</v>
      </c>
      <c r="O70" s="12">
        <v>-3.7020884000000001</v>
      </c>
      <c r="P70" s="7">
        <v>26537.8</v>
      </c>
      <c r="Q70" s="7">
        <v>2551</v>
      </c>
      <c r="R70" s="7">
        <v>8.8000000000000007</v>
      </c>
      <c r="S70" s="12">
        <v>15.874505600000001</v>
      </c>
      <c r="T70" s="12">
        <v>8.75</v>
      </c>
      <c r="U70" s="12">
        <v>92.36</v>
      </c>
      <c r="V70" s="12">
        <v>2.8978999999999999</v>
      </c>
      <c r="W70" s="12">
        <v>4.7002220000000001</v>
      </c>
      <c r="X70" s="12">
        <v>8.9195999999999998E-2</v>
      </c>
      <c r="Y70" s="12">
        <v>-10.2730985</v>
      </c>
      <c r="Z70" s="12">
        <v>-5.2728020000000004</v>
      </c>
      <c r="AA70" s="12">
        <v>61.302357899999997</v>
      </c>
      <c r="AB70" s="12">
        <v>13.841514</v>
      </c>
      <c r="AC70" s="12">
        <v>28.6919225</v>
      </c>
      <c r="AD70" s="12">
        <v>25.851691899999999</v>
      </c>
      <c r="AE70" s="12">
        <v>29.687486400000001</v>
      </c>
      <c r="AF70" s="12">
        <v>11.535460499999999</v>
      </c>
      <c r="AG70" s="12">
        <v>27.723728699999999</v>
      </c>
    </row>
    <row r="71" spans="1:33" s="11" customFormat="1" outlineLevel="1" x14ac:dyDescent="0.3">
      <c r="A71" s="11" t="s">
        <v>77</v>
      </c>
      <c r="B71" s="12">
        <v>1.5779679</v>
      </c>
      <c r="C71" s="12">
        <v>99.91</v>
      </c>
      <c r="D71" s="12">
        <v>0.48948940000000002</v>
      </c>
      <c r="E71" s="17">
        <v>0.1166667</v>
      </c>
      <c r="F71" s="13">
        <v>101.8233333</v>
      </c>
      <c r="G71" s="12">
        <v>4.9659424999999997</v>
      </c>
      <c r="H71" s="12">
        <v>11.070700799999999</v>
      </c>
      <c r="I71" s="12">
        <v>-0.4566056</v>
      </c>
      <c r="J71" s="12">
        <v>3.4224578000000001</v>
      </c>
      <c r="K71" s="12">
        <v>2.0070682999999998</v>
      </c>
      <c r="L71" s="12">
        <v>0.92724510000000004</v>
      </c>
      <c r="M71" s="12">
        <v>0.39876339999999999</v>
      </c>
      <c r="N71" s="12">
        <v>7.1864403000000001</v>
      </c>
      <c r="O71" s="12">
        <v>-0.82276669999999996</v>
      </c>
      <c r="P71" s="7">
        <v>26312.799999999999</v>
      </c>
      <c r="Q71" s="7">
        <v>2944</v>
      </c>
      <c r="R71" s="7">
        <v>10.1</v>
      </c>
      <c r="S71" s="12">
        <v>15.5063292</v>
      </c>
      <c r="T71" s="12">
        <v>8.25</v>
      </c>
      <c r="U71" s="12">
        <v>93.366666699999996</v>
      </c>
      <c r="V71" s="12">
        <v>2.8675332999999998</v>
      </c>
      <c r="W71" s="12">
        <v>5.4559043999999997</v>
      </c>
      <c r="X71" s="12">
        <v>7.6856317000000001</v>
      </c>
      <c r="Y71" s="12">
        <v>-2.1443219999999998</v>
      </c>
      <c r="Z71" s="12">
        <v>-2.3970134999999999</v>
      </c>
      <c r="AA71" s="12">
        <v>59.697488300000003</v>
      </c>
      <c r="AB71" s="12">
        <v>12.747729400000001</v>
      </c>
      <c r="AC71" s="12">
        <v>28.7989836</v>
      </c>
      <c r="AD71" s="12">
        <v>24.864031900000001</v>
      </c>
      <c r="AE71" s="12">
        <v>26.108233200000001</v>
      </c>
      <c r="AF71" s="12">
        <v>8.3511886000000004</v>
      </c>
      <c r="AG71" s="12">
        <v>28.165458699999999</v>
      </c>
    </row>
    <row r="72" spans="1:33" s="11" customFormat="1" outlineLevel="1" x14ac:dyDescent="0.3">
      <c r="A72" s="11" t="s">
        <v>78</v>
      </c>
      <c r="B72" s="12">
        <v>1.7505474000000001</v>
      </c>
      <c r="C72" s="12">
        <v>99.97</v>
      </c>
      <c r="D72" s="12">
        <v>0.25070199999999998</v>
      </c>
      <c r="E72" s="17">
        <v>0.05</v>
      </c>
      <c r="F72" s="13">
        <v>76.4033333</v>
      </c>
      <c r="G72" s="12">
        <v>9.2617311999999998</v>
      </c>
      <c r="H72" s="12">
        <v>15.5848903</v>
      </c>
      <c r="I72" s="12">
        <v>-5.8410400000000001E-2</v>
      </c>
      <c r="J72" s="12">
        <v>5.5125662000000002</v>
      </c>
      <c r="K72" s="12">
        <v>5.1957518</v>
      </c>
      <c r="L72" s="12">
        <v>5.3888752000000002</v>
      </c>
      <c r="M72" s="12">
        <v>5.2311402999999999</v>
      </c>
      <c r="N72" s="12">
        <v>4.8119841000000001</v>
      </c>
      <c r="O72" s="12">
        <v>4.0666655</v>
      </c>
      <c r="P72" s="7">
        <v>25873.4</v>
      </c>
      <c r="Q72" s="7">
        <v>3096</v>
      </c>
      <c r="R72" s="7">
        <v>10.7</v>
      </c>
      <c r="S72" s="12">
        <v>14.521654099999999</v>
      </c>
      <c r="T72" s="12">
        <v>8.25</v>
      </c>
      <c r="U72" s="12">
        <v>95.2066667</v>
      </c>
      <c r="V72" s="12">
        <v>2.8255333</v>
      </c>
      <c r="W72" s="12">
        <v>4.1522490999999997</v>
      </c>
      <c r="X72" s="12">
        <v>8.0940204999999992</v>
      </c>
      <c r="Y72" s="12">
        <v>6.0142742</v>
      </c>
      <c r="Z72" s="12">
        <v>-5.7861517999999998</v>
      </c>
      <c r="AA72" s="12">
        <v>60.496504600000002</v>
      </c>
      <c r="AB72" s="12">
        <v>14.692448499999999</v>
      </c>
      <c r="AC72" s="12">
        <v>29.185391899999999</v>
      </c>
      <c r="AD72" s="12">
        <v>23.504161799999999</v>
      </c>
      <c r="AE72" s="12">
        <v>27.878506900000001</v>
      </c>
      <c r="AF72" s="12">
        <v>7.2961429000000004</v>
      </c>
      <c r="AG72" s="12">
        <v>28.434226299999999</v>
      </c>
    </row>
    <row r="73" spans="1:33" s="11" customFormat="1" outlineLevel="1" x14ac:dyDescent="0.3">
      <c r="A73" s="11" t="s">
        <v>79</v>
      </c>
      <c r="B73" s="12">
        <v>2.0633189000000001</v>
      </c>
      <c r="C73" s="12">
        <v>99.203333299999997</v>
      </c>
      <c r="D73" s="12">
        <v>-0.28813620000000001</v>
      </c>
      <c r="E73" s="17">
        <v>0.05</v>
      </c>
      <c r="F73" s="13">
        <v>53.9166667</v>
      </c>
      <c r="G73" s="12">
        <v>7.3827527999999996</v>
      </c>
      <c r="H73" s="12">
        <v>6.2271539999999996</v>
      </c>
      <c r="I73" s="12">
        <v>-3.6738870000000001</v>
      </c>
      <c r="J73" s="12">
        <v>3.5429925999999998</v>
      </c>
      <c r="K73" s="12">
        <v>7.3032396999999998</v>
      </c>
      <c r="L73" s="12">
        <v>-5.2359790000000004</v>
      </c>
      <c r="M73" s="12">
        <v>-0.67569230000000002</v>
      </c>
      <c r="N73" s="12">
        <v>2.3455005999999998</v>
      </c>
      <c r="O73" s="12">
        <v>1.7781826000000001</v>
      </c>
      <c r="P73" s="7">
        <v>25576.2</v>
      </c>
      <c r="Q73" s="7">
        <v>3226</v>
      </c>
      <c r="R73" s="7">
        <v>11.2</v>
      </c>
      <c r="S73" s="12">
        <v>14.6172521</v>
      </c>
      <c r="T73" s="12">
        <v>7.5</v>
      </c>
      <c r="U73" s="12">
        <v>97.07</v>
      </c>
      <c r="V73" s="12">
        <v>2.7728999999999999</v>
      </c>
      <c r="W73" s="12">
        <v>2.1903323000000001</v>
      </c>
      <c r="X73" s="12">
        <v>11.1026235</v>
      </c>
      <c r="Y73" s="12">
        <v>11.2284255</v>
      </c>
      <c r="Z73" s="12">
        <v>-5.2192103000000003</v>
      </c>
      <c r="AA73" s="12">
        <v>62.475265100000001</v>
      </c>
      <c r="AB73" s="12">
        <v>13.360771099999999</v>
      </c>
      <c r="AC73" s="12">
        <v>27.401531500000001</v>
      </c>
      <c r="AD73" s="12">
        <v>24.885685599999999</v>
      </c>
      <c r="AE73" s="12">
        <v>28.123253299999998</v>
      </c>
      <c r="AF73" s="12">
        <v>10.0933902</v>
      </c>
      <c r="AG73" s="12">
        <v>25.552334699999999</v>
      </c>
    </row>
    <row r="74" spans="1:33" s="11" customFormat="1" outlineLevel="1" x14ac:dyDescent="0.3">
      <c r="A74" s="11" t="s">
        <v>80</v>
      </c>
      <c r="B74" s="12">
        <v>2.2703967</v>
      </c>
      <c r="C74" s="12">
        <v>100.5233333</v>
      </c>
      <c r="D74" s="12">
        <v>0.29933149999999997</v>
      </c>
      <c r="E74" s="17">
        <v>0.05</v>
      </c>
      <c r="F74" s="13">
        <v>61.693333299999999</v>
      </c>
      <c r="G74" s="12">
        <v>19.787020600000002</v>
      </c>
      <c r="H74" s="12">
        <v>27.505096900000002</v>
      </c>
      <c r="I74" s="12">
        <v>2.5561174000000002</v>
      </c>
      <c r="J74" s="12">
        <v>7.1733681999999996</v>
      </c>
      <c r="K74" s="12">
        <v>5.0173702000000002</v>
      </c>
      <c r="L74" s="12">
        <v>6.8387264999999999</v>
      </c>
      <c r="M74" s="12">
        <v>8.8816474999999997</v>
      </c>
      <c r="N74" s="12">
        <v>3.4346711999999999</v>
      </c>
      <c r="O74" s="12">
        <v>1.1523011000000001</v>
      </c>
      <c r="P74" s="7">
        <v>27072</v>
      </c>
      <c r="Q74" s="7">
        <v>2789</v>
      </c>
      <c r="R74" s="7">
        <v>9.3000000000000007</v>
      </c>
      <c r="S74" s="12">
        <v>13.469849200000001</v>
      </c>
      <c r="T74" s="12">
        <v>7.5</v>
      </c>
      <c r="U74" s="12">
        <v>99.7</v>
      </c>
      <c r="V74" s="12">
        <v>2.9510999999999998</v>
      </c>
      <c r="W74" s="12">
        <v>6.9635914000000003</v>
      </c>
      <c r="X74" s="12">
        <v>11.0301282</v>
      </c>
      <c r="Y74" s="12">
        <v>9.3429854999999993</v>
      </c>
      <c r="Z74" s="12">
        <v>-5.3767760999999998</v>
      </c>
      <c r="AA74" s="12">
        <v>60.640965299999998</v>
      </c>
      <c r="AB74" s="12">
        <v>13.7593225</v>
      </c>
      <c r="AC74" s="12">
        <v>28.650095799999999</v>
      </c>
      <c r="AD74" s="12">
        <v>25.1876471</v>
      </c>
      <c r="AE74" s="12">
        <v>28.238030699999999</v>
      </c>
      <c r="AF74" s="12">
        <v>10.832606</v>
      </c>
      <c r="AG74" s="12">
        <v>26.2438875</v>
      </c>
    </row>
    <row r="75" spans="1:33" s="11" customFormat="1" outlineLevel="1" x14ac:dyDescent="0.3">
      <c r="A75" s="11" t="s">
        <v>81</v>
      </c>
      <c r="B75" s="12">
        <v>2.2457793000000001</v>
      </c>
      <c r="C75" s="12">
        <v>100.1533333</v>
      </c>
      <c r="D75" s="12">
        <v>0.24355250000000001</v>
      </c>
      <c r="E75" s="17">
        <v>0.05</v>
      </c>
      <c r="F75" s="13">
        <v>50.233333299999998</v>
      </c>
      <c r="G75" s="12">
        <v>17.7561474</v>
      </c>
      <c r="H75" s="12">
        <v>8.0767807999999999</v>
      </c>
      <c r="I75" s="12">
        <v>-2.9163131</v>
      </c>
      <c r="J75" s="12">
        <v>5.7233611</v>
      </c>
      <c r="K75" s="12">
        <v>3.2661696999999998</v>
      </c>
      <c r="L75" s="12">
        <v>1.0252448999999999</v>
      </c>
      <c r="M75" s="12">
        <v>8.7447926999999996</v>
      </c>
      <c r="N75" s="12">
        <v>3.7694673000000001</v>
      </c>
      <c r="O75" s="12">
        <v>-0.53868899999999997</v>
      </c>
      <c r="P75" s="7">
        <v>27150</v>
      </c>
      <c r="Q75" s="7">
        <v>3058</v>
      </c>
      <c r="R75" s="7">
        <v>10.1</v>
      </c>
      <c r="S75" s="12">
        <v>14.242528500000001</v>
      </c>
      <c r="T75" s="12">
        <v>7.5</v>
      </c>
      <c r="U75" s="12">
        <v>100.2333333</v>
      </c>
      <c r="V75" s="12">
        <v>3.1788666999999999</v>
      </c>
      <c r="W75" s="12">
        <v>4.1105597999999999</v>
      </c>
      <c r="X75" s="12">
        <v>5.2665699999999998</v>
      </c>
      <c r="Y75" s="12">
        <v>-0.1604305</v>
      </c>
      <c r="Z75" s="12">
        <v>-1.1611659000000001</v>
      </c>
      <c r="AA75" s="12">
        <v>58.0774233</v>
      </c>
      <c r="AB75" s="12">
        <v>12.4811783</v>
      </c>
      <c r="AC75" s="12">
        <v>29.253045499999999</v>
      </c>
      <c r="AD75" s="12">
        <v>24.9075831</v>
      </c>
      <c r="AE75" s="12">
        <v>24.719231700000002</v>
      </c>
      <c r="AF75" s="12">
        <v>9.7183370999999994</v>
      </c>
      <c r="AG75" s="12">
        <v>27.813922399999999</v>
      </c>
    </row>
    <row r="76" spans="1:33" s="11" customFormat="1" outlineLevel="1" x14ac:dyDescent="0.3">
      <c r="A76" s="11" t="s">
        <v>82</v>
      </c>
      <c r="B76" s="12">
        <v>2.5478125</v>
      </c>
      <c r="C76" s="12">
        <v>100.1233333</v>
      </c>
      <c r="D76" s="12">
        <v>0.1533793</v>
      </c>
      <c r="E76" s="17">
        <v>0.05</v>
      </c>
      <c r="F76" s="13">
        <v>43.57</v>
      </c>
      <c r="G76" s="12">
        <v>15.865539500000001</v>
      </c>
      <c r="H76" s="12">
        <v>16.164529699999999</v>
      </c>
      <c r="I76" s="12">
        <v>2.7565599999999999E-2</v>
      </c>
      <c r="J76" s="12">
        <v>7.5914729000000003</v>
      </c>
      <c r="K76" s="12">
        <v>5.6118363999999996</v>
      </c>
      <c r="L76" s="12">
        <v>11.4084305</v>
      </c>
      <c r="M76" s="12">
        <v>6.1795002999999999</v>
      </c>
      <c r="N76" s="12">
        <v>3.3129963</v>
      </c>
      <c r="O76" s="12">
        <v>0.33049810000000002</v>
      </c>
      <c r="P76" s="7">
        <v>26676</v>
      </c>
      <c r="Q76" s="7">
        <v>3125</v>
      </c>
      <c r="R76" s="7">
        <v>10.5</v>
      </c>
      <c r="S76" s="12">
        <v>12.562052700000001</v>
      </c>
      <c r="T76" s="12">
        <v>7.5</v>
      </c>
      <c r="U76" s="12">
        <v>102.99666670000001</v>
      </c>
      <c r="V76" s="12">
        <v>3.1845333</v>
      </c>
      <c r="W76" s="12">
        <v>10.6644518</v>
      </c>
      <c r="X76" s="12">
        <v>4.4888903999999998</v>
      </c>
      <c r="Y76" s="12">
        <v>-5.4325223999999999</v>
      </c>
      <c r="Z76" s="12">
        <v>-3.3979800999999998</v>
      </c>
      <c r="AA76" s="12">
        <v>59.490664500000001</v>
      </c>
      <c r="AB76" s="12">
        <v>15.480160700000001</v>
      </c>
      <c r="AC76" s="12">
        <v>27.391716299999999</v>
      </c>
      <c r="AD76" s="12">
        <v>23.319047600000001</v>
      </c>
      <c r="AE76" s="12">
        <v>25.681590700000001</v>
      </c>
      <c r="AF76" s="12">
        <v>7.8934839999999999</v>
      </c>
      <c r="AG76" s="12">
        <v>27.327291800000001</v>
      </c>
    </row>
    <row r="77" spans="1:33" s="11" customFormat="1" outlineLevel="1" x14ac:dyDescent="0.3">
      <c r="A77" s="11" t="s">
        <v>83</v>
      </c>
      <c r="B77" s="12">
        <v>1.9366078</v>
      </c>
      <c r="C77" s="12">
        <v>99.246666700000006</v>
      </c>
      <c r="D77" s="12">
        <v>4.3681400000000002E-2</v>
      </c>
      <c r="E77" s="17">
        <v>3.3333300000000003E-2</v>
      </c>
      <c r="F77" s="13">
        <v>33.696666700000002</v>
      </c>
      <c r="G77" s="12">
        <v>14.7446416</v>
      </c>
      <c r="H77" s="12">
        <v>25.094618799999999</v>
      </c>
      <c r="I77" s="12">
        <v>-0.80036229999999997</v>
      </c>
      <c r="J77" s="12">
        <v>4.9433771999999996</v>
      </c>
      <c r="K77" s="12">
        <v>3.1856692</v>
      </c>
      <c r="L77" s="12">
        <v>12.3905663</v>
      </c>
      <c r="M77" s="12">
        <v>7.0600769000000003</v>
      </c>
      <c r="N77" s="12">
        <v>-0.55592370000000002</v>
      </c>
      <c r="O77" s="12">
        <v>1.7571604999999999</v>
      </c>
      <c r="P77" s="7">
        <v>26455.8</v>
      </c>
      <c r="Q77" s="7">
        <v>3224</v>
      </c>
      <c r="R77" s="7">
        <v>10.9</v>
      </c>
      <c r="S77" s="12">
        <v>21.758992500000002</v>
      </c>
      <c r="T77" s="12">
        <v>7.5</v>
      </c>
      <c r="U77" s="12">
        <v>105.33666669999999</v>
      </c>
      <c r="V77" s="12">
        <v>3.2473999999999998</v>
      </c>
      <c r="W77" s="12">
        <v>8.4626754999999996</v>
      </c>
      <c r="X77" s="12">
        <v>-0.36645509999999998</v>
      </c>
      <c r="Y77" s="12">
        <v>-5.3851196000000003</v>
      </c>
      <c r="Z77" s="12">
        <v>-3.6105877</v>
      </c>
      <c r="AA77" s="12">
        <v>60.915723999999997</v>
      </c>
      <c r="AB77" s="12">
        <v>15.220901100000001</v>
      </c>
      <c r="AC77" s="12">
        <v>26.684117100000002</v>
      </c>
      <c r="AD77" s="12">
        <v>24.063157799999999</v>
      </c>
      <c r="AE77" s="12">
        <v>26.883903400000001</v>
      </c>
      <c r="AF77" s="12">
        <v>6.0913611999999997</v>
      </c>
      <c r="AG77" s="12">
        <v>24.712615400000001</v>
      </c>
    </row>
    <row r="78" spans="1:33" s="11" customFormat="1" outlineLevel="1" x14ac:dyDescent="0.3">
      <c r="A78" s="11" t="s">
        <v>84</v>
      </c>
      <c r="B78" s="12">
        <v>2.4666936000000002</v>
      </c>
      <c r="C78" s="12">
        <v>100.42</v>
      </c>
      <c r="D78" s="12">
        <v>-0.10279530000000001</v>
      </c>
      <c r="E78" s="17">
        <v>0</v>
      </c>
      <c r="F78" s="13">
        <v>45.523333299999997</v>
      </c>
      <c r="G78" s="12">
        <v>24.398031199999998</v>
      </c>
      <c r="H78" s="12">
        <v>12.7871969</v>
      </c>
      <c r="I78" s="12">
        <v>-0.76625779999999999</v>
      </c>
      <c r="J78" s="12">
        <v>5.0029753000000001</v>
      </c>
      <c r="K78" s="12">
        <v>5.5883719999999997</v>
      </c>
      <c r="L78" s="12">
        <v>15.0324939</v>
      </c>
      <c r="M78" s="12">
        <v>6.9868943999999997</v>
      </c>
      <c r="N78" s="12">
        <v>-2.0920306000000002</v>
      </c>
      <c r="O78" s="12">
        <v>6.8848634000000004</v>
      </c>
      <c r="P78" s="7">
        <v>27867</v>
      </c>
      <c r="Q78" s="7">
        <v>2895</v>
      </c>
      <c r="R78" s="7">
        <v>9.4</v>
      </c>
      <c r="S78" s="12">
        <v>20.586327000000001</v>
      </c>
      <c r="T78" s="12">
        <v>7.5</v>
      </c>
      <c r="U78" s="12">
        <v>106.4066667</v>
      </c>
      <c r="V78" s="12">
        <v>3.2700667000000001</v>
      </c>
      <c r="W78" s="12">
        <v>4.8248512000000003</v>
      </c>
      <c r="X78" s="12">
        <v>-1.5759403999999999</v>
      </c>
      <c r="Y78" s="12">
        <v>-3.1649332999999999</v>
      </c>
      <c r="Z78" s="12">
        <v>-4.4854592999999996</v>
      </c>
      <c r="AA78" s="12">
        <v>59.722231800000003</v>
      </c>
      <c r="AB78" s="12">
        <v>15.291112</v>
      </c>
      <c r="AC78" s="12">
        <v>28.367905</v>
      </c>
      <c r="AD78" s="12">
        <v>23.144463399999999</v>
      </c>
      <c r="AE78" s="12">
        <v>26.525712200000001</v>
      </c>
      <c r="AF78" s="12">
        <v>6.1191572000000001</v>
      </c>
      <c r="AG78" s="12">
        <v>25.314265599999999</v>
      </c>
    </row>
    <row r="79" spans="1:33" s="11" customFormat="1" outlineLevel="1" x14ac:dyDescent="0.3">
      <c r="A79" s="11" t="s">
        <v>85</v>
      </c>
      <c r="B79" s="12">
        <v>1.6225508</v>
      </c>
      <c r="C79" s="12">
        <v>100.42</v>
      </c>
      <c r="D79" s="12">
        <v>0.26625840000000001</v>
      </c>
      <c r="E79" s="17">
        <v>0</v>
      </c>
      <c r="F79" s="13">
        <v>45.786666699999998</v>
      </c>
      <c r="G79" s="12">
        <v>12.4518092</v>
      </c>
      <c r="H79" s="12">
        <v>12.560046</v>
      </c>
      <c r="I79" s="12">
        <v>-3.0754606</v>
      </c>
      <c r="J79" s="12">
        <v>-0.66916330000000002</v>
      </c>
      <c r="K79" s="12">
        <v>0.66142449999999997</v>
      </c>
      <c r="L79" s="12">
        <v>5.7909628</v>
      </c>
      <c r="M79" s="12">
        <v>1.9735532</v>
      </c>
      <c r="N79" s="12">
        <v>-8.6691400000000005</v>
      </c>
      <c r="O79" s="12">
        <v>0.99096790000000001</v>
      </c>
      <c r="P79" s="7">
        <v>27473</v>
      </c>
      <c r="Q79" s="7">
        <v>3493</v>
      </c>
      <c r="R79" s="7">
        <v>11.3</v>
      </c>
      <c r="S79" s="12">
        <v>16.931020700000001</v>
      </c>
      <c r="T79" s="12">
        <v>7.5</v>
      </c>
      <c r="U79" s="12">
        <v>108.1033333</v>
      </c>
      <c r="V79" s="12">
        <v>3.3092000000000001</v>
      </c>
      <c r="W79" s="12">
        <v>-2.688904</v>
      </c>
      <c r="X79" s="12">
        <v>-6.1671110000000002</v>
      </c>
      <c r="Y79" s="12">
        <v>-4.7459904999999996</v>
      </c>
      <c r="Z79" s="12">
        <v>-1.6782815</v>
      </c>
      <c r="AA79" s="12">
        <v>58.671385399999998</v>
      </c>
      <c r="AB79" s="12">
        <v>13.1446986</v>
      </c>
      <c r="AC79" s="12">
        <v>28.8682354</v>
      </c>
      <c r="AD79" s="12">
        <v>22.114806399999999</v>
      </c>
      <c r="AE79" s="12">
        <v>22.799125799999999</v>
      </c>
      <c r="AF79" s="12">
        <v>6.3165582999999996</v>
      </c>
      <c r="AG79" s="12">
        <v>25.975480300000001</v>
      </c>
    </row>
    <row r="80" spans="1:33" s="11" customFormat="1" outlineLevel="1" x14ac:dyDescent="0.3">
      <c r="A80" s="11" t="s">
        <v>86</v>
      </c>
      <c r="B80" s="12">
        <v>1.866331</v>
      </c>
      <c r="C80" s="12">
        <v>100.89333329999999</v>
      </c>
      <c r="D80" s="12">
        <v>0.7690515</v>
      </c>
      <c r="E80" s="17">
        <v>0</v>
      </c>
      <c r="F80" s="13">
        <v>49.186666700000004</v>
      </c>
      <c r="G80" s="12">
        <v>18.7143844</v>
      </c>
      <c r="H80" s="12">
        <v>11.727229400000001</v>
      </c>
      <c r="I80" s="12">
        <v>-1.983439</v>
      </c>
      <c r="J80" s="12">
        <v>4.4311943999999999</v>
      </c>
      <c r="K80" s="12">
        <v>5.5266586000000002</v>
      </c>
      <c r="L80" s="12">
        <v>6.0526568000000003</v>
      </c>
      <c r="M80" s="12">
        <v>-1.2953376000000001</v>
      </c>
      <c r="N80" s="12">
        <v>4.7515783999999996</v>
      </c>
      <c r="O80" s="12">
        <v>2.2367777000000002</v>
      </c>
      <c r="P80" s="7">
        <v>27066.400000000001</v>
      </c>
      <c r="Q80" s="7">
        <v>3715</v>
      </c>
      <c r="R80" s="7">
        <v>12.1</v>
      </c>
      <c r="S80" s="12">
        <v>17.2391535</v>
      </c>
      <c r="T80" s="12">
        <v>8</v>
      </c>
      <c r="U80" s="12">
        <v>110.77666670000001</v>
      </c>
      <c r="V80" s="12">
        <v>3.5442999999999998</v>
      </c>
      <c r="W80" s="12">
        <v>3.3623536999999999</v>
      </c>
      <c r="X80" s="12">
        <v>9.5955375000000007</v>
      </c>
      <c r="Y80" s="12">
        <v>6.2142781999999999</v>
      </c>
      <c r="Z80" s="12">
        <v>-2.7247264000000002</v>
      </c>
      <c r="AA80" s="12">
        <v>58.662268099999999</v>
      </c>
      <c r="AB80" s="12">
        <v>15.3092568</v>
      </c>
      <c r="AC80" s="12">
        <v>27.9772322</v>
      </c>
      <c r="AD80" s="12">
        <v>23.155762299999999</v>
      </c>
      <c r="AE80" s="12">
        <v>25.104520600000001</v>
      </c>
      <c r="AF80" s="12">
        <v>9.8077390999999992</v>
      </c>
      <c r="AG80" s="12">
        <v>27.919506200000001</v>
      </c>
    </row>
    <row r="81" spans="1:33" s="11" customFormat="1" outlineLevel="1" x14ac:dyDescent="0.3">
      <c r="A81" s="11" t="s">
        <v>87</v>
      </c>
      <c r="B81" s="12">
        <v>3.0351661999999999</v>
      </c>
      <c r="C81" s="12">
        <v>101</v>
      </c>
      <c r="D81" s="12">
        <v>1.766642</v>
      </c>
      <c r="E81" s="17">
        <v>0</v>
      </c>
      <c r="F81" s="13">
        <v>53.68</v>
      </c>
      <c r="G81" s="12">
        <v>10.2626176</v>
      </c>
      <c r="H81" s="12">
        <v>2.3794284999999999</v>
      </c>
      <c r="I81" s="12">
        <v>-3.1756375999999999</v>
      </c>
      <c r="J81" s="12">
        <v>5.2908434</v>
      </c>
      <c r="K81" s="12">
        <v>3.7480039000000001</v>
      </c>
      <c r="L81" s="12">
        <v>8.8162421999999996</v>
      </c>
      <c r="M81" s="12">
        <v>-2.5903228999999999</v>
      </c>
      <c r="N81" s="12">
        <v>12.0862072</v>
      </c>
      <c r="O81" s="12">
        <v>2.2010318999999998</v>
      </c>
      <c r="P81" s="7">
        <v>26956</v>
      </c>
      <c r="Q81" s="7">
        <v>3900</v>
      </c>
      <c r="R81" s="7">
        <v>12.6</v>
      </c>
      <c r="S81" s="12">
        <v>10.0425149</v>
      </c>
      <c r="T81" s="12">
        <v>8</v>
      </c>
      <c r="U81" s="12">
        <v>115.8833333</v>
      </c>
      <c r="V81" s="12">
        <v>3.9369333000000002</v>
      </c>
      <c r="W81" s="12">
        <v>4.4293015999999996</v>
      </c>
      <c r="X81" s="12">
        <v>11.286160300000001</v>
      </c>
      <c r="Y81" s="12">
        <v>10.7182415</v>
      </c>
      <c r="Z81" s="12">
        <v>-4.1899882000000002</v>
      </c>
      <c r="AA81" s="12">
        <v>60.1179445</v>
      </c>
      <c r="AB81" s="12">
        <v>14.9267363</v>
      </c>
      <c r="AC81" s="12">
        <v>28.033355700000001</v>
      </c>
      <c r="AD81" s="12">
        <v>28.107151600000002</v>
      </c>
      <c r="AE81" s="12">
        <v>31.185186600000002</v>
      </c>
      <c r="AF81" s="12">
        <v>12.628830300000001</v>
      </c>
      <c r="AG81" s="12">
        <v>24.7038531</v>
      </c>
    </row>
    <row r="82" spans="1:33" s="11" customFormat="1" outlineLevel="1" x14ac:dyDescent="0.3">
      <c r="A82" s="11" t="s">
        <v>88</v>
      </c>
      <c r="B82" s="12">
        <v>2.3084487</v>
      </c>
      <c r="C82" s="12">
        <v>102.11333329999999</v>
      </c>
      <c r="D82" s="12">
        <v>1.6862509999999999</v>
      </c>
      <c r="E82" s="17">
        <v>0</v>
      </c>
      <c r="F82" s="13">
        <v>49.67</v>
      </c>
      <c r="G82" s="12">
        <v>5.1181207000000004</v>
      </c>
      <c r="H82" s="12">
        <v>4.2684666</v>
      </c>
      <c r="I82" s="12">
        <v>-0.94656249999999997</v>
      </c>
      <c r="J82" s="12">
        <v>5.3018811000000001</v>
      </c>
      <c r="K82" s="12">
        <v>3.3131870000000001</v>
      </c>
      <c r="L82" s="12">
        <v>-1.9136854999999999</v>
      </c>
      <c r="M82" s="12">
        <v>5.3833257000000003</v>
      </c>
      <c r="N82" s="12">
        <v>10.6763707</v>
      </c>
      <c r="O82" s="12">
        <v>1.5536745000000001</v>
      </c>
      <c r="P82" s="7">
        <v>28488</v>
      </c>
      <c r="Q82" s="7">
        <v>3225</v>
      </c>
      <c r="R82" s="7">
        <v>10.199999999999999</v>
      </c>
      <c r="S82" s="12">
        <v>13.259475800000001</v>
      </c>
      <c r="T82" s="12">
        <v>8</v>
      </c>
      <c r="U82" s="12">
        <v>118.7566667</v>
      </c>
      <c r="V82" s="12">
        <v>3.9388999999999998</v>
      </c>
      <c r="W82" s="12">
        <v>3.7200505000000001</v>
      </c>
      <c r="X82" s="12">
        <v>10.184380300000001</v>
      </c>
      <c r="Y82" s="12">
        <v>10.866446</v>
      </c>
      <c r="Z82" s="12">
        <v>-5.4127708999999999</v>
      </c>
      <c r="AA82" s="12">
        <v>59.398498699999998</v>
      </c>
      <c r="AB82" s="12">
        <v>14.4378384</v>
      </c>
      <c r="AC82" s="12">
        <v>30.220369699999999</v>
      </c>
      <c r="AD82" s="12">
        <v>26.3365695</v>
      </c>
      <c r="AE82" s="12">
        <v>30.393277699999999</v>
      </c>
      <c r="AF82" s="12">
        <v>14.112572399999999</v>
      </c>
      <c r="AG82" s="12">
        <v>25.479647400000001</v>
      </c>
    </row>
    <row r="83" spans="1:33" s="11" customFormat="1" outlineLevel="1" x14ac:dyDescent="0.3">
      <c r="A83" s="11" t="s">
        <v>89</v>
      </c>
      <c r="B83" s="12">
        <v>3.0333996999999999</v>
      </c>
      <c r="C83" s="12">
        <v>102.1166667</v>
      </c>
      <c r="D83" s="12">
        <v>1.6895705000000001</v>
      </c>
      <c r="E83" s="17">
        <v>0</v>
      </c>
      <c r="F83" s="13">
        <v>52.11</v>
      </c>
      <c r="G83" s="12">
        <v>15.440345799999999</v>
      </c>
      <c r="H83" s="12">
        <v>21.1101682</v>
      </c>
      <c r="I83" s="12">
        <v>-1.5157461000000001</v>
      </c>
      <c r="J83" s="12">
        <v>11.7900574</v>
      </c>
      <c r="K83" s="12">
        <v>10.072545399999999</v>
      </c>
      <c r="L83" s="12">
        <v>7.8386418000000004</v>
      </c>
      <c r="M83" s="12">
        <v>15.8147065</v>
      </c>
      <c r="N83" s="12">
        <v>17.3091461</v>
      </c>
      <c r="O83" s="12">
        <v>15.4103697</v>
      </c>
      <c r="P83" s="7">
        <v>28828</v>
      </c>
      <c r="Q83" s="7">
        <v>3404</v>
      </c>
      <c r="R83" s="7">
        <v>10.6</v>
      </c>
      <c r="S83" s="12">
        <v>13.9870888</v>
      </c>
      <c r="T83" s="12">
        <v>8</v>
      </c>
      <c r="U83" s="12">
        <v>119.5633333</v>
      </c>
      <c r="V83" s="12">
        <v>4.1277666999999996</v>
      </c>
      <c r="W83" s="12">
        <v>17.803427800000001</v>
      </c>
      <c r="X83" s="12">
        <v>13.495081900000001</v>
      </c>
      <c r="Y83" s="12">
        <v>22.237058099999999</v>
      </c>
      <c r="Z83" s="12">
        <v>-3.5268085999999998</v>
      </c>
      <c r="AA83" s="12">
        <v>57.547977299999999</v>
      </c>
      <c r="AB83" s="12">
        <v>12.8129644</v>
      </c>
      <c r="AC83" s="12">
        <v>32.432061300000001</v>
      </c>
      <c r="AD83" s="12">
        <v>24.9448802</v>
      </c>
      <c r="AE83" s="12">
        <v>27.737881999999999</v>
      </c>
      <c r="AF83" s="12">
        <v>17.770632800000001</v>
      </c>
      <c r="AG83" s="12">
        <v>26.4969866</v>
      </c>
    </row>
    <row r="84" spans="1:33" s="11" customFormat="1" outlineLevel="1" x14ac:dyDescent="0.3">
      <c r="A84" s="11" t="s">
        <v>90</v>
      </c>
      <c r="B84" s="12">
        <v>2.9900169999999999</v>
      </c>
      <c r="C84" s="12">
        <v>102.6233333</v>
      </c>
      <c r="D84" s="12">
        <v>1.7146821999999999</v>
      </c>
      <c r="E84" s="17">
        <v>0</v>
      </c>
      <c r="F84" s="13">
        <v>61.53</v>
      </c>
      <c r="G84" s="12">
        <v>11.230328200000001</v>
      </c>
      <c r="H84" s="12">
        <v>9.3750406000000002</v>
      </c>
      <c r="I84" s="12">
        <v>-2.3462318</v>
      </c>
      <c r="J84" s="12">
        <v>7.2684530000000001</v>
      </c>
      <c r="K84" s="12">
        <v>6.2760994999999999</v>
      </c>
      <c r="L84" s="12">
        <v>5.9883281999999998</v>
      </c>
      <c r="M84" s="12">
        <v>21.9715892</v>
      </c>
      <c r="N84" s="12">
        <v>9.8235744</v>
      </c>
      <c r="O84" s="12">
        <v>22.857762099999999</v>
      </c>
      <c r="P84" s="7">
        <v>28515</v>
      </c>
      <c r="Q84" s="7">
        <v>3275</v>
      </c>
      <c r="R84" s="7">
        <v>10.3</v>
      </c>
      <c r="S84" s="12">
        <v>15.4584487</v>
      </c>
      <c r="T84" s="12">
        <v>8</v>
      </c>
      <c r="U84" s="12">
        <v>124.2966667</v>
      </c>
      <c r="V84" s="12">
        <v>4.4819667000000001</v>
      </c>
      <c r="W84" s="12">
        <v>10.6883531</v>
      </c>
      <c r="X84" s="12">
        <v>3.4404989000000001</v>
      </c>
      <c r="Y84" s="12">
        <v>13.1732706</v>
      </c>
      <c r="Z84" s="12">
        <v>-5.8231367000000001</v>
      </c>
      <c r="AA84" s="12">
        <v>57.851236700000001</v>
      </c>
      <c r="AB84" s="12">
        <v>15.399216600000001</v>
      </c>
      <c r="AC84" s="12">
        <v>31.3977851</v>
      </c>
      <c r="AD84" s="12">
        <v>25.312130799999998</v>
      </c>
      <c r="AE84" s="12">
        <v>29.9603681</v>
      </c>
      <c r="AF84" s="12">
        <v>16.555499000000001</v>
      </c>
      <c r="AG84" s="12">
        <v>27.941532599999999</v>
      </c>
    </row>
    <row r="85" spans="1:33" s="11" customFormat="1" outlineLevel="1" x14ac:dyDescent="0.3">
      <c r="A85" s="11" t="s">
        <v>91</v>
      </c>
      <c r="B85" s="12">
        <v>2.2828298</v>
      </c>
      <c r="C85" s="12">
        <v>102.5466667</v>
      </c>
      <c r="D85" s="12">
        <v>1.5313532000000001</v>
      </c>
      <c r="E85" s="17">
        <v>0</v>
      </c>
      <c r="F85" s="13">
        <v>66.806666699999994</v>
      </c>
      <c r="G85" s="12">
        <v>21.0019785</v>
      </c>
      <c r="H85" s="12">
        <v>19.997437300000001</v>
      </c>
      <c r="I85" s="12">
        <v>-3.4137491</v>
      </c>
      <c r="J85" s="12">
        <v>7.5076964000000004</v>
      </c>
      <c r="K85" s="12">
        <v>6.2663207999999999</v>
      </c>
      <c r="L85" s="12">
        <v>4.2822747000000003</v>
      </c>
      <c r="M85" s="12">
        <v>28.182086699999999</v>
      </c>
      <c r="N85" s="12">
        <v>-0.8627901</v>
      </c>
      <c r="O85" s="12">
        <v>14.730068899999999</v>
      </c>
      <c r="P85" s="7">
        <v>28166</v>
      </c>
      <c r="Q85" s="7">
        <v>3354</v>
      </c>
      <c r="R85" s="7">
        <v>10.6</v>
      </c>
      <c r="S85" s="12">
        <v>21.801643899999998</v>
      </c>
      <c r="T85" s="12">
        <v>8</v>
      </c>
      <c r="U85" s="12">
        <v>127.80333330000001</v>
      </c>
      <c r="V85" s="12">
        <v>4.6909666999999997</v>
      </c>
      <c r="W85" s="12">
        <v>9.3637846000000007</v>
      </c>
      <c r="X85" s="12">
        <v>-6.2616671999999998</v>
      </c>
      <c r="Y85" s="12">
        <v>5.8098169999999998</v>
      </c>
      <c r="Z85" s="12">
        <v>-7.6640122000000002</v>
      </c>
      <c r="AA85" s="12">
        <v>57.976196999999999</v>
      </c>
      <c r="AB85" s="12">
        <v>14.4893143</v>
      </c>
      <c r="AC85" s="12">
        <v>33.942682900000001</v>
      </c>
      <c r="AD85" s="12">
        <v>25.886527099999999</v>
      </c>
      <c r="AE85" s="12">
        <v>32.2947226</v>
      </c>
      <c r="AF85" s="12">
        <v>14.9865549</v>
      </c>
      <c r="AG85" s="12">
        <v>24.468018900000001</v>
      </c>
    </row>
    <row r="86" spans="1:33" s="11" customFormat="1" outlineLevel="1" x14ac:dyDescent="0.3">
      <c r="A86" s="11" t="s">
        <v>92</v>
      </c>
      <c r="B86" s="12">
        <v>2.5023559999999998</v>
      </c>
      <c r="C86" s="12">
        <v>104.0133333</v>
      </c>
      <c r="D86" s="12">
        <v>1.8606777000000001</v>
      </c>
      <c r="E86" s="17">
        <v>0</v>
      </c>
      <c r="F86" s="13">
        <v>74.5</v>
      </c>
      <c r="G86" s="12">
        <v>29.373312599999998</v>
      </c>
      <c r="H86" s="12">
        <v>17.1252304</v>
      </c>
      <c r="I86" s="12">
        <v>-4.1659341999999997</v>
      </c>
      <c r="J86" s="12">
        <v>5.8803834000000004</v>
      </c>
      <c r="K86" s="12">
        <v>3.1446147</v>
      </c>
      <c r="L86" s="12">
        <v>8.9142582000000008</v>
      </c>
      <c r="M86" s="12">
        <v>6.3095553999999998</v>
      </c>
      <c r="N86" s="12">
        <v>6.0457216000000003</v>
      </c>
      <c r="O86" s="12">
        <v>2.7061717000000001</v>
      </c>
      <c r="P86" s="7">
        <v>29138</v>
      </c>
      <c r="Q86" s="7">
        <v>3136</v>
      </c>
      <c r="R86" s="7">
        <v>9.6999999999999993</v>
      </c>
      <c r="S86" s="12">
        <v>18.983989300000001</v>
      </c>
      <c r="T86" s="12">
        <v>17.75</v>
      </c>
      <c r="U86" s="12">
        <v>133.9533333</v>
      </c>
      <c r="V86" s="12">
        <v>5.2192333</v>
      </c>
      <c r="W86" s="12">
        <v>4.3161094000000002</v>
      </c>
      <c r="X86" s="12">
        <v>-1.5395908</v>
      </c>
      <c r="Y86" s="12">
        <v>0.36153580000000002</v>
      </c>
      <c r="Z86" s="12">
        <v>-6.8899137000000001</v>
      </c>
      <c r="AA86" s="12">
        <v>56.738118499999999</v>
      </c>
      <c r="AB86" s="12">
        <v>14.2671046</v>
      </c>
      <c r="AC86" s="12">
        <v>33.543135800000002</v>
      </c>
      <c r="AD86" s="12">
        <v>28.3450825</v>
      </c>
      <c r="AE86" s="12">
        <v>32.8934414</v>
      </c>
      <c r="AF86" s="12">
        <v>14.191119199999999</v>
      </c>
      <c r="AG86" s="12">
        <v>26.287135800000001</v>
      </c>
    </row>
    <row r="87" spans="1:33" s="11" customFormat="1" outlineLevel="1" x14ac:dyDescent="0.3">
      <c r="A87" s="11" t="s">
        <v>93</v>
      </c>
      <c r="B87" s="12">
        <v>1.7229988000000001</v>
      </c>
      <c r="C87" s="12">
        <v>104.3666667</v>
      </c>
      <c r="D87" s="12">
        <v>2.2033621999999999</v>
      </c>
      <c r="E87" s="17">
        <v>0</v>
      </c>
      <c r="F87" s="13">
        <v>75.223333299999993</v>
      </c>
      <c r="G87" s="12">
        <v>22.738704800000001</v>
      </c>
      <c r="H87" s="12">
        <v>15.0017239</v>
      </c>
      <c r="I87" s="12">
        <v>-3.2698640999999999</v>
      </c>
      <c r="J87" s="12">
        <v>2.5358453999999999</v>
      </c>
      <c r="K87" s="12">
        <v>1.5180312</v>
      </c>
      <c r="L87" s="12">
        <v>6.2751267000000004</v>
      </c>
      <c r="M87" s="12">
        <v>-22.291930000000001</v>
      </c>
      <c r="N87" s="12">
        <v>17.877209100000002</v>
      </c>
      <c r="O87" s="12">
        <v>-12.950805900000001</v>
      </c>
      <c r="P87" s="7">
        <v>29318</v>
      </c>
      <c r="Q87" s="7">
        <v>3670</v>
      </c>
      <c r="R87" s="7">
        <v>11.1</v>
      </c>
      <c r="S87" s="12">
        <v>17.978086300000001</v>
      </c>
      <c r="T87" s="12">
        <v>24</v>
      </c>
      <c r="U87" s="12">
        <v>142.81333330000001</v>
      </c>
      <c r="V87" s="12">
        <v>6.6025333000000002</v>
      </c>
      <c r="W87" s="12">
        <v>-8.9073600000000003E-2</v>
      </c>
      <c r="X87" s="12">
        <v>7.7750006999999997</v>
      </c>
      <c r="Y87" s="12">
        <v>-11.2948231</v>
      </c>
      <c r="Z87" s="12">
        <v>1.6537754</v>
      </c>
      <c r="AA87" s="12">
        <v>54.616599800000003</v>
      </c>
      <c r="AB87" s="12">
        <v>12.683558100000001</v>
      </c>
      <c r="AC87" s="12">
        <v>28.906880699999999</v>
      </c>
      <c r="AD87" s="12">
        <v>34.840876999999999</v>
      </c>
      <c r="AE87" s="12">
        <v>31.0479156</v>
      </c>
      <c r="AF87" s="12">
        <v>9.2944185000000008</v>
      </c>
      <c r="AG87" s="12">
        <v>30.986168599999999</v>
      </c>
    </row>
    <row r="88" spans="1:33" s="11" customFormat="1" outlineLevel="1" x14ac:dyDescent="0.3">
      <c r="A88" s="11" t="s">
        <v>94</v>
      </c>
      <c r="B88" s="12">
        <v>1.7730376000000001</v>
      </c>
      <c r="C88" s="12">
        <v>104.64</v>
      </c>
      <c r="D88" s="12">
        <v>1.9651152000000001</v>
      </c>
      <c r="E88" s="17">
        <v>0</v>
      </c>
      <c r="F88" s="13">
        <v>67.713333300000002</v>
      </c>
      <c r="G88" s="12">
        <v>17.3339219</v>
      </c>
      <c r="H88" s="12">
        <v>24.571600400000001</v>
      </c>
      <c r="I88" s="12">
        <v>-0.54348540000000001</v>
      </c>
      <c r="J88" s="12">
        <v>-2.6155040999999999</v>
      </c>
      <c r="K88" s="12">
        <v>-7.1737269000000001</v>
      </c>
      <c r="L88" s="12">
        <v>4.2824850999999997</v>
      </c>
      <c r="M88" s="12">
        <v>-29.2180015</v>
      </c>
      <c r="N88" s="12">
        <v>12.117210200000001</v>
      </c>
      <c r="O88" s="12">
        <v>-23.174418200000002</v>
      </c>
      <c r="P88" s="7">
        <v>28314</v>
      </c>
      <c r="Q88" s="7">
        <v>3981</v>
      </c>
      <c r="R88" s="7">
        <v>12.3</v>
      </c>
      <c r="S88" s="12">
        <v>16.245805300000001</v>
      </c>
      <c r="T88" s="12">
        <v>24</v>
      </c>
      <c r="U88" s="12">
        <v>152.10666670000001</v>
      </c>
      <c r="V88" s="12">
        <v>6.2815000000000003</v>
      </c>
      <c r="W88" s="12">
        <v>-7.3209131000000003</v>
      </c>
      <c r="X88" s="12">
        <v>8.8768022999999996</v>
      </c>
      <c r="Y88" s="12">
        <v>-20.574914100000001</v>
      </c>
      <c r="Z88" s="12">
        <v>2.8715818999999998</v>
      </c>
      <c r="AA88" s="12">
        <v>55.883733499999998</v>
      </c>
      <c r="AB88" s="12">
        <v>16.577769</v>
      </c>
      <c r="AC88" s="12">
        <v>22.966980400000001</v>
      </c>
      <c r="AD88" s="12">
        <v>34.2600111</v>
      </c>
      <c r="AE88" s="12">
        <v>29.688493099999999</v>
      </c>
      <c r="AF88" s="12">
        <v>3.4376544</v>
      </c>
      <c r="AG88" s="12">
        <v>30.046220600000002</v>
      </c>
    </row>
    <row r="89" spans="1:33" s="11" customFormat="1" outlineLevel="1" x14ac:dyDescent="0.3">
      <c r="A89" s="11" t="s">
        <v>95</v>
      </c>
      <c r="B89" s="12">
        <v>1.9308453999999999</v>
      </c>
      <c r="C89" s="12">
        <v>104.17</v>
      </c>
      <c r="D89" s="12">
        <v>1.5830191</v>
      </c>
      <c r="E89" s="17">
        <v>0</v>
      </c>
      <c r="F89" s="13">
        <v>63.17</v>
      </c>
      <c r="G89" s="12">
        <v>26.965945399999999</v>
      </c>
      <c r="H89" s="12">
        <v>22.494271600000001</v>
      </c>
      <c r="I89" s="12">
        <v>-4.9166962999999999</v>
      </c>
      <c r="J89" s="12">
        <v>-2.5322366000000001</v>
      </c>
      <c r="K89" s="12">
        <v>-3.7546499</v>
      </c>
      <c r="L89" s="12">
        <v>6.1876939999999996</v>
      </c>
      <c r="M89" s="12">
        <v>-38.679672099999998</v>
      </c>
      <c r="N89" s="12">
        <v>9.1745824000000002</v>
      </c>
      <c r="O89" s="12">
        <v>-29.350726999999999</v>
      </c>
      <c r="P89" s="7">
        <v>27355</v>
      </c>
      <c r="Q89" s="7">
        <v>4730</v>
      </c>
      <c r="R89" s="7">
        <v>14.7</v>
      </c>
      <c r="S89" s="12">
        <v>17.779476299999999</v>
      </c>
      <c r="T89" s="12">
        <v>24</v>
      </c>
      <c r="U89" s="12">
        <v>153.25666670000001</v>
      </c>
      <c r="V89" s="12">
        <v>6.1078666999999998</v>
      </c>
      <c r="W89" s="12">
        <v>-5.6682576999999998</v>
      </c>
      <c r="X89" s="12">
        <v>13.2241371</v>
      </c>
      <c r="Y89" s="12">
        <v>-12.8670747</v>
      </c>
      <c r="Z89" s="12">
        <v>-0.1296012</v>
      </c>
      <c r="AA89" s="12">
        <v>56.191665100000002</v>
      </c>
      <c r="AB89" s="12">
        <v>16.205774300000002</v>
      </c>
      <c r="AC89" s="12">
        <v>26.511460899999999</v>
      </c>
      <c r="AD89" s="12">
        <v>32.699635399999998</v>
      </c>
      <c r="AE89" s="12">
        <v>31.608534599999999</v>
      </c>
      <c r="AF89" s="12">
        <v>1.7551933</v>
      </c>
      <c r="AG89" s="12">
        <v>28.290247900000001</v>
      </c>
    </row>
    <row r="90" spans="1:33" s="11" customFormat="1" outlineLevel="1" x14ac:dyDescent="0.3">
      <c r="A90" s="11" t="s">
        <v>96</v>
      </c>
      <c r="B90" s="12">
        <v>1.5959346999999999</v>
      </c>
      <c r="C90" s="12">
        <v>105.7566667</v>
      </c>
      <c r="D90" s="12">
        <v>1.6760672000000001</v>
      </c>
      <c r="E90" s="17">
        <v>0</v>
      </c>
      <c r="F90" s="13">
        <v>68.923333299999996</v>
      </c>
      <c r="G90" s="12">
        <v>3.4434726000000002</v>
      </c>
      <c r="H90" s="12">
        <v>1.9558713000000001</v>
      </c>
      <c r="I90" s="12">
        <v>-4.1494816999999999</v>
      </c>
      <c r="J90" s="12">
        <v>-1.6139151</v>
      </c>
      <c r="K90" s="12">
        <v>-0.25975999999999999</v>
      </c>
      <c r="L90" s="12">
        <v>2.3021452999999998</v>
      </c>
      <c r="M90" s="12">
        <v>-29.221973999999999</v>
      </c>
      <c r="N90" s="12">
        <v>7.0182082000000001</v>
      </c>
      <c r="O90" s="12">
        <v>-18.351684299999999</v>
      </c>
      <c r="P90" s="7">
        <v>28269</v>
      </c>
      <c r="Q90" s="7">
        <v>4157</v>
      </c>
      <c r="R90" s="7">
        <v>12.8</v>
      </c>
      <c r="S90" s="12">
        <v>20.475695000000002</v>
      </c>
      <c r="T90" s="12">
        <v>24</v>
      </c>
      <c r="U90" s="12">
        <v>158.00666670000001</v>
      </c>
      <c r="V90" s="12">
        <v>6.6006333000000001</v>
      </c>
      <c r="W90" s="12">
        <v>-3.3799534000000002</v>
      </c>
      <c r="X90" s="12">
        <v>11.076165700000001</v>
      </c>
      <c r="Y90" s="12">
        <v>-13.458118499999999</v>
      </c>
      <c r="Z90" s="12">
        <v>0.66537230000000003</v>
      </c>
      <c r="AA90" s="12">
        <v>57.3621804</v>
      </c>
      <c r="AB90" s="12">
        <v>15.182723899999999</v>
      </c>
      <c r="AC90" s="12">
        <v>24.504280300000001</v>
      </c>
      <c r="AD90" s="12">
        <v>34.814547599999997</v>
      </c>
      <c r="AE90" s="12">
        <v>31.8637312</v>
      </c>
      <c r="AF90" s="12">
        <v>-0.37568410000000002</v>
      </c>
      <c r="AG90" s="12">
        <v>29.922385500000001</v>
      </c>
    </row>
    <row r="91" spans="1:33" s="11" customFormat="1" outlineLevel="1" x14ac:dyDescent="0.3">
      <c r="A91" s="11" t="s">
        <v>97</v>
      </c>
      <c r="B91" s="12">
        <v>2.3612953000000001</v>
      </c>
      <c r="C91" s="12">
        <v>105.74</v>
      </c>
      <c r="D91" s="12">
        <v>1.3158734999999999</v>
      </c>
      <c r="E91" s="17">
        <v>0</v>
      </c>
      <c r="F91" s="13">
        <v>61.93</v>
      </c>
      <c r="G91" s="12">
        <v>13.920757699999999</v>
      </c>
      <c r="H91" s="12">
        <v>30.065286700000001</v>
      </c>
      <c r="I91" s="12">
        <v>0.45479619999999998</v>
      </c>
      <c r="J91" s="12">
        <v>0.9843942</v>
      </c>
      <c r="K91" s="12">
        <v>1.8771131000000001</v>
      </c>
      <c r="L91" s="12">
        <v>6.3724524000000002</v>
      </c>
      <c r="M91" s="12">
        <v>-4.8930457000000001</v>
      </c>
      <c r="N91" s="12">
        <v>5.1461475999999999</v>
      </c>
      <c r="O91" s="12">
        <v>3.9187219999999998</v>
      </c>
      <c r="P91" s="7">
        <v>28529</v>
      </c>
      <c r="Q91" s="7">
        <v>4650</v>
      </c>
      <c r="R91" s="7">
        <v>14</v>
      </c>
      <c r="S91" s="12">
        <v>21.596861000000001</v>
      </c>
      <c r="T91" s="12">
        <v>16.5</v>
      </c>
      <c r="U91" s="12">
        <v>162.13999999999999</v>
      </c>
      <c r="V91" s="12">
        <v>6.3053999999999997</v>
      </c>
      <c r="W91" s="12">
        <v>0.74294199999999999</v>
      </c>
      <c r="X91" s="12">
        <v>12.796223299999999</v>
      </c>
      <c r="Y91" s="12">
        <v>1.8761501</v>
      </c>
      <c r="Z91" s="12">
        <v>4.4596344999999999</v>
      </c>
      <c r="AA91" s="12">
        <v>56.778100999999999</v>
      </c>
      <c r="AB91" s="12">
        <v>13.730542700000001</v>
      </c>
      <c r="AC91" s="12">
        <v>23.714113000000001</v>
      </c>
      <c r="AD91" s="12">
        <v>33.540049199999999</v>
      </c>
      <c r="AE91" s="12">
        <v>27.7628059</v>
      </c>
      <c r="AF91" s="12">
        <v>3.9696994999999999</v>
      </c>
      <c r="AG91" s="12">
        <v>30.4961023</v>
      </c>
    </row>
    <row r="92" spans="1:33" s="11" customFormat="1" outlineLevel="1" x14ac:dyDescent="0.3">
      <c r="A92" s="11" t="s">
        <v>98</v>
      </c>
      <c r="B92" s="12">
        <v>1.3592039</v>
      </c>
      <c r="C92" s="12">
        <v>106.0066667</v>
      </c>
      <c r="D92" s="12">
        <v>1.3060653</v>
      </c>
      <c r="E92" s="17">
        <v>0</v>
      </c>
      <c r="F92" s="13">
        <v>63.41</v>
      </c>
      <c r="G92" s="12">
        <v>21.521042600000001</v>
      </c>
      <c r="H92" s="12">
        <v>7.0469980999999997</v>
      </c>
      <c r="I92" s="12">
        <v>-4.5325503999999999</v>
      </c>
      <c r="J92" s="12">
        <v>5.9140505000000001</v>
      </c>
      <c r="K92" s="12">
        <v>7.8190803999999998</v>
      </c>
      <c r="L92" s="12">
        <v>1.5489265000000001</v>
      </c>
      <c r="M92" s="12">
        <v>40.551160199999998</v>
      </c>
      <c r="N92" s="12">
        <v>0.86475340000000001</v>
      </c>
      <c r="O92" s="12">
        <v>27.952016400000002</v>
      </c>
      <c r="P92" s="7">
        <v>28169</v>
      </c>
      <c r="Q92" s="7">
        <v>4308</v>
      </c>
      <c r="R92" s="7">
        <v>13.3</v>
      </c>
      <c r="S92" s="12">
        <v>22.585272799999998</v>
      </c>
      <c r="T92" s="12">
        <v>12</v>
      </c>
      <c r="U92" s="12">
        <v>167.79</v>
      </c>
      <c r="V92" s="12">
        <v>6.4154999999999998</v>
      </c>
      <c r="W92" s="12">
        <v>5.6058890000000003</v>
      </c>
      <c r="X92" s="12">
        <v>5.8653437000000004</v>
      </c>
      <c r="Y92" s="12">
        <v>15.694434299999999</v>
      </c>
      <c r="Z92" s="12">
        <v>0.35365679999999999</v>
      </c>
      <c r="AA92" s="12">
        <v>57.1517178</v>
      </c>
      <c r="AB92" s="12">
        <v>16.109704700000002</v>
      </c>
      <c r="AC92" s="12">
        <v>25.0613849</v>
      </c>
      <c r="AD92" s="12">
        <v>31.423300900000001</v>
      </c>
      <c r="AE92" s="12">
        <v>29.746108400000001</v>
      </c>
      <c r="AF92" s="12">
        <v>15.4839216</v>
      </c>
      <c r="AG92" s="12">
        <v>32.572428100000003</v>
      </c>
    </row>
    <row r="93" spans="1:33" s="11" customFormat="1" outlineLevel="1" x14ac:dyDescent="0.3">
      <c r="A93" s="11" t="s">
        <v>99</v>
      </c>
      <c r="B93" s="12">
        <v>-2.2061226999999999</v>
      </c>
      <c r="C93" s="12">
        <v>105.74666670000001</v>
      </c>
      <c r="D93" s="12">
        <v>1.5135516</v>
      </c>
      <c r="E93" s="17">
        <v>0</v>
      </c>
      <c r="F93" s="13">
        <v>50.44</v>
      </c>
      <c r="G93" s="12">
        <v>7.9764359999999996</v>
      </c>
      <c r="H93" s="12">
        <v>17.713046299999998</v>
      </c>
      <c r="I93" s="12">
        <v>-1.8549776</v>
      </c>
      <c r="J93" s="12">
        <v>4.2767879999999998</v>
      </c>
      <c r="K93" s="12">
        <v>4.3793081000000003</v>
      </c>
      <c r="L93" s="12">
        <v>3.4304511999999998</v>
      </c>
      <c r="M93" s="12">
        <v>29.4312705</v>
      </c>
      <c r="N93" s="12">
        <v>-0.27402029999999999</v>
      </c>
      <c r="O93" s="12">
        <v>20.593752200000001</v>
      </c>
      <c r="P93" s="7">
        <v>26753</v>
      </c>
      <c r="Q93" s="7">
        <v>4228</v>
      </c>
      <c r="R93" s="7">
        <v>13.6</v>
      </c>
      <c r="S93" s="12">
        <v>20.942023599999999</v>
      </c>
      <c r="T93" s="12">
        <v>9.75</v>
      </c>
      <c r="U93" s="12">
        <v>171.84</v>
      </c>
      <c r="V93" s="12">
        <v>6.7390999999999996</v>
      </c>
      <c r="W93" s="12">
        <v>5.6609740999999998</v>
      </c>
      <c r="X93" s="12">
        <v>-0.22883300000000001</v>
      </c>
      <c r="Y93" s="12">
        <v>11.994771500000001</v>
      </c>
      <c r="Z93" s="12">
        <v>-4.0352638000000001</v>
      </c>
      <c r="AA93" s="12">
        <v>56.945834400000003</v>
      </c>
      <c r="AB93" s="12">
        <v>15.929703399999999</v>
      </c>
      <c r="AC93" s="12">
        <v>29.698010199999999</v>
      </c>
      <c r="AD93" s="12">
        <v>31.1491626</v>
      </c>
      <c r="AE93" s="12">
        <v>33.722710499999998</v>
      </c>
      <c r="AF93" s="12">
        <v>22.783915400000001</v>
      </c>
      <c r="AG93" s="12">
        <v>30.776751300000001</v>
      </c>
    </row>
    <row r="94" spans="1:33" s="11" customFormat="1" outlineLevel="1" x14ac:dyDescent="0.3">
      <c r="A94" s="11" t="s">
        <v>100</v>
      </c>
      <c r="B94" s="12">
        <v>-13.380244299999999</v>
      </c>
      <c r="C94" s="12">
        <v>106.50333329999999</v>
      </c>
      <c r="D94" s="12">
        <v>0.70602319999999996</v>
      </c>
      <c r="E94" s="17">
        <v>0</v>
      </c>
      <c r="F94" s="13">
        <v>29.343333300000001</v>
      </c>
      <c r="G94" s="12">
        <v>13.7764474</v>
      </c>
      <c r="H94" s="12">
        <v>7.3517688000000003</v>
      </c>
      <c r="I94" s="12">
        <v>-6.4025042000000001</v>
      </c>
      <c r="J94" s="12">
        <v>-10.363467</v>
      </c>
      <c r="K94" s="12">
        <v>-9.4454940000000001</v>
      </c>
      <c r="L94" s="12">
        <v>-0.2113845</v>
      </c>
      <c r="M94" s="12">
        <v>20.0654413</v>
      </c>
      <c r="N94" s="12">
        <v>-36.2237668</v>
      </c>
      <c r="O94" s="12">
        <v>-8.6358821999999993</v>
      </c>
      <c r="P94" s="7">
        <v>25858</v>
      </c>
      <c r="Q94" s="7">
        <v>3826</v>
      </c>
      <c r="R94" s="7">
        <v>12.9</v>
      </c>
      <c r="S94" s="12">
        <v>-4.9322420999999999</v>
      </c>
      <c r="T94" s="12">
        <v>8.25</v>
      </c>
      <c r="U94" s="12">
        <v>176.41666670000001</v>
      </c>
      <c r="V94" s="12">
        <v>7.5650332999999996</v>
      </c>
      <c r="W94" s="12">
        <v>-16.646562100000001</v>
      </c>
      <c r="X94" s="12">
        <v>-37.861765499999997</v>
      </c>
      <c r="Y94" s="12">
        <v>-16.905836900000001</v>
      </c>
      <c r="Z94" s="12">
        <v>-7.3940606999999998</v>
      </c>
      <c r="AA94" s="12">
        <v>57.859031299999998</v>
      </c>
      <c r="AB94" s="12">
        <v>17.110254999999999</v>
      </c>
      <c r="AC94" s="12">
        <v>30.3713601</v>
      </c>
      <c r="AD94" s="12">
        <v>24.4713037</v>
      </c>
      <c r="AE94" s="12">
        <v>29.811952000000002</v>
      </c>
      <c r="AF94" s="12">
        <v>35.489596400000003</v>
      </c>
      <c r="AG94" s="12">
        <v>34.962902800000002</v>
      </c>
    </row>
    <row r="95" spans="1:33" s="11" customFormat="1" outlineLevel="1" x14ac:dyDescent="0.3">
      <c r="A95" s="11" t="s">
        <v>101</v>
      </c>
      <c r="B95" s="12">
        <v>-3.6984297000000002</v>
      </c>
      <c r="C95" s="12">
        <v>106.27</v>
      </c>
      <c r="D95" s="12">
        <v>0.50122940000000005</v>
      </c>
      <c r="E95" s="17">
        <v>0</v>
      </c>
      <c r="F95" s="13">
        <v>42.963333300000002</v>
      </c>
      <c r="G95" s="12">
        <v>14.319554999999999</v>
      </c>
      <c r="H95" s="12">
        <v>9.1744246999999994</v>
      </c>
      <c r="I95" s="12">
        <v>-0.86050479999999996</v>
      </c>
      <c r="J95" s="12">
        <v>6.4369453999999999</v>
      </c>
      <c r="K95" s="12">
        <v>8.3542907</v>
      </c>
      <c r="L95" s="12">
        <v>1.5464040999999999</v>
      </c>
      <c r="M95" s="12">
        <v>54.582287800000003</v>
      </c>
      <c r="N95" s="12">
        <v>-21.008530499999999</v>
      </c>
      <c r="O95" s="12">
        <v>16.001061400000001</v>
      </c>
      <c r="P95" s="7">
        <v>27554</v>
      </c>
      <c r="Q95" s="7">
        <v>4194</v>
      </c>
      <c r="R95" s="7">
        <v>13.2</v>
      </c>
      <c r="S95" s="12">
        <v>11.780594600000001</v>
      </c>
      <c r="T95" s="12">
        <v>10.25</v>
      </c>
      <c r="U95" s="12">
        <v>181.2066667</v>
      </c>
      <c r="V95" s="12">
        <v>8.4690332999999995</v>
      </c>
      <c r="W95" s="12">
        <v>8.5250737000000001</v>
      </c>
      <c r="X95" s="12">
        <v>-25.404394499999999</v>
      </c>
      <c r="Y95" s="12">
        <v>0.19457659999999999</v>
      </c>
      <c r="Z95" s="12">
        <v>-3.6976906</v>
      </c>
      <c r="AA95" s="12">
        <v>57.225103799999999</v>
      </c>
      <c r="AB95" s="12">
        <v>12.863323100000001</v>
      </c>
      <c r="AC95" s="12">
        <v>32.790674299999999</v>
      </c>
      <c r="AD95" s="12">
        <v>27.557420400000002</v>
      </c>
      <c r="AE95" s="12">
        <v>30.4365202</v>
      </c>
      <c r="AF95" s="12">
        <v>46.503830000000001</v>
      </c>
      <c r="AG95" s="12">
        <v>39.904373399999997</v>
      </c>
    </row>
    <row r="96" spans="1:33" s="11" customFormat="1" outlineLevel="1" x14ac:dyDescent="0.3">
      <c r="A96" s="11" t="s">
        <v>102</v>
      </c>
      <c r="B96" s="12">
        <v>-3.2236577</v>
      </c>
      <c r="C96" s="12">
        <v>106.2833333</v>
      </c>
      <c r="D96" s="12">
        <v>0.26098979999999999</v>
      </c>
      <c r="E96" s="17">
        <v>0</v>
      </c>
      <c r="F96" s="13">
        <v>44.29</v>
      </c>
      <c r="G96" s="12">
        <v>23.725556099999999</v>
      </c>
      <c r="H96" s="12">
        <v>29.753347600000001</v>
      </c>
      <c r="I96" s="12">
        <v>-3.0282</v>
      </c>
      <c r="J96" s="12">
        <v>6.3339099000000001</v>
      </c>
      <c r="K96" s="12">
        <v>8.5231893999999997</v>
      </c>
      <c r="L96" s="12">
        <v>3.7469703999999999</v>
      </c>
      <c r="M96" s="12">
        <v>5.4079034999999998</v>
      </c>
      <c r="N96" s="12">
        <v>0.1742619</v>
      </c>
      <c r="O96" s="12">
        <v>1.933222</v>
      </c>
      <c r="P96" s="7">
        <v>27066</v>
      </c>
      <c r="Q96" s="7">
        <v>4005</v>
      </c>
      <c r="R96" s="7">
        <v>12.9</v>
      </c>
      <c r="S96" s="12">
        <v>17.828994699999999</v>
      </c>
      <c r="T96" s="12">
        <v>17</v>
      </c>
      <c r="U96" s="12">
        <v>190.4566667</v>
      </c>
      <c r="V96" s="12">
        <v>9.4013332999999992</v>
      </c>
      <c r="W96" s="12">
        <v>10.2412869</v>
      </c>
      <c r="X96" s="12">
        <v>-11.0253485</v>
      </c>
      <c r="Y96" s="12">
        <v>0.43964930000000002</v>
      </c>
      <c r="Z96" s="12">
        <v>-3.3261400999999999</v>
      </c>
      <c r="AA96" s="12">
        <v>55.4768598</v>
      </c>
      <c r="AB96" s="12">
        <v>14.873988199999999</v>
      </c>
      <c r="AC96" s="12">
        <v>31.806478299999998</v>
      </c>
      <c r="AD96" s="12">
        <v>32.311845300000002</v>
      </c>
      <c r="AE96" s="12">
        <v>34.469171600000003</v>
      </c>
      <c r="AF96" s="12">
        <v>38.847894599999997</v>
      </c>
      <c r="AG96" s="12">
        <v>39.647450999999997</v>
      </c>
    </row>
    <row r="97" spans="1:33" s="11" customFormat="1" outlineLevel="1" x14ac:dyDescent="0.3">
      <c r="A97" s="11" t="s">
        <v>103</v>
      </c>
      <c r="B97" s="12">
        <v>-0.1765746</v>
      </c>
      <c r="C97" s="12">
        <v>107.21</v>
      </c>
      <c r="D97" s="12">
        <v>1.3838102999999999</v>
      </c>
      <c r="E97" s="17">
        <v>0</v>
      </c>
      <c r="F97" s="13">
        <v>60.82</v>
      </c>
      <c r="G97" s="12">
        <v>15.352011900000001</v>
      </c>
      <c r="H97" s="12">
        <v>30.8669987</v>
      </c>
      <c r="I97" s="12">
        <v>2.2977517000000001</v>
      </c>
      <c r="J97" s="12">
        <v>7.5460493</v>
      </c>
      <c r="K97" s="12">
        <v>8.4116964999999997</v>
      </c>
      <c r="L97" s="12">
        <v>-1.895154</v>
      </c>
      <c r="M97" s="12">
        <v>6.8273222000000002</v>
      </c>
      <c r="N97" s="12">
        <v>1.9208297999999999</v>
      </c>
      <c r="O97" s="12">
        <v>-1.1814662</v>
      </c>
      <c r="P97" s="7">
        <v>27391</v>
      </c>
      <c r="Q97" s="7">
        <v>4277</v>
      </c>
      <c r="R97" s="7">
        <v>13.5</v>
      </c>
      <c r="S97" s="12">
        <v>22.9491321</v>
      </c>
      <c r="T97" s="12">
        <v>19</v>
      </c>
      <c r="U97" s="12">
        <v>198.62333330000001</v>
      </c>
      <c r="V97" s="12">
        <v>8.9048333</v>
      </c>
      <c r="W97" s="12">
        <v>11.1343909</v>
      </c>
      <c r="X97" s="12">
        <v>-1.4928589999999999</v>
      </c>
      <c r="Y97" s="12">
        <v>-2.6382040999999998</v>
      </c>
      <c r="Z97" s="12">
        <v>-3.5548017999999999</v>
      </c>
      <c r="AA97" s="12">
        <v>55.372277400000002</v>
      </c>
      <c r="AB97" s="12">
        <v>13.768086500000001</v>
      </c>
      <c r="AC97" s="12">
        <v>33.021494599999997</v>
      </c>
      <c r="AD97" s="12">
        <v>31.223823700000001</v>
      </c>
      <c r="AE97" s="12">
        <v>33.385682099999997</v>
      </c>
      <c r="AF97" s="12">
        <v>34.485292399999999</v>
      </c>
      <c r="AG97" s="12">
        <v>29.770008300000001</v>
      </c>
    </row>
    <row r="98" spans="1:33" s="11" customFormat="1" outlineLevel="1" x14ac:dyDescent="0.3">
      <c r="A98" s="11" t="s">
        <v>104</v>
      </c>
      <c r="B98" s="12">
        <v>14.630134099999999</v>
      </c>
      <c r="C98" s="12">
        <v>108.82</v>
      </c>
      <c r="D98" s="12">
        <v>2.1752058000000001</v>
      </c>
      <c r="E98" s="17">
        <v>0</v>
      </c>
      <c r="F98" s="13">
        <v>68.833333300000007</v>
      </c>
      <c r="G98" s="12">
        <v>37.734006100000002</v>
      </c>
      <c r="H98" s="12">
        <v>43.129218000000002</v>
      </c>
      <c r="I98" s="12">
        <v>-4.7336055999999997</v>
      </c>
      <c r="J98" s="12">
        <v>22.349672900000002</v>
      </c>
      <c r="K98" s="12">
        <v>24.441619599999999</v>
      </c>
      <c r="L98" s="12">
        <v>3.2583544999999998</v>
      </c>
      <c r="M98" s="12">
        <v>-3.7784490000000002</v>
      </c>
      <c r="N98" s="12">
        <v>59.819361700000002</v>
      </c>
      <c r="O98" s="12">
        <v>19.5503213</v>
      </c>
      <c r="P98" s="7">
        <v>28448</v>
      </c>
      <c r="Q98" s="7">
        <v>3795</v>
      </c>
      <c r="R98" s="7">
        <v>11.8</v>
      </c>
      <c r="S98" s="12">
        <v>59.211065699999999</v>
      </c>
      <c r="T98" s="12">
        <v>19</v>
      </c>
      <c r="U98" s="12">
        <v>206.55333329999999</v>
      </c>
      <c r="V98" s="12">
        <v>10.1203667</v>
      </c>
      <c r="W98" s="12">
        <v>40.231548500000002</v>
      </c>
      <c r="X98" s="12">
        <v>63.554547599999999</v>
      </c>
      <c r="Y98" s="12">
        <v>36.5641149</v>
      </c>
      <c r="Z98" s="12">
        <v>-2.4300823</v>
      </c>
      <c r="AA98" s="12">
        <v>54.964356899999999</v>
      </c>
      <c r="AB98" s="12">
        <v>13.354245799999999</v>
      </c>
      <c r="AC98" s="12">
        <v>32.378538599999999</v>
      </c>
      <c r="AD98" s="12">
        <v>34.968304000000003</v>
      </c>
      <c r="AE98" s="12">
        <v>35.665445200000001</v>
      </c>
      <c r="AF98" s="12">
        <v>24.4627993</v>
      </c>
      <c r="AG98" s="12">
        <v>31.2687566</v>
      </c>
    </row>
    <row r="99" spans="1:33" s="11" customFormat="1" outlineLevel="1" x14ac:dyDescent="0.3">
      <c r="A99" s="11" t="s">
        <v>105</v>
      </c>
      <c r="B99" s="12">
        <v>4.8925850000000004</v>
      </c>
      <c r="C99" s="12">
        <v>109.55666669999999</v>
      </c>
      <c r="D99" s="12">
        <v>3.0927511999999999</v>
      </c>
      <c r="E99" s="17">
        <v>0</v>
      </c>
      <c r="F99" s="13">
        <v>73.47</v>
      </c>
      <c r="G99" s="12">
        <v>37.347682599999999</v>
      </c>
      <c r="H99" s="12">
        <v>30.385753999999999</v>
      </c>
      <c r="I99" s="12">
        <v>-2.2559523000000001</v>
      </c>
      <c r="J99" s="12">
        <v>7.9788160000000001</v>
      </c>
      <c r="K99" s="12">
        <v>9.3154994000000002</v>
      </c>
      <c r="L99" s="12">
        <v>8.9769860999999995</v>
      </c>
      <c r="M99" s="12">
        <v>-26.794960799999998</v>
      </c>
      <c r="N99" s="12">
        <v>26.450383899999999</v>
      </c>
      <c r="O99" s="12">
        <v>-9.8291305999999992</v>
      </c>
      <c r="P99" s="7">
        <v>29652</v>
      </c>
      <c r="Q99" s="7">
        <v>3912</v>
      </c>
      <c r="R99" s="7">
        <v>11.7</v>
      </c>
      <c r="S99" s="12">
        <v>42.409778500000002</v>
      </c>
      <c r="T99" s="12">
        <v>18</v>
      </c>
      <c r="U99" s="12">
        <v>216.08666669999999</v>
      </c>
      <c r="V99" s="12">
        <v>10.068866699999999</v>
      </c>
      <c r="W99" s="12">
        <v>8.9698288000000002</v>
      </c>
      <c r="X99" s="12">
        <v>44.793855200000003</v>
      </c>
      <c r="Y99" s="12">
        <v>17.626577399999999</v>
      </c>
      <c r="Z99" s="12">
        <v>2.3313971000000002</v>
      </c>
      <c r="AA99" s="12">
        <v>54.954934999999999</v>
      </c>
      <c r="AB99" s="12">
        <v>12.547952199999999</v>
      </c>
      <c r="AC99" s="12">
        <v>29.1099271</v>
      </c>
      <c r="AD99" s="12">
        <v>34.6646067</v>
      </c>
      <c r="AE99" s="12">
        <v>31.277421100000002</v>
      </c>
      <c r="AF99" s="12">
        <v>16.143301999999998</v>
      </c>
      <c r="AG99" s="12">
        <v>33.301787500000003</v>
      </c>
    </row>
    <row r="100" spans="1:33" s="11" customFormat="1" outlineLevel="1" x14ac:dyDescent="0.3">
      <c r="A100" s="11" t="s">
        <v>106</v>
      </c>
      <c r="B100" s="12">
        <v>5.3916862999999999</v>
      </c>
      <c r="C100" s="12">
        <v>111.5333333</v>
      </c>
      <c r="D100" s="12">
        <v>4.9396268000000001</v>
      </c>
      <c r="E100" s="17">
        <v>0</v>
      </c>
      <c r="F100" s="13">
        <v>79.586666699999995</v>
      </c>
      <c r="G100" s="12">
        <v>43.071026600000003</v>
      </c>
      <c r="H100" s="12">
        <v>38.5162081</v>
      </c>
      <c r="I100" s="12">
        <v>-3.7289137999999999</v>
      </c>
      <c r="J100" s="12">
        <v>9.7035741000000009</v>
      </c>
      <c r="K100" s="12">
        <v>20.071683</v>
      </c>
      <c r="L100" s="12">
        <v>1.8453583</v>
      </c>
      <c r="M100" s="12">
        <v>-25.445165599999999</v>
      </c>
      <c r="N100" s="12">
        <v>22.689252799999998</v>
      </c>
      <c r="O100" s="12">
        <v>2.6797273000000001</v>
      </c>
      <c r="P100" s="7">
        <v>29815</v>
      </c>
      <c r="Q100" s="7">
        <v>3680</v>
      </c>
      <c r="R100" s="7">
        <v>11</v>
      </c>
      <c r="S100" s="12">
        <v>42.290087</v>
      </c>
      <c r="T100" s="12">
        <v>14</v>
      </c>
      <c r="U100" s="12">
        <v>239.69333330000001</v>
      </c>
      <c r="V100" s="12">
        <v>12.7738333</v>
      </c>
      <c r="W100" s="12">
        <v>11.4785992</v>
      </c>
      <c r="X100" s="12">
        <v>40.632610900000003</v>
      </c>
      <c r="Y100" s="12">
        <v>29.8156021</v>
      </c>
      <c r="Z100" s="12">
        <v>-0.56576789999999999</v>
      </c>
      <c r="AA100" s="12">
        <v>55.601778000000003</v>
      </c>
      <c r="AB100" s="12">
        <v>12.5027791</v>
      </c>
      <c r="AC100" s="12">
        <v>31.672896900000001</v>
      </c>
      <c r="AD100" s="12">
        <v>39.875796899999997</v>
      </c>
      <c r="AE100" s="12">
        <v>39.653250900000003</v>
      </c>
      <c r="AF100" s="12">
        <v>20.481576100000002</v>
      </c>
      <c r="AG100" s="12">
        <v>41.742018100000003</v>
      </c>
    </row>
    <row r="101" spans="1:33" s="11" customFormat="1" outlineLevel="1" x14ac:dyDescent="0.3">
      <c r="A101" s="11" t="s">
        <v>108</v>
      </c>
      <c r="B101" s="12">
        <v>5.7284746999999996</v>
      </c>
      <c r="C101" s="12">
        <v>114.2266667</v>
      </c>
      <c r="D101" s="12">
        <v>6.5447875</v>
      </c>
      <c r="E101" s="17">
        <v>0</v>
      </c>
      <c r="F101" s="12">
        <v>100.2966667</v>
      </c>
      <c r="G101" s="12">
        <v>67.941236700000005</v>
      </c>
      <c r="H101" s="12">
        <v>64.8217286</v>
      </c>
      <c r="I101" s="12">
        <v>1.5643165999999999</v>
      </c>
      <c r="J101" s="12">
        <v>7.8307143999999997</v>
      </c>
      <c r="K101" s="12">
        <v>19.765482800000001</v>
      </c>
      <c r="L101" s="12">
        <v>4.3496193999999999</v>
      </c>
      <c r="M101" s="12">
        <v>-24.173565199999999</v>
      </c>
      <c r="N101" s="12">
        <v>16.999248900000001</v>
      </c>
      <c r="O101" s="12">
        <v>2.8407035</v>
      </c>
      <c r="P101" s="7">
        <v>29418</v>
      </c>
      <c r="Q101" s="7">
        <v>3864</v>
      </c>
      <c r="R101" s="7">
        <v>11.6</v>
      </c>
      <c r="S101" s="12">
        <v>65.152373299999994</v>
      </c>
      <c r="T101" s="12">
        <v>14</v>
      </c>
      <c r="U101" s="12">
        <v>307.47666670000001</v>
      </c>
      <c r="V101" s="12">
        <v>15.6553</v>
      </c>
      <c r="W101" s="12">
        <v>11.0422838</v>
      </c>
      <c r="X101" s="12">
        <v>38.362031600000002</v>
      </c>
      <c r="Y101" s="12">
        <v>54.496204900000002</v>
      </c>
      <c r="Z101" s="12">
        <v>-9.8503074000000002</v>
      </c>
      <c r="AA101" s="12">
        <v>57.667752200000002</v>
      </c>
      <c r="AB101" s="12">
        <v>12.490946299999999</v>
      </c>
      <c r="AC101" s="12">
        <v>37.795885300000002</v>
      </c>
      <c r="AD101" s="12">
        <v>42.146696599999999</v>
      </c>
      <c r="AE101" s="12">
        <v>50.101279900000002</v>
      </c>
      <c r="AF101" s="12">
        <v>22.570317599999999</v>
      </c>
      <c r="AG101" s="12">
        <v>23.5827034</v>
      </c>
    </row>
    <row r="102" spans="1:33" s="11" customFormat="1" outlineLevel="1" x14ac:dyDescent="0.3">
      <c r="A102" s="11" t="s">
        <v>109</v>
      </c>
      <c r="B102" s="12">
        <v>4.2015890999999996</v>
      </c>
      <c r="C102" s="12">
        <v>118.4333333</v>
      </c>
      <c r="D102" s="12">
        <v>8.8341604</v>
      </c>
      <c r="E102" s="17">
        <v>0</v>
      </c>
      <c r="F102" s="12">
        <v>113.5433333</v>
      </c>
      <c r="G102" s="12">
        <v>57.383703500000003</v>
      </c>
      <c r="H102" s="12">
        <v>107.0229822</v>
      </c>
      <c r="I102" s="12">
        <v>2.6926648000000002</v>
      </c>
      <c r="J102" s="12">
        <v>7.6227513</v>
      </c>
      <c r="K102" s="12">
        <v>21.6854096</v>
      </c>
      <c r="L102" s="12">
        <v>1.6991263999999999</v>
      </c>
      <c r="M102" s="12">
        <v>-26.881384000000001</v>
      </c>
      <c r="N102" s="12">
        <v>18.784870399999999</v>
      </c>
      <c r="O102" s="12">
        <v>6.4617262999999996</v>
      </c>
      <c r="P102" s="7">
        <v>30765</v>
      </c>
      <c r="Q102" s="7">
        <v>3468</v>
      </c>
      <c r="R102" s="7">
        <v>10.1</v>
      </c>
      <c r="S102" s="12">
        <v>71.551720799999998</v>
      </c>
      <c r="T102" s="12">
        <v>14</v>
      </c>
      <c r="U102" s="12">
        <v>359.50666669999998</v>
      </c>
      <c r="V102" s="12">
        <v>16.810700000000001</v>
      </c>
      <c r="W102" s="12">
        <v>11.506708</v>
      </c>
      <c r="X102" s="12">
        <v>48.926552600000001</v>
      </c>
      <c r="Y102" s="12">
        <v>58.739402200000001</v>
      </c>
      <c r="Z102" s="12">
        <v>-5.1070669000000004</v>
      </c>
      <c r="AA102" s="12">
        <v>57.092061999999999</v>
      </c>
      <c r="AB102" s="12">
        <v>10.840822899999999</v>
      </c>
      <c r="AC102" s="12">
        <v>35.315558000000003</v>
      </c>
      <c r="AD102" s="12">
        <v>40.6320774</v>
      </c>
      <c r="AE102" s="12">
        <v>43.880520400000002</v>
      </c>
      <c r="AF102" s="12">
        <v>37.304783800000003</v>
      </c>
      <c r="AG102" s="12">
        <v>26.6897068</v>
      </c>
    </row>
    <row r="103" spans="1:33" s="11" customFormat="1" outlineLevel="1" collapsed="1" x14ac:dyDescent="0.3">
      <c r="A103" s="11" t="s">
        <v>110</v>
      </c>
      <c r="B103" s="12">
        <v>2.5907767000000002</v>
      </c>
      <c r="C103" s="12">
        <v>120.83</v>
      </c>
      <c r="D103" s="12">
        <v>10.289956500000001</v>
      </c>
      <c r="E103" s="17">
        <v>0.75</v>
      </c>
      <c r="F103" s="12">
        <v>100.7133333</v>
      </c>
      <c r="G103" s="12">
        <v>117.23819829999999</v>
      </c>
      <c r="H103" s="12">
        <v>89.951651900000002</v>
      </c>
      <c r="I103" s="12">
        <v>-5.4336931999999996</v>
      </c>
      <c r="J103" s="12">
        <v>4.1458124999999999</v>
      </c>
      <c r="K103" s="12">
        <v>19.629672599999999</v>
      </c>
      <c r="L103" s="12">
        <v>3.8329886000000002</v>
      </c>
      <c r="M103" s="12">
        <v>-23.7855895</v>
      </c>
      <c r="N103" s="12">
        <v>11.666930000000001</v>
      </c>
      <c r="O103" s="12">
        <v>13.311996199999999</v>
      </c>
      <c r="P103" s="7">
        <v>31160</v>
      </c>
      <c r="Q103" s="7">
        <v>3501</v>
      </c>
      <c r="R103" s="7">
        <v>10.1</v>
      </c>
      <c r="S103" s="12">
        <v>100.33556160000001</v>
      </c>
      <c r="T103" s="12">
        <v>12</v>
      </c>
      <c r="U103" s="12">
        <v>391.21666670000002</v>
      </c>
      <c r="V103" s="12">
        <v>18.068733300000002</v>
      </c>
      <c r="W103" s="12">
        <v>3.2676478000000002</v>
      </c>
      <c r="X103" s="12">
        <v>36.989524600000003</v>
      </c>
      <c r="Y103" s="12">
        <v>63.509076200000003</v>
      </c>
      <c r="Z103" s="12">
        <v>-3.9276768</v>
      </c>
      <c r="AA103" s="12">
        <v>56.5434281</v>
      </c>
      <c r="AB103" s="12">
        <v>10.8499122</v>
      </c>
      <c r="AC103" s="12">
        <v>35.352772100000003</v>
      </c>
      <c r="AD103" s="12">
        <v>38.889788000000003</v>
      </c>
      <c r="AE103" s="12">
        <v>41.635900399999997</v>
      </c>
      <c r="AF103" s="12">
        <v>42.041155799999999</v>
      </c>
      <c r="AG103" s="12">
        <v>28.9583218</v>
      </c>
    </row>
    <row r="104" spans="1:33" s="11" customFormat="1" outlineLevel="1" x14ac:dyDescent="0.3">
      <c r="A104" s="11" t="s">
        <v>111</v>
      </c>
      <c r="B104" s="12">
        <v>1.4006327999999999</v>
      </c>
      <c r="C104" s="12">
        <v>123.8</v>
      </c>
      <c r="D104" s="12">
        <v>10.9982068</v>
      </c>
      <c r="E104" s="17">
        <v>1.9166666999999999</v>
      </c>
      <c r="F104" s="12">
        <v>88.556666699999994</v>
      </c>
      <c r="G104" s="12">
        <v>75.044455900000003</v>
      </c>
      <c r="H104" s="12">
        <v>88.578489200000007</v>
      </c>
      <c r="I104" s="12">
        <v>-1.3830321999999999</v>
      </c>
      <c r="J104" s="12">
        <v>3.337914</v>
      </c>
      <c r="K104" s="12">
        <v>15.8682553</v>
      </c>
      <c r="L104" s="12">
        <v>6.5292560999999996</v>
      </c>
      <c r="M104" s="12">
        <v>-2.6032196000000001</v>
      </c>
      <c r="N104" s="12">
        <v>-3.3018287000000002</v>
      </c>
      <c r="O104" s="12">
        <v>10.3677425</v>
      </c>
      <c r="P104" s="7">
        <v>31556</v>
      </c>
      <c r="Q104" s="7">
        <v>3533</v>
      </c>
      <c r="R104" s="7">
        <v>10.1</v>
      </c>
      <c r="S104" s="12">
        <v>102.4446741</v>
      </c>
      <c r="T104" s="12">
        <v>9</v>
      </c>
      <c r="U104" s="12">
        <v>425.06666669999998</v>
      </c>
      <c r="V104" s="12">
        <v>19.004833300000001</v>
      </c>
      <c r="W104" s="12">
        <v>0.3708552</v>
      </c>
      <c r="X104" s="12">
        <v>19.1734349</v>
      </c>
      <c r="Y104" s="12">
        <v>33.692254900000002</v>
      </c>
      <c r="Z104" s="12">
        <v>-4.2229668</v>
      </c>
      <c r="AA104" s="12">
        <v>57.9564375</v>
      </c>
      <c r="AB104" s="12">
        <v>12.509223799999999</v>
      </c>
      <c r="AC104" s="12">
        <v>33.115717099999998</v>
      </c>
      <c r="AD104" s="12">
        <v>34.976526800000002</v>
      </c>
      <c r="AE104" s="12">
        <v>38.557905400000003</v>
      </c>
      <c r="AF104" s="12">
        <v>56.219996799999997</v>
      </c>
      <c r="AG104" s="12">
        <v>31.704792300000001</v>
      </c>
    </row>
    <row r="105" spans="1:33" s="11" customFormat="1" x14ac:dyDescent="0.3">
      <c r="A105" s="11" t="s">
        <v>112</v>
      </c>
      <c r="B105" s="12">
        <v>1.3448477999999999</v>
      </c>
      <c r="C105" s="12">
        <v>124.9666667</v>
      </c>
      <c r="D105" s="12">
        <v>9.4023579000000002</v>
      </c>
      <c r="E105" s="17">
        <v>3</v>
      </c>
      <c r="F105" s="12">
        <v>81.173333299999996</v>
      </c>
      <c r="G105" s="12">
        <v>94.416814000000002</v>
      </c>
      <c r="H105" s="12">
        <v>53.0665975</v>
      </c>
      <c r="I105" s="12">
        <v>-5.1572676</v>
      </c>
      <c r="J105" s="12">
        <v>3.9586082</v>
      </c>
      <c r="K105" s="12">
        <v>16.892808599999999</v>
      </c>
      <c r="L105" s="12">
        <v>5.9625914</v>
      </c>
      <c r="M105" s="12">
        <v>4.5235818999999999</v>
      </c>
      <c r="N105" s="12">
        <v>-3.2871625</v>
      </c>
      <c r="O105" s="12">
        <v>13.6936213</v>
      </c>
      <c r="P105" s="7">
        <v>30856</v>
      </c>
      <c r="Q105" s="7">
        <v>3587</v>
      </c>
      <c r="R105" s="7">
        <v>10.4</v>
      </c>
      <c r="S105" s="12">
        <v>114.2679768</v>
      </c>
      <c r="T105" s="12">
        <v>8.5</v>
      </c>
      <c r="U105" s="12">
        <v>474.68666669999999</v>
      </c>
      <c r="V105" s="12">
        <v>20.259466700000001</v>
      </c>
      <c r="W105" s="12">
        <v>-0.38806689999999999</v>
      </c>
      <c r="X105" s="12">
        <v>10.725820799999999</v>
      </c>
      <c r="Y105" s="12">
        <v>17.493997199999999</v>
      </c>
      <c r="Z105" s="12">
        <v>-9.8970201000000007</v>
      </c>
      <c r="AA105" s="12">
        <v>60.066783899999997</v>
      </c>
      <c r="AB105" s="12">
        <v>14.1358029</v>
      </c>
      <c r="AC105" s="12">
        <v>34.547086399999998</v>
      </c>
      <c r="AD105" s="12">
        <v>32.568745999999997</v>
      </c>
      <c r="AE105" s="12">
        <v>41.318419300000002</v>
      </c>
      <c r="AF105" s="12">
        <v>79.064517199999997</v>
      </c>
      <c r="AG105" s="12">
        <v>22.1566908</v>
      </c>
    </row>
    <row r="106" spans="1:33" s="11" customFormat="1" x14ac:dyDescent="0.3">
      <c r="A106" s="11" t="s">
        <v>113</v>
      </c>
      <c r="B106" s="12">
        <v>0.20197219999999999</v>
      </c>
      <c r="C106" s="12">
        <v>126.9766667</v>
      </c>
      <c r="D106" s="12">
        <v>7.2136222999999999</v>
      </c>
      <c r="E106" s="17">
        <v>3.75</v>
      </c>
      <c r="F106" s="12">
        <v>78.316666699999999</v>
      </c>
      <c r="G106" s="12">
        <v>123.76257579999999</v>
      </c>
      <c r="H106" s="12">
        <v>68.9391246</v>
      </c>
      <c r="I106" s="12">
        <v>-5.0151629</v>
      </c>
      <c r="J106" s="12">
        <v>3.8969193999999998</v>
      </c>
      <c r="K106" s="12">
        <v>15.4480954</v>
      </c>
      <c r="L106" s="12">
        <v>6.1271678999999999</v>
      </c>
      <c r="M106" s="12">
        <v>19.6162478</v>
      </c>
      <c r="N106" s="12">
        <v>-9.3716966999999993</v>
      </c>
      <c r="O106" s="12">
        <v>19.835277099999999</v>
      </c>
      <c r="P106" s="7">
        <v>31507</v>
      </c>
      <c r="Q106" s="7">
        <v>3211</v>
      </c>
      <c r="R106" s="7">
        <v>9.1999999999999993</v>
      </c>
      <c r="S106" s="12">
        <v>103.9937226</v>
      </c>
      <c r="T106" s="12">
        <v>15</v>
      </c>
      <c r="U106" s="12">
        <v>505.16</v>
      </c>
      <c r="V106" s="12">
        <v>22.8294</v>
      </c>
      <c r="W106" s="12">
        <v>-3.4937529000000001</v>
      </c>
      <c r="X106" s="12">
        <v>-4.3134379000000003</v>
      </c>
      <c r="Y106" s="12">
        <v>-2.9113392</v>
      </c>
      <c r="Z106" s="12">
        <v>-4.7314265999999998</v>
      </c>
      <c r="AA106" s="12">
        <v>61.793593000000001</v>
      </c>
      <c r="AB106" s="12">
        <v>13.798870300000001</v>
      </c>
      <c r="AC106" s="12">
        <v>27.260831599999999</v>
      </c>
      <c r="AD106" s="12">
        <v>32.296834199999999</v>
      </c>
      <c r="AE106" s="12">
        <v>35.150129300000003</v>
      </c>
      <c r="AF106" s="12">
        <v>82.1521051</v>
      </c>
      <c r="AG106" s="12">
        <v>27.106257200000002</v>
      </c>
    </row>
    <row r="107" spans="1:33" s="11" customFormat="1" x14ac:dyDescent="0.3">
      <c r="A107" s="11" t="s">
        <v>114</v>
      </c>
      <c r="B107" s="12">
        <v>-0.19771859999999999</v>
      </c>
      <c r="C107" s="12">
        <v>127.6866667</v>
      </c>
      <c r="D107" s="12">
        <v>5.6746392999999999</v>
      </c>
      <c r="E107" s="17">
        <v>4.25</v>
      </c>
      <c r="F107" s="12">
        <v>86.66</v>
      </c>
      <c r="G107" s="7" t="s">
        <v>107</v>
      </c>
      <c r="H107" s="7" t="s">
        <v>107</v>
      </c>
      <c r="I107" s="7" t="s">
        <v>107</v>
      </c>
      <c r="J107" s="12">
        <v>5.9316697999999999</v>
      </c>
      <c r="K107" s="12">
        <v>11.1918221</v>
      </c>
      <c r="L107" s="12">
        <v>5.3467754000000003</v>
      </c>
      <c r="M107" s="12">
        <v>13.202908000000001</v>
      </c>
      <c r="N107" s="12">
        <v>1.0594751</v>
      </c>
      <c r="O107" s="12">
        <v>14.5045132</v>
      </c>
      <c r="P107" s="7">
        <v>32043</v>
      </c>
      <c r="Q107" s="7">
        <v>3272</v>
      </c>
      <c r="R107" s="7">
        <v>9.3000000000000007</v>
      </c>
      <c r="S107" s="12">
        <v>107.8770952</v>
      </c>
      <c r="T107" s="12">
        <v>30</v>
      </c>
      <c r="U107" s="12">
        <v>611.72333330000004</v>
      </c>
      <c r="V107" s="12">
        <v>29.188099999999999</v>
      </c>
      <c r="W107" s="12">
        <v>7.7536231999999998</v>
      </c>
      <c r="X107" s="12">
        <v>-4.2303626999999997</v>
      </c>
      <c r="Y107" s="12">
        <v>-9.8071953000000001</v>
      </c>
      <c r="Z107" s="12">
        <v>-1.4392598000000001</v>
      </c>
      <c r="AA107" s="12">
        <v>57.441907800000003</v>
      </c>
      <c r="AB107" s="12">
        <v>12.653972899999999</v>
      </c>
      <c r="AC107" s="12">
        <v>30.193290300000001</v>
      </c>
      <c r="AD107" s="12">
        <v>33.3489833</v>
      </c>
      <c r="AE107" s="12">
        <v>33.638154299999997</v>
      </c>
      <c r="AF107" s="12">
        <v>84.712314199999994</v>
      </c>
      <c r="AG107" s="7" t="s">
        <v>107</v>
      </c>
    </row>
    <row r="108" spans="1:33" s="11" customFormat="1" x14ac:dyDescent="0.3">
      <c r="A108" s="11" t="s">
        <v>115</v>
      </c>
      <c r="B108" s="7" t="s">
        <v>107</v>
      </c>
      <c r="C108" s="12">
        <v>127.9933333</v>
      </c>
      <c r="D108" s="12">
        <v>3.3871836000000002</v>
      </c>
      <c r="E108" s="17">
        <v>4.5</v>
      </c>
      <c r="F108" s="12">
        <v>83.723333299999993</v>
      </c>
      <c r="G108" s="7" t="s">
        <v>107</v>
      </c>
      <c r="H108" s="7" t="s">
        <v>107</v>
      </c>
      <c r="I108" s="7" t="s">
        <v>107</v>
      </c>
      <c r="J108" s="7" t="s">
        <v>107</v>
      </c>
      <c r="K108" s="7" t="s">
        <v>107</v>
      </c>
      <c r="L108" s="7" t="s">
        <v>107</v>
      </c>
      <c r="M108" s="7" t="s">
        <v>107</v>
      </c>
      <c r="N108" s="7" t="s">
        <v>107</v>
      </c>
      <c r="O108" s="7" t="s">
        <v>107</v>
      </c>
      <c r="P108" s="7" t="s">
        <v>107</v>
      </c>
      <c r="Q108" s="7" t="s">
        <v>107</v>
      </c>
      <c r="R108" s="7" t="s">
        <v>107</v>
      </c>
      <c r="S108" s="7" t="s">
        <v>107</v>
      </c>
      <c r="T108" s="12">
        <v>42.5</v>
      </c>
      <c r="U108" s="12">
        <v>692.18666670000005</v>
      </c>
      <c r="V108" s="12">
        <v>30.717833299999999</v>
      </c>
      <c r="W108" s="7" t="s">
        <v>107</v>
      </c>
      <c r="X108" s="7" t="s">
        <v>107</v>
      </c>
      <c r="Y108" s="7" t="s">
        <v>107</v>
      </c>
      <c r="Z108" s="7" t="s">
        <v>107</v>
      </c>
      <c r="AA108" s="7" t="s">
        <v>107</v>
      </c>
      <c r="AB108" s="7" t="s">
        <v>107</v>
      </c>
      <c r="AC108" s="7" t="s">
        <v>107</v>
      </c>
      <c r="AD108" s="7" t="s">
        <v>107</v>
      </c>
      <c r="AE108" s="7" t="s">
        <v>107</v>
      </c>
      <c r="AF108" s="7" t="s">
        <v>107</v>
      </c>
      <c r="AG108" s="7" t="s">
        <v>107</v>
      </c>
    </row>
    <row r="109" spans="1:33" s="11" customFormat="1" x14ac:dyDescent="0.3">
      <c r="AG109"/>
    </row>
  </sheetData>
  <pageMargins left="0.7" right="0.7" top="0.75" bottom="0.75" header="0.3" footer="0.3"/>
  <pageSetup paperSize="9" orientation="portrait" horizontalDpi="90" verticalDpi="90"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B302F-4D74-4A5C-BB15-3DBF3E9A66DC}">
  <sheetPr codeName="Tabelle29">
    <tabColor rgb="FFFFFF00"/>
  </sheetPr>
  <dimension ref="A1:AG108"/>
  <sheetViews>
    <sheetView workbookViewId="0">
      <pane xSplit="1" ySplit="12" topLeftCell="W105" activePane="bottomRight" state="frozen"/>
      <selection activeCell="E12" sqref="E12"/>
      <selection pane="topRight" activeCell="E12" sqref="E12"/>
      <selection pane="bottomLeft" activeCell="E12" sqref="E12"/>
      <selection pane="bottomRight"/>
    </sheetView>
  </sheetViews>
  <sheetFormatPr defaultColWidth="9.109375" defaultRowHeight="14.4" outlineLevelRow="1" x14ac:dyDescent="0.3"/>
  <cols>
    <col min="2" max="2" width="11.5546875" bestFit="1" customWidth="1"/>
    <col min="4" max="4" width="12.44140625" customWidth="1"/>
    <col min="7" max="7" width="12.44140625" bestFit="1" customWidth="1"/>
    <col min="18" max="18" width="11.109375" bestFit="1" customWidth="1"/>
    <col min="19" max="19" width="12.44140625" bestFit="1" customWidth="1"/>
    <col min="24" max="24" width="12.5546875" bestFit="1" customWidth="1"/>
    <col min="25" max="25" width="12.6640625" bestFit="1" customWidth="1"/>
    <col min="27" max="27" width="13.6640625" customWidth="1"/>
    <col min="33" max="33" width="9.109375" style="15"/>
  </cols>
  <sheetData>
    <row r="1" spans="1:33" s="8" customFormat="1" x14ac:dyDescent="0.3">
      <c r="A1" s="8" t="s">
        <v>0</v>
      </c>
      <c r="B1" s="8" t="s">
        <v>1</v>
      </c>
      <c r="C1" s="8" t="s">
        <v>2</v>
      </c>
      <c r="D1" s="8" t="s">
        <v>3</v>
      </c>
      <c r="E1" s="14" t="s">
        <v>4</v>
      </c>
      <c r="F1" s="8" t="s">
        <v>5</v>
      </c>
      <c r="G1" s="8" t="s">
        <v>6</v>
      </c>
      <c r="H1" s="8" t="s">
        <v>254</v>
      </c>
      <c r="I1" s="8" t="s">
        <v>7</v>
      </c>
      <c r="J1" s="8" t="s">
        <v>230</v>
      </c>
      <c r="K1" s="8" t="s">
        <v>231</v>
      </c>
      <c r="L1" s="8" t="s">
        <v>232</v>
      </c>
      <c r="M1" s="8" t="s">
        <v>233</v>
      </c>
      <c r="N1" s="8" t="s">
        <v>234</v>
      </c>
      <c r="O1" s="8" t="s">
        <v>235</v>
      </c>
      <c r="P1" s="8" t="s">
        <v>8</v>
      </c>
      <c r="Q1" s="8" t="s">
        <v>9</v>
      </c>
      <c r="R1" s="8" t="s">
        <v>10</v>
      </c>
      <c r="S1" s="8" t="s">
        <v>11</v>
      </c>
      <c r="T1" s="14" t="s">
        <v>12</v>
      </c>
      <c r="U1" s="8" t="s">
        <v>13</v>
      </c>
      <c r="V1" s="8" t="s">
        <v>14</v>
      </c>
      <c r="W1" s="8" t="s">
        <v>15</v>
      </c>
      <c r="X1" s="8" t="s">
        <v>16</v>
      </c>
      <c r="Y1" s="8" t="s">
        <v>17</v>
      </c>
      <c r="Z1" s="8" t="s">
        <v>18</v>
      </c>
      <c r="AA1" s="8" t="s">
        <v>248</v>
      </c>
      <c r="AB1" s="8" t="s">
        <v>236</v>
      </c>
      <c r="AC1" s="8" t="s">
        <v>237</v>
      </c>
      <c r="AD1" s="8" t="s">
        <v>238</v>
      </c>
      <c r="AE1" s="8" t="s">
        <v>239</v>
      </c>
      <c r="AF1" s="14" t="s">
        <v>255</v>
      </c>
      <c r="AG1" s="9"/>
    </row>
    <row r="2" spans="1:33" s="10" customFormat="1" outlineLevel="1" x14ac:dyDescent="0.3">
      <c r="B2" s="26"/>
      <c r="C2" s="26"/>
      <c r="D2" s="26" t="s">
        <v>198</v>
      </c>
      <c r="E2" s="26"/>
      <c r="F2" s="26"/>
      <c r="G2" s="26" t="s">
        <v>1117</v>
      </c>
      <c r="H2" s="26" t="s">
        <v>1119</v>
      </c>
      <c r="I2" s="26"/>
      <c r="J2" s="26" t="s">
        <v>1081</v>
      </c>
      <c r="K2" s="26" t="s">
        <v>1084</v>
      </c>
      <c r="L2" s="26" t="s">
        <v>1086</v>
      </c>
      <c r="M2" s="26" t="s">
        <v>1088</v>
      </c>
      <c r="N2" s="26" t="s">
        <v>1090</v>
      </c>
      <c r="O2" s="26" t="s">
        <v>1092</v>
      </c>
      <c r="P2" s="26"/>
      <c r="Q2" s="26"/>
      <c r="R2" s="26"/>
      <c r="S2" s="26" t="s">
        <v>1094</v>
      </c>
      <c r="T2" s="26"/>
      <c r="U2" s="26"/>
      <c r="V2" s="26"/>
      <c r="W2" s="26" t="s">
        <v>1125</v>
      </c>
      <c r="X2" s="26" t="s">
        <v>1100</v>
      </c>
      <c r="Y2" s="26" t="s">
        <v>1102</v>
      </c>
      <c r="Z2" s="26"/>
      <c r="AA2" s="26" t="s">
        <v>1105</v>
      </c>
      <c r="AB2" s="26"/>
      <c r="AC2" s="26"/>
      <c r="AD2" s="26"/>
      <c r="AE2" s="26"/>
      <c r="AF2" s="26" t="s">
        <v>1111</v>
      </c>
      <c r="AG2" s="26"/>
    </row>
    <row r="3" spans="1:33" outlineLevel="1" x14ac:dyDescent="0.3">
      <c r="B3" s="27" t="s">
        <v>123</v>
      </c>
      <c r="C3" s="27" t="s">
        <v>195</v>
      </c>
      <c r="D3" s="27" t="s">
        <v>195</v>
      </c>
      <c r="E3" s="27" t="s">
        <v>186</v>
      </c>
      <c r="F3" s="27" t="s">
        <v>125</v>
      </c>
      <c r="G3" s="27" t="s">
        <v>125</v>
      </c>
      <c r="H3" s="27" t="s">
        <v>125</v>
      </c>
      <c r="I3" s="27" t="s">
        <v>125</v>
      </c>
      <c r="J3" s="27" t="s">
        <v>1083</v>
      </c>
      <c r="K3" s="27" t="s">
        <v>326</v>
      </c>
      <c r="L3" s="27" t="s">
        <v>326</v>
      </c>
      <c r="M3" s="27" t="s">
        <v>326</v>
      </c>
      <c r="N3" s="27" t="s">
        <v>326</v>
      </c>
      <c r="O3" s="27" t="s">
        <v>326</v>
      </c>
      <c r="P3" s="27" t="s">
        <v>1122</v>
      </c>
      <c r="Q3" s="27" t="s">
        <v>1122</v>
      </c>
      <c r="R3" s="27" t="s">
        <v>1122</v>
      </c>
      <c r="S3" s="27" t="s">
        <v>1096</v>
      </c>
      <c r="T3" s="27" t="s">
        <v>1097</v>
      </c>
      <c r="U3" s="27" t="s">
        <v>125</v>
      </c>
      <c r="V3" s="27" t="s">
        <v>284</v>
      </c>
      <c r="W3" s="27" t="s">
        <v>125</v>
      </c>
      <c r="X3" s="27" t="s">
        <v>207</v>
      </c>
      <c r="Y3" s="27" t="s">
        <v>207</v>
      </c>
      <c r="Z3" s="27" t="s">
        <v>207</v>
      </c>
      <c r="AA3" s="27" t="s">
        <v>125</v>
      </c>
      <c r="AB3" s="27" t="s">
        <v>125</v>
      </c>
      <c r="AC3" s="27" t="s">
        <v>125</v>
      </c>
      <c r="AD3" s="27" t="s">
        <v>125</v>
      </c>
      <c r="AE3" s="27" t="s">
        <v>125</v>
      </c>
      <c r="AF3" s="27" t="s">
        <v>125</v>
      </c>
      <c r="AG3" s="23"/>
    </row>
    <row r="4" spans="1:33" outlineLevel="1" x14ac:dyDescent="0.3">
      <c r="B4" s="2">
        <v>144396</v>
      </c>
      <c r="C4" s="2">
        <v>77811</v>
      </c>
      <c r="D4" s="2">
        <v>77812</v>
      </c>
      <c r="E4" s="2">
        <v>144399</v>
      </c>
      <c r="F4" s="27">
        <v>101874</v>
      </c>
      <c r="G4" s="27">
        <v>122124</v>
      </c>
      <c r="H4" s="27">
        <v>122120</v>
      </c>
      <c r="I4" s="27">
        <v>122131</v>
      </c>
      <c r="J4" s="2">
        <v>89041</v>
      </c>
      <c r="K4" s="2">
        <v>90865</v>
      </c>
      <c r="L4" s="2">
        <v>90909</v>
      </c>
      <c r="M4" s="2">
        <v>90931</v>
      </c>
      <c r="N4" s="2">
        <v>90975</v>
      </c>
      <c r="O4" s="2">
        <v>90997</v>
      </c>
      <c r="P4" s="2">
        <v>122704</v>
      </c>
      <c r="Q4" s="2">
        <v>122708</v>
      </c>
      <c r="R4" s="2">
        <v>122709</v>
      </c>
      <c r="S4" s="2">
        <v>122199</v>
      </c>
      <c r="T4" s="2">
        <v>122150</v>
      </c>
      <c r="U4" s="27">
        <v>122221</v>
      </c>
      <c r="V4" s="2">
        <v>122230</v>
      </c>
      <c r="W4" s="27">
        <v>122191</v>
      </c>
      <c r="X4" s="2">
        <v>122162</v>
      </c>
      <c r="Y4" s="2">
        <v>122166</v>
      </c>
      <c r="Z4" s="2">
        <v>122158</v>
      </c>
      <c r="AA4" s="27">
        <v>90337</v>
      </c>
      <c r="AB4" s="27">
        <v>90381</v>
      </c>
      <c r="AC4" s="27">
        <v>90403</v>
      </c>
      <c r="AD4" s="27">
        <v>90491</v>
      </c>
      <c r="AE4" s="27">
        <v>90513</v>
      </c>
      <c r="AF4" s="27">
        <v>89611</v>
      </c>
      <c r="AG4" s="27"/>
    </row>
    <row r="5" spans="1:33" outlineLevel="1" x14ac:dyDescent="0.3">
      <c r="B5" s="27" t="s">
        <v>221</v>
      </c>
      <c r="C5" s="27" t="s">
        <v>194</v>
      </c>
      <c r="D5" s="27" t="s">
        <v>199</v>
      </c>
      <c r="E5" s="27" t="s">
        <v>253</v>
      </c>
      <c r="F5" s="27" t="s">
        <v>189</v>
      </c>
      <c r="G5" s="27" t="s">
        <v>1118</v>
      </c>
      <c r="H5" s="27" t="s">
        <v>1120</v>
      </c>
      <c r="I5" s="27" t="s">
        <v>1078</v>
      </c>
      <c r="J5" s="27" t="s">
        <v>1082</v>
      </c>
      <c r="K5" s="27" t="s">
        <v>1085</v>
      </c>
      <c r="L5" s="27" t="s">
        <v>1087</v>
      </c>
      <c r="M5" s="27" t="s">
        <v>1089</v>
      </c>
      <c r="N5" s="27" t="s">
        <v>1091</v>
      </c>
      <c r="O5" s="27" t="s">
        <v>1093</v>
      </c>
      <c r="P5" s="27" t="s">
        <v>1121</v>
      </c>
      <c r="Q5" s="27" t="s">
        <v>1123</v>
      </c>
      <c r="R5" s="27" t="s">
        <v>1124</v>
      </c>
      <c r="S5" s="27" t="s">
        <v>1095</v>
      </c>
      <c r="T5" s="27" t="s">
        <v>1312</v>
      </c>
      <c r="U5" s="27" t="s">
        <v>1098</v>
      </c>
      <c r="V5" s="27" t="s">
        <v>1099</v>
      </c>
      <c r="W5" s="27" t="s">
        <v>1126</v>
      </c>
      <c r="X5" s="27" t="s">
        <v>1101</v>
      </c>
      <c r="Y5" s="27" t="s">
        <v>1103</v>
      </c>
      <c r="Z5" s="27" t="s">
        <v>1104</v>
      </c>
      <c r="AA5" s="27" t="s">
        <v>1106</v>
      </c>
      <c r="AB5" s="27" t="s">
        <v>1107</v>
      </c>
      <c r="AC5" s="27" t="s">
        <v>1108</v>
      </c>
      <c r="AD5" s="27" t="s">
        <v>1109</v>
      </c>
      <c r="AE5" s="27" t="s">
        <v>1110</v>
      </c>
      <c r="AF5" s="27" t="s">
        <v>1112</v>
      </c>
      <c r="AG5" s="27"/>
    </row>
    <row r="6" spans="1:33" outlineLevel="1" x14ac:dyDescent="0.3">
      <c r="B6" s="27" t="s">
        <v>222</v>
      </c>
      <c r="C6" s="27" t="s">
        <v>196</v>
      </c>
      <c r="D6" s="27" t="s">
        <v>196</v>
      </c>
      <c r="E6" s="27" t="s">
        <v>187</v>
      </c>
      <c r="F6" s="27" t="s">
        <v>190</v>
      </c>
      <c r="G6" s="27" t="s">
        <v>1079</v>
      </c>
      <c r="H6" s="27" t="s">
        <v>1079</v>
      </c>
      <c r="I6" s="27" t="s">
        <v>1079</v>
      </c>
      <c r="J6" s="27" t="s">
        <v>1079</v>
      </c>
      <c r="K6" s="27" t="s">
        <v>1079</v>
      </c>
      <c r="L6" s="27" t="s">
        <v>1079</v>
      </c>
      <c r="M6" s="27" t="s">
        <v>1079</v>
      </c>
      <c r="N6" s="27" t="s">
        <v>1079</v>
      </c>
      <c r="O6" s="27" t="s">
        <v>1079</v>
      </c>
      <c r="P6" s="27" t="s">
        <v>1079</v>
      </c>
      <c r="Q6" s="27" t="s">
        <v>1079</v>
      </c>
      <c r="R6" s="27" t="s">
        <v>1079</v>
      </c>
      <c r="S6" s="27" t="s">
        <v>1079</v>
      </c>
      <c r="T6" s="27" t="s">
        <v>1079</v>
      </c>
      <c r="U6" s="27" t="s">
        <v>1079</v>
      </c>
      <c r="V6" s="27" t="s">
        <v>1079</v>
      </c>
      <c r="W6" s="27" t="s">
        <v>1079</v>
      </c>
      <c r="X6" s="27" t="s">
        <v>1079</v>
      </c>
      <c r="Y6" s="27" t="s">
        <v>1079</v>
      </c>
      <c r="Z6" s="27" t="s">
        <v>1079</v>
      </c>
      <c r="AA6" s="27" t="s">
        <v>1079</v>
      </c>
      <c r="AB6" s="27" t="s">
        <v>1079</v>
      </c>
      <c r="AC6" s="27" t="s">
        <v>1079</v>
      </c>
      <c r="AD6" s="27" t="s">
        <v>1079</v>
      </c>
      <c r="AE6" s="27" t="s">
        <v>1079</v>
      </c>
      <c r="AF6" s="27" t="s">
        <v>1079</v>
      </c>
      <c r="AG6" s="23"/>
    </row>
    <row r="7" spans="1:33" outlineLevel="1" x14ac:dyDescent="0.3">
      <c r="B7" s="27" t="s">
        <v>223</v>
      </c>
      <c r="C7" s="27" t="s">
        <v>197</v>
      </c>
      <c r="D7" s="27" t="s">
        <v>197</v>
      </c>
      <c r="E7" s="27" t="s">
        <v>188</v>
      </c>
      <c r="F7" s="27" t="s">
        <v>191</v>
      </c>
      <c r="G7" s="27" t="s">
        <v>1080</v>
      </c>
      <c r="H7" s="27" t="s">
        <v>1080</v>
      </c>
      <c r="I7" s="27" t="s">
        <v>1080</v>
      </c>
      <c r="J7" s="27" t="s">
        <v>1080</v>
      </c>
      <c r="K7" s="27" t="s">
        <v>1080</v>
      </c>
      <c r="L7" s="27" t="s">
        <v>1080</v>
      </c>
      <c r="M7" s="27" t="s">
        <v>1080</v>
      </c>
      <c r="N7" s="27" t="s">
        <v>1080</v>
      </c>
      <c r="O7" s="27" t="s">
        <v>1080</v>
      </c>
      <c r="P7" s="27" t="s">
        <v>1080</v>
      </c>
      <c r="Q7" s="27" t="s">
        <v>1080</v>
      </c>
      <c r="R7" s="27" t="s">
        <v>1080</v>
      </c>
      <c r="S7" s="27" t="s">
        <v>1080</v>
      </c>
      <c r="T7" s="27" t="s">
        <v>1080</v>
      </c>
      <c r="U7" s="27" t="s">
        <v>1080</v>
      </c>
      <c r="V7" s="27" t="s">
        <v>1080</v>
      </c>
      <c r="W7" s="27" t="s">
        <v>1080</v>
      </c>
      <c r="X7" s="27" t="s">
        <v>1080</v>
      </c>
      <c r="Y7" s="27" t="s">
        <v>1080</v>
      </c>
      <c r="Z7" s="27" t="s">
        <v>1080</v>
      </c>
      <c r="AA7" s="27" t="s">
        <v>1080</v>
      </c>
      <c r="AB7" s="27" t="s">
        <v>1080</v>
      </c>
      <c r="AC7" s="27" t="s">
        <v>1080</v>
      </c>
      <c r="AD7" s="27" t="s">
        <v>1080</v>
      </c>
      <c r="AE7" s="27" t="s">
        <v>1080</v>
      </c>
      <c r="AF7" s="27" t="s">
        <v>1080</v>
      </c>
      <c r="AG7" s="23"/>
    </row>
    <row r="8" spans="1:33" outlineLevel="1" x14ac:dyDescent="0.3">
      <c r="A8" s="16" t="s">
        <v>489</v>
      </c>
      <c r="B8" s="27" t="s">
        <v>120</v>
      </c>
      <c r="C8" s="27" t="s">
        <v>163</v>
      </c>
      <c r="D8" s="27" t="s">
        <v>163</v>
      </c>
      <c r="E8" s="27" t="s">
        <v>159</v>
      </c>
      <c r="F8" s="27"/>
      <c r="G8" s="27" t="s">
        <v>179</v>
      </c>
      <c r="H8" s="27" t="s">
        <v>173</v>
      </c>
      <c r="I8" s="27" t="s">
        <v>182</v>
      </c>
      <c r="J8" s="27" t="s">
        <v>120</v>
      </c>
      <c r="K8" s="27" t="s">
        <v>126</v>
      </c>
      <c r="L8" s="27" t="s">
        <v>129</v>
      </c>
      <c r="M8" s="27" t="s">
        <v>132</v>
      </c>
      <c r="N8" s="27" t="s">
        <v>135</v>
      </c>
      <c r="O8" s="27" t="s">
        <v>138</v>
      </c>
      <c r="P8" s="27" t="s">
        <v>141</v>
      </c>
      <c r="Q8" s="27" t="s">
        <v>146</v>
      </c>
      <c r="R8" s="27" t="s">
        <v>149</v>
      </c>
      <c r="S8" s="27" t="s">
        <v>154</v>
      </c>
      <c r="T8" s="27" t="s">
        <v>159</v>
      </c>
      <c r="U8" s="27" t="s">
        <v>163</v>
      </c>
      <c r="V8" s="27" t="s">
        <v>168</v>
      </c>
      <c r="W8" s="27" t="s">
        <v>217</v>
      </c>
      <c r="X8" s="27" t="s">
        <v>208</v>
      </c>
      <c r="Y8" s="27" t="s">
        <v>213</v>
      </c>
      <c r="Z8" s="27" t="s">
        <v>204</v>
      </c>
      <c r="AA8" s="27" t="s">
        <v>126</v>
      </c>
      <c r="AB8" s="27" t="s">
        <v>129</v>
      </c>
      <c r="AC8" s="27" t="s">
        <v>132</v>
      </c>
      <c r="AD8" s="27" t="s">
        <v>135</v>
      </c>
      <c r="AE8" s="27" t="s">
        <v>138</v>
      </c>
      <c r="AF8" s="27" t="s">
        <v>351</v>
      </c>
      <c r="AG8" s="23"/>
    </row>
    <row r="9" spans="1:33" outlineLevel="1" x14ac:dyDescent="0.3">
      <c r="A9" s="16" t="s">
        <v>490</v>
      </c>
      <c r="B9" s="27" t="s">
        <v>121</v>
      </c>
      <c r="C9" s="27" t="s">
        <v>164</v>
      </c>
      <c r="D9" s="27" t="s">
        <v>164</v>
      </c>
      <c r="E9" s="27" t="s">
        <v>160</v>
      </c>
      <c r="F9" s="27"/>
      <c r="G9" s="27" t="s">
        <v>180</v>
      </c>
      <c r="H9" s="27" t="s">
        <v>174</v>
      </c>
      <c r="I9" s="27" t="s">
        <v>183</v>
      </c>
      <c r="J9" s="27" t="s">
        <v>121</v>
      </c>
      <c r="K9" s="27" t="s">
        <v>127</v>
      </c>
      <c r="L9" s="27" t="s">
        <v>130</v>
      </c>
      <c r="M9" s="27" t="s">
        <v>133</v>
      </c>
      <c r="N9" s="27" t="s">
        <v>136</v>
      </c>
      <c r="O9" s="27" t="s">
        <v>139</v>
      </c>
      <c r="P9" s="27" t="s">
        <v>142</v>
      </c>
      <c r="Q9" s="27" t="s">
        <v>147</v>
      </c>
      <c r="R9" s="27" t="s">
        <v>150</v>
      </c>
      <c r="S9" s="27" t="s">
        <v>155</v>
      </c>
      <c r="T9" s="27" t="s">
        <v>160</v>
      </c>
      <c r="U9" s="27" t="s">
        <v>164</v>
      </c>
      <c r="V9" s="27" t="s">
        <v>169</v>
      </c>
      <c r="W9" s="27" t="s">
        <v>218</v>
      </c>
      <c r="X9" s="27" t="s">
        <v>209</v>
      </c>
      <c r="Y9" s="27" t="s">
        <v>214</v>
      </c>
      <c r="Z9" s="27" t="s">
        <v>205</v>
      </c>
      <c r="AA9" s="27" t="s">
        <v>127</v>
      </c>
      <c r="AB9" s="27" t="s">
        <v>130</v>
      </c>
      <c r="AC9" s="27" t="s">
        <v>133</v>
      </c>
      <c r="AD9" s="27" t="s">
        <v>136</v>
      </c>
      <c r="AE9" s="27" t="s">
        <v>139</v>
      </c>
      <c r="AF9" s="27" t="s">
        <v>352</v>
      </c>
      <c r="AG9" s="24"/>
    </row>
    <row r="10" spans="1:33" outlineLevel="1" x14ac:dyDescent="0.3">
      <c r="A10" s="16" t="s">
        <v>491</v>
      </c>
      <c r="B10" s="27" t="s">
        <v>224</v>
      </c>
      <c r="C10" s="27" t="s">
        <v>165</v>
      </c>
      <c r="D10" s="27" t="s">
        <v>200</v>
      </c>
      <c r="E10" s="27" t="s">
        <v>226</v>
      </c>
      <c r="F10" s="27"/>
      <c r="G10" s="27" t="s">
        <v>175</v>
      </c>
      <c r="H10" s="27" t="s">
        <v>175</v>
      </c>
      <c r="I10" s="27" t="s">
        <v>184</v>
      </c>
      <c r="J10" s="27" t="s">
        <v>122</v>
      </c>
      <c r="K10" s="27" t="s">
        <v>122</v>
      </c>
      <c r="L10" s="27" t="s">
        <v>122</v>
      </c>
      <c r="M10" s="27" t="s">
        <v>122</v>
      </c>
      <c r="N10" s="27" t="s">
        <v>122</v>
      </c>
      <c r="O10" s="27" t="s">
        <v>122</v>
      </c>
      <c r="P10" s="27" t="s">
        <v>143</v>
      </c>
      <c r="Q10" s="27" t="s">
        <v>143</v>
      </c>
      <c r="R10" s="27" t="s">
        <v>151</v>
      </c>
      <c r="S10" s="27" t="s">
        <v>156</v>
      </c>
      <c r="T10" s="27" t="s">
        <v>447</v>
      </c>
      <c r="U10" s="27" t="s">
        <v>165</v>
      </c>
      <c r="V10" s="27" t="s">
        <v>170</v>
      </c>
      <c r="W10" s="27" t="s">
        <v>219</v>
      </c>
      <c r="X10" s="27" t="s">
        <v>210</v>
      </c>
      <c r="Y10" s="27" t="s">
        <v>210</v>
      </c>
      <c r="Z10" s="27" t="s">
        <v>184</v>
      </c>
      <c r="AA10" s="27" t="s">
        <v>184</v>
      </c>
      <c r="AB10" s="27" t="s">
        <v>184</v>
      </c>
      <c r="AC10" s="27" t="s">
        <v>184</v>
      </c>
      <c r="AD10" s="27" t="s">
        <v>184</v>
      </c>
      <c r="AE10" s="27" t="s">
        <v>184</v>
      </c>
      <c r="AF10" s="27" t="s">
        <v>156</v>
      </c>
      <c r="AG10" s="23"/>
    </row>
    <row r="11" spans="1:33" outlineLevel="1" x14ac:dyDescent="0.3">
      <c r="A11" s="16" t="s">
        <v>492</v>
      </c>
      <c r="B11" s="27" t="s">
        <v>225</v>
      </c>
      <c r="C11" s="27" t="s">
        <v>166</v>
      </c>
      <c r="D11" s="27" t="s">
        <v>201</v>
      </c>
      <c r="E11" s="27" t="s">
        <v>227</v>
      </c>
      <c r="F11" s="27"/>
      <c r="G11" s="27" t="s">
        <v>176</v>
      </c>
      <c r="H11" s="27" t="s">
        <v>176</v>
      </c>
      <c r="I11" s="27" t="s">
        <v>185</v>
      </c>
      <c r="J11" s="27" t="s">
        <v>118</v>
      </c>
      <c r="K11" s="27" t="s">
        <v>118</v>
      </c>
      <c r="L11" s="27" t="s">
        <v>118</v>
      </c>
      <c r="M11" s="27" t="s">
        <v>118</v>
      </c>
      <c r="N11" s="27" t="s">
        <v>118</v>
      </c>
      <c r="O11" s="27" t="s">
        <v>118</v>
      </c>
      <c r="P11" s="27" t="s">
        <v>144</v>
      </c>
      <c r="Q11" s="27" t="s">
        <v>144</v>
      </c>
      <c r="R11" s="27" t="s">
        <v>152</v>
      </c>
      <c r="S11" s="27" t="s">
        <v>157</v>
      </c>
      <c r="T11" s="27" t="s">
        <v>448</v>
      </c>
      <c r="U11" s="27" t="s">
        <v>166</v>
      </c>
      <c r="V11" s="27" t="s">
        <v>171</v>
      </c>
      <c r="W11" s="27" t="s">
        <v>220</v>
      </c>
      <c r="X11" s="27" t="s">
        <v>211</v>
      </c>
      <c r="Y11" s="27" t="s">
        <v>211</v>
      </c>
      <c r="Z11" s="27" t="s">
        <v>185</v>
      </c>
      <c r="AA11" s="27" t="s">
        <v>185</v>
      </c>
      <c r="AB11" s="27" t="s">
        <v>185</v>
      </c>
      <c r="AC11" s="27" t="s">
        <v>185</v>
      </c>
      <c r="AD11" s="27" t="s">
        <v>185</v>
      </c>
      <c r="AE11" s="27" t="s">
        <v>185</v>
      </c>
      <c r="AF11" s="27" t="s">
        <v>157</v>
      </c>
      <c r="AG11" s="23"/>
    </row>
    <row r="12" spans="1:33" outlineLevel="1" x14ac:dyDescent="0.3">
      <c r="B12" s="4" t="str">
        <f>INDEX({"31/01/2024 @ 15:43","macro_id=DBGlobal","label_id=144396","time=Q","year_from=2000","year_to=2023","direction=V","opt_font=true","fontsize=8","opt_color=true","col_desc=Calculation:10;Footnote 1:9;ID:8;Label:7;Reporter:6:s;Reporter:5:long;Indicator:4:s;Indicator:3:l;Unit:2:s;Unit:1:long;","numberformat=0.00","auto_tr=1999|2015","com=true","comp=4"},1,1)</f>
        <v>31/01/2024 @ 15:43</v>
      </c>
      <c r="C12" s="4" t="str">
        <f>INDEX({"31/01/2024 @ 15:43","macro_id=DBGlobal","label_id=77811","time=Q","year_from=2000","year_to=2023","direction=V","opt_font=true","fontsize=8","opt_color=true","col_desc=Calculation:10;Footnote 1:9;ID:8;Label:7;Reporter:6:s;Reporter:5:long;Indicator:4:s;Indicator:3:l;Unit:2:s;Unit:1:long;","numberformat=0.00","auto_tr=1999|2015","com=true","comp=4"},1,1)</f>
        <v>31/01/2024 @ 15:43</v>
      </c>
      <c r="D12" s="6" t="str">
        <f>INDEX({"31/01/2024 @ 15:43","macro_id=DBGlobal","label_id=77812","calc=SubScal(L_77812,100)","time=Q","year_from=2000","year_to=2023","direction=V","opt_font=true","fontsize=8","opt_color=true","col_desc=Calculation:10;Footnote 1:9;ID:8;Label:7;Reporter:6:s;Reporter:5:long;Indicator:4:s;Indicator:3:l;Unit:2:s;Unit:1:long;","numberformat=0.00","auto_tr=1999|2015","com=true","comp=4"},1,1)</f>
        <v>31/01/2024 @ 15:43</v>
      </c>
      <c r="E12" s="4" t="str">
        <f>INDEX({"31/01/2024 @ 15:43","macro_id=DBGlobal","label_id=144399","time=Q","year_from=2000","year_to=2023","direction=V","opt_font=true","fontsize=8","opt_color=true","col_desc=Calculation:10;Footnote 1:9;ID:8;Label:7;Reporter:6:s;Reporter:5:long;Indicator:4:s;Indicator:3:l;Unit:2:s;Unit:1:long;","numberformat=0.00","auto_tr=1999|2015","com=true","comp=4"},1,1)</f>
        <v>31/01/2024 @ 15:43</v>
      </c>
      <c r="F12" s="4" t="str">
        <f>INDEX({"31/01/2024 @ 15:43","macro_id=DBGlobal","label_id=101874","time=Q","year_from=2000","year_to=2023","direction=V","opt_font=true","fontsize=8","opt_color=true","col_desc=Calculation:10;Footnote 1:9;ID:8;Label:7;Reporter:6:s;Reporter:5:long;Indicator:4:s;Indicator:3:l;Unit:2:s;Unit:1:long;","numberformat=0.00","auto_tr=1999|2015","com=true","comp=4"},1,1)</f>
        <v>31/01/2024 @ 15:43</v>
      </c>
      <c r="G12" s="5" t="str">
        <f>INDEX({"31/01/2024 @ 15:43","macro_id=DBGlobal","label_id=122124","calc=SubScal(CPPY=100(L_122124),100)","time=Q","year_from=2000","year_to=2023","direction=V","opt_font=true","fontsize=8","opt_color=true","col_desc=Calculation:10;Footnote 1:9;ID:8;Label:7;Reporter:6:s;Reporter:5:long;Indicator:4:s;Indicator:3:l;Unit:2:s;Unit:1:long;","numberformat=0.00","auto_tr=1999|2015","com=true","comp=4"},1,1)</f>
        <v>31/01/2024 @ 15:43</v>
      </c>
      <c r="H12" s="5" t="str">
        <f>INDEX({"31/01/2024 @ 15:43","macro_id=DBGlobal","label_id=122120","calc=SubScal(CPPY=100(L_122120),100)","time=Q","year_from=2000","year_to=2023","direction=V","opt_font=true","fontsize=8","opt_color=true","col_desc=Calculation:10;Footnote 1:9;ID:8;Label:7;Reporter:6:s;Reporter:5:long;Indicator:4:s;Indicator:3:l;Unit:2:s;Unit:1:long;","numberformat=0.00","auto_tr=1999|2015","com=true","comp=4"},1,1)</f>
        <v>31/01/2024 @ 15:43</v>
      </c>
      <c r="I12" s="1" t="str">
        <f>INDEX({"31/01/2024 @ 15:43","macro_id=DBGlobal","label_id=122131","time=Q","year_from=2000","year_to=2023","direction=V","opt_font=true","fontsize=8","opt_color=true","col_desc=Calculation:10;Footnote 1:9;ID:8;Label:7;Reporter:6:s;Reporter:5:long;Indicator:4:s;Indicator:3:l;Unit:2:s;Unit:1:long;","numberformat=0.00","auto_tr=1999|2015","com=true","comp=4"},1,1)</f>
        <v>31/01/2024 @ 15:43</v>
      </c>
      <c r="J12" s="5" t="str">
        <f>INDEX({"31/01/2024 @ 15:43","macro_id=DBGlobal","label_id=89041","calc=SubScal(CPPY=100(L_89041),100)","time=Q","year_from=2000","year_to=2023","direction=V","opt_font=true","fontsize=8","opt_color=true","col_desc=Calculation:10;Footnote 1:9;ID:8;Label:7;Reporter:6:s;Reporter:5:long;Indicator:4:s;Indicator:3:l;Unit:2:s;Unit:1:long;","numberformat=0.00","auto_tr=1999|2015","com=true","comp=4"},1,1)</f>
        <v>31/01/2024 @ 15:43</v>
      </c>
      <c r="K12" s="5" t="str">
        <f>INDEX({"31/01/2024 @ 15:43","macro_id=DBGlobal","label_id=90865","calc=SubScal(CPPY=100(L_90865),100)","time=Q","year_from=2000","year_to=2023","direction=V","opt_font=true","fontsize=8","opt_color=true","col_desc=Calculation:10;Footnote 1:9;ID:8;Label:7;Reporter:6:s;Reporter:5:long;Indicator:4:s;Indicator:3:l;Unit:2:s;Unit:1:long;","numberformat=0.00","auto_tr=1999|2015","com=true","comp=4"},1,1)</f>
        <v>31/01/2024 @ 15:43</v>
      </c>
      <c r="L12" s="5" t="str">
        <f>INDEX({"31/01/2024 @ 15:43","macro_id=DBGlobal","label_id=90909","calc=SubScal(CPPY=100(L_90909),100)","time=Q","year_from=2000","year_to=2023","direction=V","opt_font=true","fontsize=8","opt_color=true","col_desc=Calculation:10;Footnote 1:9;ID:8;Label:7;Reporter:6:s;Reporter:5:long;Indicator:4:s;Indicator:3:l;Unit:2:s;Unit:1:long;","numberformat=0.00","auto_tr=1999|2015","com=true","comp=4"},1,1)</f>
        <v>31/01/2024 @ 15:43</v>
      </c>
      <c r="M12" s="5" t="str">
        <f>INDEX({"31/01/2024 @ 15:43","macro_id=DBGlobal","label_id=90931","calc=SubScal(CPPY=100(L_90931),100)","time=Q","year_from=2000","year_to=2023","direction=V","opt_font=true","fontsize=8","opt_color=true","col_desc=Calculation:10;Footnote 1:9;ID:8;Label:7;Reporter:6:s;Reporter:5:long;Indicator:4:s;Indicator:3:l;Unit:2:s;Unit:1:long;","numberformat=0.00","auto_tr=1999|2015","com=true","comp=4"},1,1)</f>
        <v>31/01/2024 @ 15:43</v>
      </c>
      <c r="N12" s="5" t="str">
        <f>INDEX({"31/01/2024 @ 15:43","macro_id=DBGlobal","label_id=90975","calc=SubScal(CPPY=100(L_90975),100)","time=Q","year_from=2000","year_to=2023","direction=V","opt_font=true","fontsize=8","opt_color=true","col_desc=Calculation:10;Footnote 1:9;ID:8;Label:7;Reporter:6:s;Reporter:5:long;Indicator:4:s;Indicator:3:l;Unit:2:s;Unit:1:long;","numberformat=0.00","auto_tr=1999|2015","com=true","comp=4"},1,1)</f>
        <v>31/01/2024 @ 15:43</v>
      </c>
      <c r="O12" s="5" t="str">
        <f>INDEX({"31/01/2024 @ 15:43","macro_id=DBGlobal","label_id=90997","calc=SubScal(CPPY=100(L_90997),100)","time=Q","year_from=2000","year_to=2023","direction=V","opt_font=true","fontsize=8","opt_color=true","col_desc=Calculation:10;Footnote 1:9;ID:8;Label:7;Reporter:6:s;Reporter:5:long;Indicator:4:s;Indicator:3:l;Unit:2:s;Unit:1:long;","numberformat=0.00","auto_tr=1999|2015","com=true","comp=4"},1,1)</f>
        <v>31/01/2024 @ 15:43</v>
      </c>
      <c r="P12" s="1" t="str">
        <f>INDEX({"31/01/2024 @ 15:43","macro_id=DBGlobal","label_id=122704","time=Q","year_from=2000","year_to=2023","direction=V","opt_font=true","fontsize=8","opt_color=true","col_desc=Calculation:10;Footnote 1:9;ID:8;Label:7;Reporter:6:s;Reporter:5:long;Indicator:4:s;Indicator:3:l;Unit:2:s;Unit:1:long;","numberformat=0.00","auto_tr=1999|2015","com=true","comp=4"},1,1)</f>
        <v>31/01/2024 @ 15:43</v>
      </c>
      <c r="Q12" s="1" t="str">
        <f>INDEX({"31/01/2024 @ 15:43","macro_id=DBGlobal","label_id=122708","time=Q","year_from=2000","year_to=2023","direction=V","opt_font=true","fontsize=8","opt_color=true","col_desc=Calculation:10;Footnote 1:9;ID:8;Label:7;Reporter:6:s;Reporter:5:long;Indicator:4:s;Indicator:3:l;Unit:2:s;Unit:1:long;","numberformat=0.00","auto_tr=1999|2015","com=true","comp=4"},1,1)</f>
        <v>31/01/2024 @ 15:43</v>
      </c>
      <c r="R12" s="1" t="str">
        <f>INDEX({"31/01/2024 @ 15:43","macro_id=DBGlobal","label_id=122709","time=Q","year_from=2000","year_to=2023","direction=V","opt_font=true","fontsize=8","opt_color=true","col_desc=Calculation:10;Footnote 1:9;ID:8;Label:7;Reporter:6:s;Reporter:5:long;Indicator:4:s;Indicator:3:l;Unit:2:s;Unit:1:long;","numberformat=0.00","auto_tr=1999|2015","com=true","comp=4"},1,1)</f>
        <v>31/01/2024 @ 15:43</v>
      </c>
      <c r="S12" s="5" t="str">
        <f>INDEX({"31/01/2024 @ 15:43","macro_id=DBGlobal","label_id=122199","calc=SubScal(L_122199,100)","time=Q","year_from=2000","year_to=2023","direction=V","opt_font=true","fontsize=8","opt_color=true","col_desc=Calculation:10;Footnote 1:9;ID:8;Label:7;Reporter:6:s;Reporter:5:long;Indicator:4:s;Indicator:3:l;Unit:2:s;Unit:1:long;","numberformat=0.00","auto_tr=1999|2015","com=true","comp=4"},1,1)</f>
        <v>31/01/2024 @ 15:43</v>
      </c>
      <c r="T12" s="1" t="str">
        <f>INDEX({"31/01/2024 @ 15:43","macro_id=DBGlobal","label_id=122150","time=Q","year_from=2000","year_to=2023","direction=V","opt_font=true","fontsize=8","opt_color=true","col_desc=Calculation:10;Footnote 1:9;ID:8;Label:7;Reporter:6:s;Reporter:5:long;Indicator:4:s;Indicator:3:l;Unit:2:s;Unit:1:long;","numberformat=0.00","auto_tr=1999|2015","com=true","comp=4"},1,1)</f>
        <v>31/01/2024 @ 15:43</v>
      </c>
      <c r="U12" s="1" t="str">
        <f>INDEX({"31/01/2024 @ 15:43","macro_id=DBGlobal","label_id=122221","time=Q","year_from=2000","year_to=2023","direction=V","opt_font=true","fontsize=8","opt_color=true","col_desc=Calculation:10;Footnote 1:9;ID:8;Label:7;Reporter:6:s;Reporter:5:long;Indicator:4:s;Indicator:3:l;Unit:2:s;Unit:1:long;","numberformat=0.00","auto_tr=1999|2015","com=true","comp=4"},1,1)</f>
        <v>31/01/2024 @ 15:43</v>
      </c>
      <c r="V12" s="1" t="str">
        <f>INDEX({"31/01/2024 @ 15:43","macro_id=DBGlobal","label_id=122230","time=Q","year_from=2000","year_to=2023","direction=V","opt_font=true","fontsize=8","opt_color=true","col_desc=Calculation:10;Footnote 1:9;ID:8;Label:7;Reporter:6:s;Reporter:5:long;Indicator:4:s;Indicator:3:l;Unit:2:s;Unit:1:long;","numberformat=0.00","auto_tr=1999|2015","com=true","comp=4"},1,1)</f>
        <v>31/01/2024 @ 15:43</v>
      </c>
      <c r="W12" s="5" t="str">
        <f>INDEX({"31/01/2024 @ 15:43","macro_id=DBGlobal","label_id=122191","calc=SubScal(L_122191,100)","time=Q","year_from=2000","year_to=2023","direction=V","opt_font=true","fontsize=8","opt_color=true","col_desc=Calculation:10;Footnote 1:9;ID:8;Label:7;Reporter:6:s;Reporter:5:long;Indicator:4:s;Indicator:3:l;Unit:2:s;Unit:1:long;","numberformat=0.00","auto_tr=1999|2015","com=true","comp=4"},1,1)</f>
        <v>31/01/2024 @ 15:43</v>
      </c>
      <c r="X12" s="6" t="str">
        <f>INDEX({"31/01/2024 @ 15:43","macro_id=DBGlobal","label_id=122162","calc=SubScal(CPPY=100(AddNull(L_122162,L_122170)),100)","time=Q","year_from=2000","year_to=2023","direction=V","opt_font=true","fontsize=8","opt_color=true","col_desc=Calculation:10;Footnote 1:9;ID:8;Label:7;Reporter:6:s;Reporter:5:long;Indicator:4:s;Indicator:3:l;Unit:2:s;Unit:1:long;","numberformat=0.00","auto_tr=1999|2015","com=true","comp=4"},1,1)</f>
        <v>31/01/2024 @ 15:43</v>
      </c>
      <c r="Y12" s="6" t="str">
        <f>INDEX({"31/01/2024 @ 15:43","macro_id=DBGlobal","label_id=122166","calc=SubScal(CPPY=100(AddNull(L_122166,L_122174)),100)","time=Q","year_from=2000","year_to=2023","direction=V","opt_font=true","fontsize=8","opt_color=true","col_desc=Calculation:10;Footnote 1:9;ID:8;Label:7;Reporter:6:s;Reporter:5:long;Indicator:4:s;Indicator:3:l;Unit:2:s;Unit:1:long;","numberformat=0.00","auto_tr=1999|2015","com=true","comp=4"},1,1)</f>
        <v>31/01/2024 @ 15:43</v>
      </c>
      <c r="Z12" s="1" t="str">
        <f>INDEX({"31/01/2024 @ 15:43","macro_id=DBGlobal","label_id=122158","time=Q","year_from=2000","year_to=2023","direction=V","opt_font=true","fontsize=8","opt_color=true","col_desc=Calculation:10;Footnote 1:9;ID:8;Label:7;Reporter:6:s;Reporter:5:long;Indicator:4:s;Indicator:3:l;Unit:2:s;Unit:1:long;","numberformat=0.00","auto_tr=1999|2015","com=true","comp=4"},1,1)</f>
        <v>31/01/2024 @ 15:43</v>
      </c>
      <c r="AA12" s="5" t="str">
        <f>INDEX({"31/01/2024 @ 15:43","macro_id=DBGlobal","label_id=90337","calc=AddNull(L_90337,L_90359)","time=Q","year_from=2000","year_to=2023","direction=V","opt_font=true","fontsize=8","opt_color=true","col_desc=Calculation:10;Footnote 1:9;ID:8;Label:7;Reporter:6:s;Reporter:5:long;Indicator:4:s;Indicator:3:l;Unit:2:s;Unit:1:long;","numberformat=0.00","auto_tr=1999|2015","com=true","comp=4"},1,1)</f>
        <v>31/01/2024 @ 15:43</v>
      </c>
      <c r="AB12" s="1" t="str">
        <f>INDEX({"31/01/2024 @ 15:43","macro_id=DBGlobal","label_id=90381","time=Q","year_from=2000","year_to=2023","direction=V","opt_font=true","fontsize=8","opt_color=true","col_desc=Calculation:10;Footnote 1:9;ID:8;Label:7;Reporter:6:s;Reporter:5:long;Indicator:4:s;Indicator:3:l;Unit:2:s;Unit:1:long;","numberformat=0.00","auto_tr=1999|2015","com=true","comp=4"},1,1)</f>
        <v>31/01/2024 @ 15:43</v>
      </c>
      <c r="AC12" s="1" t="str">
        <f>INDEX({"31/01/2024 @ 15:43","macro_id=DBGlobal","label_id=90403","time=Q","year_from=2000","year_to=2023","direction=V","opt_font=true","fontsize=8","opt_color=true","col_desc=Calculation:10;Footnote 1:9;ID:8;Label:7;Reporter:6:s;Reporter:5:long;Indicator:4:s;Indicator:3:l;Unit:2:s;Unit:1:long;","numberformat=0.00","auto_tr=1999|2015","com=true","comp=4"},1,1)</f>
        <v>31/01/2024 @ 15:43</v>
      </c>
      <c r="AD12" s="1" t="str">
        <f>INDEX({"31/01/2024 @ 15:43","macro_id=DBGlobal","label_id=90491","time=Q","year_from=2000","year_to=2023","direction=V","opt_font=true","fontsize=8","opt_color=true","col_desc=Calculation:10;Footnote 1:9;ID:8;Label:7;Reporter:6:s;Reporter:5:long;Indicator:4:s;Indicator:3:l;Unit:2:s;Unit:1:long;","numberformat=0.00","auto_tr=1999|2015","com=true","comp=4"},1,1)</f>
        <v>31/01/2024 @ 15:43</v>
      </c>
      <c r="AE12" s="1" t="str">
        <f>INDEX({"31/01/2024 @ 15:43","macro_id=DBGlobal","label_id=90513","time=Q","year_from=2000","year_to=2023","direction=V","opt_font=true","fontsize=8","opt_color=true","col_desc=Calculation:10;Footnote 1:9;ID:8;Label:7;Reporter:6:s;Reporter:5:long;Indicator:4:s;Indicator:3:l;Unit:2:s;Unit:1:long;","numberformat=0.00","auto_tr=1999|2015","com=true","comp=4"},1,1)</f>
        <v>31/01/2024 @ 15:43</v>
      </c>
      <c r="AF12" s="5" t="str">
        <f>INDEX({"31/01/2024 @ 15:43","macro_id=DBGlobal","label_id=89611","calc=SubScal(L_89611,100)","time=Q","year_from=2000","year_to=2023","direction=V","opt_font=true","fontsize=8","opt_color=true","col_desc=Calculation:10;Footnote 1:9;ID:8;Label:7;Reporter:6:s;Reporter:5:long;Indicator:4:s;Indicator:3:l;Unit:2:s;Unit:1:long;","numberformat=0.00","auto_tr=1999|2015","com=true","comp=4"},1,1)</f>
        <v>31/01/2024 @ 15:43</v>
      </c>
      <c r="AG12" s="25" t="str">
        <f>INDEX({"31/01/2024 @ 15:43","macro_id=DBGlobal","label_id=bybgdtpx_help_q&gt;mdb-h","time=Q","year_from=2000","year_to=2023","direction=V","opt_font=true","fontsize=8","opt_color=true","col_desc=Calculation:10;Footnote 1:9;ID:8;Label:7;Reporter:6:s;Reporter:5:long;Indicator:4:s;Indicator:3:l;Unit:2:s;Unit:1:long;","numberformat=0.00","auto_tr=1999|2015","com=true","comp=4"},1,1)</f>
        <v>31/01/2024 @ 15:43</v>
      </c>
    </row>
    <row r="13" spans="1:33" s="11" customFormat="1" x14ac:dyDescent="0.3">
      <c r="A13" s="11" t="s">
        <v>19</v>
      </c>
      <c r="B13" s="12">
        <v>4.8214176000000002</v>
      </c>
      <c r="C13" s="12">
        <v>73.989999999999995</v>
      </c>
      <c r="D13" s="12">
        <v>1.7557532</v>
      </c>
      <c r="E13" s="12">
        <v>3.25</v>
      </c>
      <c r="F13" s="13">
        <v>26.926666699999998</v>
      </c>
      <c r="G13" s="7" t="s">
        <v>107</v>
      </c>
      <c r="H13" s="7" t="s">
        <v>107</v>
      </c>
      <c r="I13" s="7" t="s">
        <v>107</v>
      </c>
      <c r="J13" s="7" t="s">
        <v>107</v>
      </c>
      <c r="K13" s="7" t="s">
        <v>107</v>
      </c>
      <c r="L13" s="7" t="s">
        <v>107</v>
      </c>
      <c r="M13" s="7" t="s">
        <v>107</v>
      </c>
      <c r="N13" s="7" t="s">
        <v>107</v>
      </c>
      <c r="O13" s="7" t="s">
        <v>107</v>
      </c>
      <c r="P13" s="7" t="s">
        <v>107</v>
      </c>
      <c r="Q13" s="7" t="s">
        <v>107</v>
      </c>
      <c r="R13" s="7" t="s">
        <v>107</v>
      </c>
      <c r="S13" s="12">
        <v>303.04246599999999</v>
      </c>
      <c r="T13" s="12">
        <v>130</v>
      </c>
      <c r="U13" s="12">
        <v>3.2288266000000001</v>
      </c>
      <c r="V13" s="12">
        <v>3.4500000000000003E-2</v>
      </c>
      <c r="W13" s="7" t="s">
        <v>107</v>
      </c>
      <c r="X13" s="7" t="s">
        <v>107</v>
      </c>
      <c r="Y13" s="7" t="s">
        <v>107</v>
      </c>
      <c r="Z13" s="12">
        <v>-4.4823491999999998</v>
      </c>
      <c r="AA13" s="12">
        <v>65.481694899999994</v>
      </c>
      <c r="AB13" s="12">
        <v>21.829758200000001</v>
      </c>
      <c r="AC13" s="12">
        <v>16.9104828</v>
      </c>
      <c r="AD13" s="12">
        <v>54.513757300000002</v>
      </c>
      <c r="AE13" s="12">
        <v>58.568938099999997</v>
      </c>
      <c r="AF13" s="7" t="s">
        <v>107</v>
      </c>
      <c r="AG13" s="22" t="s">
        <v>107</v>
      </c>
    </row>
    <row r="14" spans="1:33" s="11" customFormat="1" outlineLevel="1" x14ac:dyDescent="0.3">
      <c r="A14" s="11" t="s">
        <v>20</v>
      </c>
      <c r="B14" s="12">
        <v>4.3154814000000004</v>
      </c>
      <c r="C14" s="12">
        <v>74.493333300000003</v>
      </c>
      <c r="D14" s="12">
        <v>1.6742492</v>
      </c>
      <c r="E14" s="12">
        <v>3.9166666999999999</v>
      </c>
      <c r="F14" s="13">
        <v>26.766666699999998</v>
      </c>
      <c r="G14" s="7" t="s">
        <v>107</v>
      </c>
      <c r="H14" s="7" t="s">
        <v>107</v>
      </c>
      <c r="I14" s="7" t="s">
        <v>107</v>
      </c>
      <c r="J14" s="7" t="s">
        <v>107</v>
      </c>
      <c r="K14" s="7" t="s">
        <v>107</v>
      </c>
      <c r="L14" s="7" t="s">
        <v>107</v>
      </c>
      <c r="M14" s="7" t="s">
        <v>107</v>
      </c>
      <c r="N14" s="7" t="s">
        <v>107</v>
      </c>
      <c r="O14" s="7" t="s">
        <v>107</v>
      </c>
      <c r="P14" s="7" t="s">
        <v>107</v>
      </c>
      <c r="Q14" s="7" t="s">
        <v>107</v>
      </c>
      <c r="R14" s="7" t="s">
        <v>107</v>
      </c>
      <c r="S14" s="12">
        <v>220.43601889999999</v>
      </c>
      <c r="T14" s="12">
        <v>90</v>
      </c>
      <c r="U14" s="12">
        <v>3.8099845000000001</v>
      </c>
      <c r="V14" s="12">
        <v>4.0566699999999997E-2</v>
      </c>
      <c r="W14" s="7" t="s">
        <v>107</v>
      </c>
      <c r="X14" s="7" t="s">
        <v>107</v>
      </c>
      <c r="Y14" s="7" t="s">
        <v>107</v>
      </c>
      <c r="Z14" s="12">
        <v>-10.4912036</v>
      </c>
      <c r="AA14" s="12">
        <v>60.844978599999997</v>
      </c>
      <c r="AB14" s="12">
        <v>20.684030199999999</v>
      </c>
      <c r="AC14" s="12">
        <v>25.0611712</v>
      </c>
      <c r="AD14" s="12">
        <v>57.060518700000003</v>
      </c>
      <c r="AE14" s="12">
        <v>63.699635700000002</v>
      </c>
      <c r="AF14" s="7" t="s">
        <v>107</v>
      </c>
      <c r="AG14" s="22" t="s">
        <v>107</v>
      </c>
    </row>
    <row r="15" spans="1:33" s="11" customFormat="1" outlineLevel="1" x14ac:dyDescent="0.3">
      <c r="A15" s="11" t="s">
        <v>21</v>
      </c>
      <c r="B15" s="12">
        <v>3.5071058000000002</v>
      </c>
      <c r="C15" s="12">
        <v>74.819999999999993</v>
      </c>
      <c r="D15" s="12">
        <v>1.9670194000000001</v>
      </c>
      <c r="E15" s="17">
        <v>4.3333332999999996</v>
      </c>
      <c r="F15" s="13">
        <v>30.673333299999999</v>
      </c>
      <c r="G15" s="7" t="s">
        <v>107</v>
      </c>
      <c r="H15" s="7" t="s">
        <v>107</v>
      </c>
      <c r="I15" s="7" t="s">
        <v>107</v>
      </c>
      <c r="J15" s="7" t="s">
        <v>107</v>
      </c>
      <c r="K15" s="7" t="s">
        <v>107</v>
      </c>
      <c r="L15" s="7" t="s">
        <v>107</v>
      </c>
      <c r="M15" s="7" t="s">
        <v>107</v>
      </c>
      <c r="N15" s="7" t="s">
        <v>107</v>
      </c>
      <c r="O15" s="7" t="s">
        <v>107</v>
      </c>
      <c r="P15" s="7" t="s">
        <v>107</v>
      </c>
      <c r="Q15" s="7" t="s">
        <v>107</v>
      </c>
      <c r="R15" s="7" t="s">
        <v>107</v>
      </c>
      <c r="S15" s="12">
        <v>191.77024</v>
      </c>
      <c r="T15" s="12">
        <v>85</v>
      </c>
      <c r="U15" s="12">
        <v>4.4086596</v>
      </c>
      <c r="V15" s="12">
        <v>4.4400000000000002E-2</v>
      </c>
      <c r="W15" s="7" t="s">
        <v>107</v>
      </c>
      <c r="X15" s="7" t="s">
        <v>107</v>
      </c>
      <c r="Y15" s="7" t="s">
        <v>107</v>
      </c>
      <c r="Z15" s="12">
        <v>-1.8119514000000001</v>
      </c>
      <c r="AA15" s="12">
        <v>55.295726000000002</v>
      </c>
      <c r="AB15" s="12">
        <v>16.901712499999999</v>
      </c>
      <c r="AC15" s="12">
        <v>25.3777522</v>
      </c>
      <c r="AD15" s="12">
        <v>66.311699500000003</v>
      </c>
      <c r="AE15" s="12">
        <v>68.696934799999994</v>
      </c>
      <c r="AF15" s="7" t="s">
        <v>107</v>
      </c>
      <c r="AG15" s="22" t="s">
        <v>107</v>
      </c>
    </row>
    <row r="16" spans="1:33" s="11" customFormat="1" outlineLevel="1" x14ac:dyDescent="0.3">
      <c r="A16" s="11" t="s">
        <v>22</v>
      </c>
      <c r="B16" s="12">
        <v>2.8994336000000001</v>
      </c>
      <c r="C16" s="12">
        <v>75.3</v>
      </c>
      <c r="D16" s="12">
        <v>2.2218200000000001</v>
      </c>
      <c r="E16" s="17">
        <v>4.75</v>
      </c>
      <c r="F16" s="13">
        <v>29.7233333</v>
      </c>
      <c r="G16" s="7" t="s">
        <v>107</v>
      </c>
      <c r="H16" s="7" t="s">
        <v>107</v>
      </c>
      <c r="I16" s="7" t="s">
        <v>107</v>
      </c>
      <c r="J16" s="7" t="s">
        <v>107</v>
      </c>
      <c r="K16" s="7" t="s">
        <v>107</v>
      </c>
      <c r="L16" s="7" t="s">
        <v>107</v>
      </c>
      <c r="M16" s="7" t="s">
        <v>107</v>
      </c>
      <c r="N16" s="7" t="s">
        <v>107</v>
      </c>
      <c r="O16" s="7" t="s">
        <v>107</v>
      </c>
      <c r="P16" s="7" t="s">
        <v>107</v>
      </c>
      <c r="Q16" s="7" t="s">
        <v>107</v>
      </c>
      <c r="R16" s="7" t="s">
        <v>107</v>
      </c>
      <c r="S16" s="12">
        <v>164.95049700000001</v>
      </c>
      <c r="T16" s="12">
        <v>80</v>
      </c>
      <c r="U16" s="12">
        <v>5.1588066000000001</v>
      </c>
      <c r="V16" s="12">
        <v>4.8816699999999998E-2</v>
      </c>
      <c r="W16" s="7" t="s">
        <v>107</v>
      </c>
      <c r="X16" s="7" t="s">
        <v>107</v>
      </c>
      <c r="Y16" s="7" t="s">
        <v>107</v>
      </c>
      <c r="Z16" s="12">
        <v>-2.6954769000000001</v>
      </c>
      <c r="AA16" s="12">
        <v>52.512672899999998</v>
      </c>
      <c r="AB16" s="12">
        <v>20.054446500000001</v>
      </c>
      <c r="AC16" s="12">
        <v>29.1163402</v>
      </c>
      <c r="AD16" s="12">
        <v>71.988234599999998</v>
      </c>
      <c r="AE16" s="12">
        <v>74.356968499999994</v>
      </c>
      <c r="AF16" s="7" t="s">
        <v>107</v>
      </c>
      <c r="AG16" s="22" t="s">
        <v>107</v>
      </c>
    </row>
    <row r="17" spans="1:33" s="11" customFormat="1" outlineLevel="1" x14ac:dyDescent="0.3">
      <c r="A17" s="11" t="s">
        <v>23</v>
      </c>
      <c r="B17" s="12">
        <v>3.0047543999999999</v>
      </c>
      <c r="C17" s="12">
        <v>75.393333299999995</v>
      </c>
      <c r="D17" s="12">
        <v>1.8966527</v>
      </c>
      <c r="E17" s="17">
        <v>4.75</v>
      </c>
      <c r="F17" s="13">
        <v>25.873333299999999</v>
      </c>
      <c r="G17" s="7" t="s">
        <v>107</v>
      </c>
      <c r="H17" s="7" t="s">
        <v>107</v>
      </c>
      <c r="I17" s="7" t="s">
        <v>107</v>
      </c>
      <c r="J17" s="12">
        <v>2.4026798999999999</v>
      </c>
      <c r="K17" s="12">
        <v>9.9003969000000005</v>
      </c>
      <c r="L17" s="12">
        <v>2.6000326999999999</v>
      </c>
      <c r="M17" s="12">
        <v>-24.000828299999998</v>
      </c>
      <c r="N17" s="12">
        <v>4.6996399000000002</v>
      </c>
      <c r="O17" s="12">
        <v>-3.4010356000000002</v>
      </c>
      <c r="P17" s="7" t="s">
        <v>107</v>
      </c>
      <c r="Q17" s="7" t="s">
        <v>107</v>
      </c>
      <c r="R17" s="7" t="s">
        <v>107</v>
      </c>
      <c r="S17" s="12">
        <v>121.4523049</v>
      </c>
      <c r="T17" s="12">
        <v>70</v>
      </c>
      <c r="U17" s="12">
        <v>5.9053471999999996</v>
      </c>
      <c r="V17" s="12">
        <v>0.11350639999999999</v>
      </c>
      <c r="W17" s="7" t="s">
        <v>107</v>
      </c>
      <c r="X17" s="12">
        <v>-31.278367100000001</v>
      </c>
      <c r="Y17" s="12">
        <v>-36.920287299999998</v>
      </c>
      <c r="Z17" s="12">
        <v>1.7614506999999999</v>
      </c>
      <c r="AA17" s="12">
        <v>55.434646600000001</v>
      </c>
      <c r="AB17" s="12">
        <v>22.764227600000002</v>
      </c>
      <c r="AC17" s="12">
        <v>17.001250800000001</v>
      </c>
      <c r="AD17" s="12">
        <v>77.363977500000004</v>
      </c>
      <c r="AE17" s="12">
        <v>74.856160099999997</v>
      </c>
      <c r="AF17" s="7" t="s">
        <v>107</v>
      </c>
      <c r="AG17" s="22" t="s">
        <v>107</v>
      </c>
    </row>
    <row r="18" spans="1:33" s="11" customFormat="1" outlineLevel="1" x14ac:dyDescent="0.3">
      <c r="A18" s="11" t="s">
        <v>24</v>
      </c>
      <c r="B18" s="12">
        <v>2.2522867999999998</v>
      </c>
      <c r="C18" s="12">
        <v>76.483333299999998</v>
      </c>
      <c r="D18" s="12">
        <v>2.6713800000000001</v>
      </c>
      <c r="E18" s="17">
        <v>4.5833332999999996</v>
      </c>
      <c r="F18" s="13">
        <v>27.273333300000001</v>
      </c>
      <c r="G18" s="7" t="s">
        <v>107</v>
      </c>
      <c r="H18" s="7" t="s">
        <v>107</v>
      </c>
      <c r="I18" s="7" t="s">
        <v>107</v>
      </c>
      <c r="J18" s="12">
        <v>5.4004934000000002</v>
      </c>
      <c r="K18" s="12">
        <v>15.8006467</v>
      </c>
      <c r="L18" s="12">
        <v>3.5003193000000001</v>
      </c>
      <c r="M18" s="12">
        <v>-3.0013241000000002</v>
      </c>
      <c r="N18" s="12">
        <v>10.3991697</v>
      </c>
      <c r="O18" s="12">
        <v>6.0008010000000001</v>
      </c>
      <c r="P18" s="7" t="s">
        <v>107</v>
      </c>
      <c r="Q18" s="7" t="s">
        <v>107</v>
      </c>
      <c r="R18" s="7" t="s">
        <v>107</v>
      </c>
      <c r="S18" s="12">
        <v>118.0150086</v>
      </c>
      <c r="T18" s="12">
        <v>55</v>
      </c>
      <c r="U18" s="12">
        <v>6.491142</v>
      </c>
      <c r="V18" s="12">
        <v>0.11751159999999999</v>
      </c>
      <c r="W18" s="7" t="s">
        <v>107</v>
      </c>
      <c r="X18" s="12">
        <v>-30.1466265</v>
      </c>
      <c r="Y18" s="12">
        <v>-36.205759100000002</v>
      </c>
      <c r="Z18" s="12">
        <v>-3.7056186000000002</v>
      </c>
      <c r="AA18" s="12">
        <v>56.953406800000003</v>
      </c>
      <c r="AB18" s="12">
        <v>22.806259799999999</v>
      </c>
      <c r="AC18" s="12">
        <v>24.358518400000001</v>
      </c>
      <c r="AD18" s="12">
        <v>72.620801799999995</v>
      </c>
      <c r="AE18" s="12">
        <v>75.072404899999995</v>
      </c>
      <c r="AF18" s="7" t="s">
        <v>107</v>
      </c>
      <c r="AG18" s="22" t="s">
        <v>107</v>
      </c>
    </row>
    <row r="19" spans="1:33" s="11" customFormat="1" outlineLevel="1" x14ac:dyDescent="0.3">
      <c r="A19" s="11" t="s">
        <v>25</v>
      </c>
      <c r="B19" s="12">
        <v>1.8991327</v>
      </c>
      <c r="C19" s="12">
        <v>76.516666700000002</v>
      </c>
      <c r="D19" s="12">
        <v>2.2676647000000001</v>
      </c>
      <c r="E19" s="17">
        <v>4.1666667000000004</v>
      </c>
      <c r="F19" s="13">
        <v>25.303333299999998</v>
      </c>
      <c r="G19" s="7" t="s">
        <v>107</v>
      </c>
      <c r="H19" s="7" t="s">
        <v>107</v>
      </c>
      <c r="I19" s="7" t="s">
        <v>107</v>
      </c>
      <c r="J19" s="12">
        <v>5.2981471999999998</v>
      </c>
      <c r="K19" s="12">
        <v>21.1011363</v>
      </c>
      <c r="L19" s="12">
        <v>4.9006907999999996</v>
      </c>
      <c r="M19" s="12">
        <v>5.2981341999999998</v>
      </c>
      <c r="N19" s="12">
        <v>15.8993807</v>
      </c>
      <c r="O19" s="12">
        <v>19.199722999999999</v>
      </c>
      <c r="P19" s="7" t="s">
        <v>107</v>
      </c>
      <c r="Q19" s="7" t="s">
        <v>107</v>
      </c>
      <c r="R19" s="7" t="s">
        <v>107</v>
      </c>
      <c r="S19" s="12">
        <v>124.82445420000001</v>
      </c>
      <c r="T19" s="12">
        <v>50</v>
      </c>
      <c r="U19" s="12">
        <v>6.8239681000000001</v>
      </c>
      <c r="V19" s="12">
        <v>0.12747800000000001</v>
      </c>
      <c r="W19" s="7" t="s">
        <v>107</v>
      </c>
      <c r="X19" s="12">
        <v>-43.618601499999997</v>
      </c>
      <c r="Y19" s="12">
        <v>-42.002830400000001</v>
      </c>
      <c r="Z19" s="12">
        <v>-3.4368812000000002</v>
      </c>
      <c r="AA19" s="12">
        <v>57.500394200000002</v>
      </c>
      <c r="AB19" s="12">
        <v>18.737190600000002</v>
      </c>
      <c r="AC19" s="12">
        <v>24.018603200000001</v>
      </c>
      <c r="AD19" s="12">
        <v>63.832177199999997</v>
      </c>
      <c r="AE19" s="12">
        <v>67.9272426</v>
      </c>
      <c r="AF19" s="7" t="s">
        <v>107</v>
      </c>
      <c r="AG19" s="22" t="s">
        <v>107</v>
      </c>
    </row>
    <row r="20" spans="1:33" s="11" customFormat="1" outlineLevel="1" x14ac:dyDescent="0.3">
      <c r="A20" s="11" t="s">
        <v>26</v>
      </c>
      <c r="B20" s="12">
        <v>1.4300580000000001</v>
      </c>
      <c r="C20" s="12">
        <v>76.746666700000006</v>
      </c>
      <c r="D20" s="12">
        <v>1.9212041</v>
      </c>
      <c r="E20" s="17">
        <v>3.4166666999999999</v>
      </c>
      <c r="F20" s="13">
        <v>19.350000000000001</v>
      </c>
      <c r="G20" s="7" t="s">
        <v>107</v>
      </c>
      <c r="H20" s="7" t="s">
        <v>107</v>
      </c>
      <c r="I20" s="7" t="s">
        <v>107</v>
      </c>
      <c r="J20" s="12">
        <v>5.4022968999999996</v>
      </c>
      <c r="K20" s="12">
        <v>22.999820499999998</v>
      </c>
      <c r="L20" s="12">
        <v>2.0992940999999998</v>
      </c>
      <c r="M20" s="12">
        <v>14.8977681</v>
      </c>
      <c r="N20" s="12">
        <v>20.1008855</v>
      </c>
      <c r="O20" s="12">
        <v>25.5999491</v>
      </c>
      <c r="P20" s="7" t="s">
        <v>107</v>
      </c>
      <c r="Q20" s="7" t="s">
        <v>107</v>
      </c>
      <c r="R20" s="7" t="s">
        <v>107</v>
      </c>
      <c r="S20" s="12">
        <v>88.259175999999997</v>
      </c>
      <c r="T20" s="12">
        <v>48</v>
      </c>
      <c r="U20" s="12">
        <v>7.5375353</v>
      </c>
      <c r="V20" s="12">
        <v>0.1366996</v>
      </c>
      <c r="W20" s="7" t="s">
        <v>107</v>
      </c>
      <c r="X20" s="12">
        <v>-50.792802199999997</v>
      </c>
      <c r="Y20" s="12">
        <v>-44.016884300000001</v>
      </c>
      <c r="Z20" s="12">
        <v>-10.6632715</v>
      </c>
      <c r="AA20" s="12">
        <v>59.6926238</v>
      </c>
      <c r="AB20" s="12">
        <v>22.656407399999999</v>
      </c>
      <c r="AC20" s="12">
        <v>27.377835099999999</v>
      </c>
      <c r="AD20" s="12">
        <v>64.037384700000004</v>
      </c>
      <c r="AE20" s="12">
        <v>74.936550800000006</v>
      </c>
      <c r="AF20" s="7" t="s">
        <v>107</v>
      </c>
      <c r="AG20" s="22" t="s">
        <v>107</v>
      </c>
    </row>
    <row r="21" spans="1:33" s="11" customFormat="1" outlineLevel="1" x14ac:dyDescent="0.3">
      <c r="A21" s="11" t="s">
        <v>27</v>
      </c>
      <c r="B21" s="12">
        <v>7.1740499999999999E-2</v>
      </c>
      <c r="C21" s="12">
        <v>77.180000000000007</v>
      </c>
      <c r="D21" s="12">
        <v>2.3697940000000002</v>
      </c>
      <c r="E21" s="17">
        <v>3.25</v>
      </c>
      <c r="F21" s="13">
        <v>21.1333333</v>
      </c>
      <c r="G21" s="7" t="s">
        <v>107</v>
      </c>
      <c r="H21" s="7" t="s">
        <v>107</v>
      </c>
      <c r="I21" s="7" t="s">
        <v>107</v>
      </c>
      <c r="J21" s="12">
        <v>4.1002973000000003</v>
      </c>
      <c r="K21" s="12">
        <v>15.1005111</v>
      </c>
      <c r="L21" s="12">
        <v>-9.8691500000000001E-2</v>
      </c>
      <c r="M21" s="12">
        <v>46.907356900000003</v>
      </c>
      <c r="N21" s="12">
        <v>2.8992184000000001</v>
      </c>
      <c r="O21" s="12">
        <v>17.200551699999998</v>
      </c>
      <c r="P21" s="7" t="s">
        <v>107</v>
      </c>
      <c r="Q21" s="7" t="s">
        <v>107</v>
      </c>
      <c r="R21" s="7" t="s">
        <v>107</v>
      </c>
      <c r="S21" s="12">
        <v>79.699909500000004</v>
      </c>
      <c r="T21" s="12">
        <v>60</v>
      </c>
      <c r="U21" s="12">
        <v>8.6818185999999997</v>
      </c>
      <c r="V21" s="12">
        <v>0.14534569999999999</v>
      </c>
      <c r="W21" s="7" t="s">
        <v>107</v>
      </c>
      <c r="X21" s="12">
        <v>1.8224035999999999</v>
      </c>
      <c r="Y21" s="12">
        <v>6.7179305999999999</v>
      </c>
      <c r="Z21" s="12">
        <v>-0.21955749999999999</v>
      </c>
      <c r="AA21" s="12">
        <v>59.902930400000002</v>
      </c>
      <c r="AB21" s="12">
        <v>22.981946700000002</v>
      </c>
      <c r="AC21" s="12">
        <v>15.4986496</v>
      </c>
      <c r="AD21" s="12">
        <v>65.243791000000002</v>
      </c>
      <c r="AE21" s="12">
        <v>64.868103099999999</v>
      </c>
      <c r="AF21" s="7" t="s">
        <v>107</v>
      </c>
      <c r="AG21" s="22" t="s">
        <v>107</v>
      </c>
    </row>
    <row r="22" spans="1:33" s="11" customFormat="1" outlineLevel="1" x14ac:dyDescent="0.3">
      <c r="A22" s="11" t="s">
        <v>28</v>
      </c>
      <c r="B22" s="12">
        <v>1.2490021</v>
      </c>
      <c r="C22" s="12">
        <v>77.933333300000001</v>
      </c>
      <c r="D22" s="12">
        <v>1.8958379000000001</v>
      </c>
      <c r="E22" s="17">
        <v>3.25</v>
      </c>
      <c r="F22" s="13">
        <v>25.053333299999998</v>
      </c>
      <c r="G22" s="7" t="s">
        <v>107</v>
      </c>
      <c r="H22" s="7" t="s">
        <v>107</v>
      </c>
      <c r="I22" s="7" t="s">
        <v>107</v>
      </c>
      <c r="J22" s="12">
        <v>5.7993918000000004</v>
      </c>
      <c r="K22" s="12">
        <v>10.9005274</v>
      </c>
      <c r="L22" s="12">
        <v>-0.1009534</v>
      </c>
      <c r="M22" s="12">
        <v>30.7978159</v>
      </c>
      <c r="N22" s="12">
        <v>4.7004035000000002</v>
      </c>
      <c r="O22" s="12">
        <v>13.498877</v>
      </c>
      <c r="P22" s="7" t="s">
        <v>107</v>
      </c>
      <c r="Q22" s="7" t="s">
        <v>107</v>
      </c>
      <c r="R22" s="7" t="s">
        <v>107</v>
      </c>
      <c r="S22" s="12">
        <v>61.234996099999996</v>
      </c>
      <c r="T22" s="12">
        <v>46</v>
      </c>
      <c r="U22" s="12">
        <v>9.3685946999999992</v>
      </c>
      <c r="V22" s="12">
        <v>0.1613387</v>
      </c>
      <c r="W22" s="7" t="s">
        <v>107</v>
      </c>
      <c r="X22" s="12">
        <v>5.0443366000000003</v>
      </c>
      <c r="Y22" s="12">
        <v>-5.4693719999999999</v>
      </c>
      <c r="Z22" s="12">
        <v>3.8484064999999998</v>
      </c>
      <c r="AA22" s="12">
        <v>57.757333899999999</v>
      </c>
      <c r="AB22" s="12">
        <v>22.1443406</v>
      </c>
      <c r="AC22" s="12">
        <v>22.741433000000001</v>
      </c>
      <c r="AD22" s="12">
        <v>66.084177100000005</v>
      </c>
      <c r="AE22" s="12">
        <v>64.851051400000003</v>
      </c>
      <c r="AF22" s="7" t="s">
        <v>107</v>
      </c>
      <c r="AG22" s="22" t="s">
        <v>107</v>
      </c>
    </row>
    <row r="23" spans="1:33" s="11" customFormat="1" outlineLevel="1" x14ac:dyDescent="0.3">
      <c r="A23" s="11" t="s">
        <v>29</v>
      </c>
      <c r="B23" s="12">
        <v>1.6677649999999999</v>
      </c>
      <c r="C23" s="12">
        <v>77.973333299999993</v>
      </c>
      <c r="D23" s="12">
        <v>1.9037246000000001</v>
      </c>
      <c r="E23" s="17">
        <v>3.25</v>
      </c>
      <c r="F23" s="13">
        <v>26.93</v>
      </c>
      <c r="G23" s="7" t="s">
        <v>107</v>
      </c>
      <c r="H23" s="7" t="s">
        <v>107</v>
      </c>
      <c r="I23" s="7" t="s">
        <v>107</v>
      </c>
      <c r="J23" s="12">
        <v>4.7004912000000001</v>
      </c>
      <c r="K23" s="12">
        <v>9.2995763999999994</v>
      </c>
      <c r="L23" s="12">
        <v>-2.2991209000000001</v>
      </c>
      <c r="M23" s="12">
        <v>-13.1007698</v>
      </c>
      <c r="N23" s="12">
        <v>10.2004658</v>
      </c>
      <c r="O23" s="12">
        <v>3.6001525000000001</v>
      </c>
      <c r="P23" s="7" t="s">
        <v>107</v>
      </c>
      <c r="Q23" s="7" t="s">
        <v>107</v>
      </c>
      <c r="R23" s="7" t="s">
        <v>107</v>
      </c>
      <c r="S23" s="12">
        <v>45.425511800000002</v>
      </c>
      <c r="T23" s="12">
        <v>40</v>
      </c>
      <c r="U23" s="12">
        <v>9.7472747000000002</v>
      </c>
      <c r="V23" s="12">
        <v>0.181004</v>
      </c>
      <c r="W23" s="7" t="s">
        <v>107</v>
      </c>
      <c r="X23" s="12">
        <v>-3.7005724</v>
      </c>
      <c r="Y23" s="12">
        <v>-1.5239833</v>
      </c>
      <c r="Z23" s="12">
        <v>-4.4546596999999997</v>
      </c>
      <c r="AA23" s="12">
        <v>59.081683099999999</v>
      </c>
      <c r="AB23" s="12">
        <v>17.6780556</v>
      </c>
      <c r="AC23" s="12">
        <v>23.735980600000001</v>
      </c>
      <c r="AD23" s="12">
        <v>58.760311199999997</v>
      </c>
      <c r="AE23" s="12">
        <v>63.817689799999997</v>
      </c>
      <c r="AF23" s="7" t="s">
        <v>107</v>
      </c>
      <c r="AG23" s="22" t="s">
        <v>107</v>
      </c>
    </row>
    <row r="24" spans="1:33" s="11" customFormat="1" outlineLevel="1" x14ac:dyDescent="0.3">
      <c r="A24" s="11" t="s">
        <v>30</v>
      </c>
      <c r="B24" s="12">
        <v>1.208337</v>
      </c>
      <c r="C24" s="12">
        <v>78.4033333</v>
      </c>
      <c r="D24" s="12">
        <v>2.158617</v>
      </c>
      <c r="E24" s="17">
        <v>3.0833333000000001</v>
      </c>
      <c r="F24" s="13">
        <v>26.736666700000001</v>
      </c>
      <c r="G24" s="7" t="s">
        <v>107</v>
      </c>
      <c r="H24" s="7" t="s">
        <v>107</v>
      </c>
      <c r="I24" s="7" t="s">
        <v>107</v>
      </c>
      <c r="J24" s="12">
        <v>5.4993030999999997</v>
      </c>
      <c r="K24" s="12">
        <v>11.5011311</v>
      </c>
      <c r="L24" s="12">
        <v>-1.7999636999999999</v>
      </c>
      <c r="M24" s="12">
        <v>-12.7997011</v>
      </c>
      <c r="N24" s="12">
        <v>14.000604299999999</v>
      </c>
      <c r="O24" s="12">
        <v>9.2999290000000006</v>
      </c>
      <c r="P24" s="7" t="s">
        <v>107</v>
      </c>
      <c r="Q24" s="7" t="s">
        <v>107</v>
      </c>
      <c r="R24" s="7" t="s">
        <v>107</v>
      </c>
      <c r="S24" s="12">
        <v>39.536112299999999</v>
      </c>
      <c r="T24" s="12">
        <v>38</v>
      </c>
      <c r="U24" s="12">
        <v>10.3505866</v>
      </c>
      <c r="V24" s="12">
        <v>0.18915470000000001</v>
      </c>
      <c r="W24" s="7" t="s">
        <v>107</v>
      </c>
      <c r="X24" s="12">
        <v>11.5226095</v>
      </c>
      <c r="Y24" s="12">
        <v>4.1787612000000003</v>
      </c>
      <c r="Z24" s="12">
        <v>-6.8974047000000001</v>
      </c>
      <c r="AA24" s="12">
        <v>61.093007499999999</v>
      </c>
      <c r="AB24" s="12">
        <v>22.287847899999999</v>
      </c>
      <c r="AC24" s="12">
        <v>24.5417515</v>
      </c>
      <c r="AD24" s="12">
        <v>66.572980299999998</v>
      </c>
      <c r="AE24" s="12">
        <v>74.873048199999999</v>
      </c>
      <c r="AF24" s="7" t="s">
        <v>107</v>
      </c>
      <c r="AG24" s="22" t="s">
        <v>107</v>
      </c>
    </row>
    <row r="25" spans="1:33" s="11" customFormat="1" outlineLevel="1" x14ac:dyDescent="0.3">
      <c r="A25" s="11" t="s">
        <v>31</v>
      </c>
      <c r="B25" s="12">
        <v>1.0748135000000001</v>
      </c>
      <c r="C25" s="12">
        <v>78.856666700000005</v>
      </c>
      <c r="D25" s="12">
        <v>2.1724109</v>
      </c>
      <c r="E25" s="17">
        <v>2.6666666999999999</v>
      </c>
      <c r="F25" s="13">
        <v>31.52</v>
      </c>
      <c r="G25" s="7" t="s">
        <v>107</v>
      </c>
      <c r="H25" s="7" t="s">
        <v>107</v>
      </c>
      <c r="I25" s="7" t="s">
        <v>107</v>
      </c>
      <c r="J25" s="12">
        <v>5.8999006999999999</v>
      </c>
      <c r="K25" s="12">
        <v>10.999940799999999</v>
      </c>
      <c r="L25" s="12">
        <v>-0.79987249999999999</v>
      </c>
      <c r="M25" s="12">
        <v>17.703793000000001</v>
      </c>
      <c r="N25" s="12">
        <v>8.5997090000000007</v>
      </c>
      <c r="O25" s="12">
        <v>14.500766</v>
      </c>
      <c r="P25" s="7" t="s">
        <v>107</v>
      </c>
      <c r="Q25" s="7" t="s">
        <v>107</v>
      </c>
      <c r="R25" s="7" t="s">
        <v>107</v>
      </c>
      <c r="S25" s="12">
        <v>33.154796599999997</v>
      </c>
      <c r="T25" s="12">
        <v>37</v>
      </c>
      <c r="U25" s="12">
        <v>11.3423677</v>
      </c>
      <c r="V25" s="12">
        <v>0.21073529999999999</v>
      </c>
      <c r="W25" s="7" t="s">
        <v>107</v>
      </c>
      <c r="X25" s="12">
        <v>9.7945487999999994</v>
      </c>
      <c r="Y25" s="12">
        <v>9.2689775000000001</v>
      </c>
      <c r="Z25" s="12">
        <v>-1.1320082</v>
      </c>
      <c r="AA25" s="12">
        <v>59.827446700000003</v>
      </c>
      <c r="AB25" s="12">
        <v>22.248868300000002</v>
      </c>
      <c r="AC25" s="12">
        <v>15.4616793</v>
      </c>
      <c r="AD25" s="12">
        <v>71.821032799999998</v>
      </c>
      <c r="AE25" s="12">
        <v>73.258503500000003</v>
      </c>
      <c r="AF25" s="7" t="s">
        <v>107</v>
      </c>
      <c r="AG25" s="22" t="s">
        <v>107</v>
      </c>
    </row>
    <row r="26" spans="1:33" s="11" customFormat="1" outlineLevel="1" x14ac:dyDescent="0.3">
      <c r="A26" s="11" t="s">
        <v>32</v>
      </c>
      <c r="B26" s="12">
        <v>0.33264589999999999</v>
      </c>
      <c r="C26" s="12">
        <v>79.37</v>
      </c>
      <c r="D26" s="12">
        <v>1.843456</v>
      </c>
      <c r="E26" s="17">
        <v>2.3333333000000001</v>
      </c>
      <c r="F26" s="13">
        <v>26.17</v>
      </c>
      <c r="G26" s="7" t="s">
        <v>107</v>
      </c>
      <c r="H26" s="7" t="s">
        <v>107</v>
      </c>
      <c r="I26" s="7" t="s">
        <v>107</v>
      </c>
      <c r="J26" s="12">
        <v>4.8988532999999999</v>
      </c>
      <c r="K26" s="12">
        <v>5.9991861999999996</v>
      </c>
      <c r="L26" s="12">
        <v>0</v>
      </c>
      <c r="M26" s="12">
        <v>25.697222700000001</v>
      </c>
      <c r="N26" s="12">
        <v>6.9992954999999997</v>
      </c>
      <c r="O26" s="12">
        <v>14.1995857</v>
      </c>
      <c r="P26" s="7" t="s">
        <v>107</v>
      </c>
      <c r="Q26" s="7" t="s">
        <v>107</v>
      </c>
      <c r="R26" s="7" t="s">
        <v>107</v>
      </c>
      <c r="S26" s="12">
        <v>31.336215500000002</v>
      </c>
      <c r="T26" s="12">
        <v>33</v>
      </c>
      <c r="U26" s="12">
        <v>12.010596100000001</v>
      </c>
      <c r="V26" s="12">
        <v>0.23149030000000001</v>
      </c>
      <c r="W26" s="7" t="s">
        <v>107</v>
      </c>
      <c r="X26" s="12">
        <v>-0.78833010000000003</v>
      </c>
      <c r="Y26" s="12">
        <v>6.3403307</v>
      </c>
      <c r="Z26" s="12">
        <v>0.2656114</v>
      </c>
      <c r="AA26" s="12">
        <v>55.180264399999999</v>
      </c>
      <c r="AB26" s="12">
        <v>22.4151217</v>
      </c>
      <c r="AC26" s="12">
        <v>25.092233700000001</v>
      </c>
      <c r="AD26" s="12">
        <v>67.013029500000002</v>
      </c>
      <c r="AE26" s="12">
        <v>68.822677799999994</v>
      </c>
      <c r="AF26" s="7" t="s">
        <v>107</v>
      </c>
      <c r="AG26" s="22" t="s">
        <v>107</v>
      </c>
    </row>
    <row r="27" spans="1:33" s="11" customFormat="1" outlineLevel="1" x14ac:dyDescent="0.3">
      <c r="A27" s="11" t="s">
        <v>33</v>
      </c>
      <c r="B27" s="12">
        <v>0.71308099999999996</v>
      </c>
      <c r="C27" s="12">
        <v>79.47</v>
      </c>
      <c r="D27" s="12">
        <v>1.9194597</v>
      </c>
      <c r="E27" s="17">
        <v>2</v>
      </c>
      <c r="F27" s="13">
        <v>28.45</v>
      </c>
      <c r="G27" s="7" t="s">
        <v>107</v>
      </c>
      <c r="H27" s="7" t="s">
        <v>107</v>
      </c>
      <c r="I27" s="7" t="s">
        <v>107</v>
      </c>
      <c r="J27" s="12">
        <v>7.8979303999999999</v>
      </c>
      <c r="K27" s="12">
        <v>7.9990987000000002</v>
      </c>
      <c r="L27" s="12">
        <v>0.99906709999999999</v>
      </c>
      <c r="M27" s="12">
        <v>28.200319199999999</v>
      </c>
      <c r="N27" s="12">
        <v>7.9000595999999996</v>
      </c>
      <c r="O27" s="12">
        <v>13.2991028</v>
      </c>
      <c r="P27" s="7" t="s">
        <v>107</v>
      </c>
      <c r="Q27" s="7" t="s">
        <v>107</v>
      </c>
      <c r="R27" s="7" t="s">
        <v>107</v>
      </c>
      <c r="S27" s="12">
        <v>29.330835400000002</v>
      </c>
      <c r="T27" s="12">
        <v>29</v>
      </c>
      <c r="U27" s="12">
        <v>12.495924799999999</v>
      </c>
      <c r="V27" s="12">
        <v>0.23453830000000001</v>
      </c>
      <c r="W27" s="7" t="s">
        <v>107</v>
      </c>
      <c r="X27" s="12">
        <v>8.9963172999999994</v>
      </c>
      <c r="Y27" s="12">
        <v>5.9525458999999996</v>
      </c>
      <c r="Z27" s="12">
        <v>-2.8936183999999998</v>
      </c>
      <c r="AA27" s="12">
        <v>57.741151600000002</v>
      </c>
      <c r="AB27" s="12">
        <v>17.953154999999999</v>
      </c>
      <c r="AC27" s="12">
        <v>25.829054500000002</v>
      </c>
      <c r="AD27" s="12">
        <v>59.2200694</v>
      </c>
      <c r="AE27" s="12">
        <v>62.650704900000001</v>
      </c>
      <c r="AF27" s="7" t="s">
        <v>107</v>
      </c>
      <c r="AG27" s="22" t="s">
        <v>107</v>
      </c>
    </row>
    <row r="28" spans="1:33" s="11" customFormat="1" outlineLevel="1" x14ac:dyDescent="0.3">
      <c r="A28" s="11" t="s">
        <v>34</v>
      </c>
      <c r="B28" s="12">
        <v>1.3127310999999999</v>
      </c>
      <c r="C28" s="12">
        <v>79.913333300000005</v>
      </c>
      <c r="D28" s="12">
        <v>1.9259385</v>
      </c>
      <c r="E28" s="17">
        <v>2</v>
      </c>
      <c r="F28" s="13">
        <v>29.39</v>
      </c>
      <c r="G28" s="7" t="s">
        <v>107</v>
      </c>
      <c r="H28" s="7" t="s">
        <v>107</v>
      </c>
      <c r="I28" s="7" t="s">
        <v>107</v>
      </c>
      <c r="J28" s="12">
        <v>8.9001233000000006</v>
      </c>
      <c r="K28" s="12">
        <v>5.1988567999999997</v>
      </c>
      <c r="L28" s="12">
        <v>0.39937210000000001</v>
      </c>
      <c r="M28" s="12">
        <v>28.2976983</v>
      </c>
      <c r="N28" s="12">
        <v>10.3993003</v>
      </c>
      <c r="O28" s="12">
        <v>12.100650699999999</v>
      </c>
      <c r="P28" s="7" t="s">
        <v>107</v>
      </c>
      <c r="Q28" s="7" t="s">
        <v>107</v>
      </c>
      <c r="R28" s="7" t="s">
        <v>107</v>
      </c>
      <c r="S28" s="12">
        <v>34.967196700000002</v>
      </c>
      <c r="T28" s="12">
        <v>28</v>
      </c>
      <c r="U28" s="12">
        <v>13.133755900000001</v>
      </c>
      <c r="V28" s="12">
        <v>0.25366129999999998</v>
      </c>
      <c r="W28" s="7" t="s">
        <v>107</v>
      </c>
      <c r="X28" s="12">
        <v>4.5266947999999996</v>
      </c>
      <c r="Y28" s="12">
        <v>4.8987119999999997</v>
      </c>
      <c r="Z28" s="12">
        <v>-5.7645369999999998</v>
      </c>
      <c r="AA28" s="12">
        <v>56.285896000000001</v>
      </c>
      <c r="AB28" s="12">
        <v>23.425394099999998</v>
      </c>
      <c r="AC28" s="12">
        <v>30.395482399999999</v>
      </c>
      <c r="AD28" s="12">
        <v>65.068612000000002</v>
      </c>
      <c r="AE28" s="12">
        <v>72.673746300000005</v>
      </c>
      <c r="AF28" s="12">
        <v>109.8814229</v>
      </c>
      <c r="AG28" s="22" t="s">
        <v>107</v>
      </c>
    </row>
    <row r="29" spans="1:33" s="11" customFormat="1" outlineLevel="1" x14ac:dyDescent="0.3">
      <c r="A29" s="11" t="s">
        <v>35</v>
      </c>
      <c r="B29" s="12">
        <v>2.4350660999999998</v>
      </c>
      <c r="C29" s="12">
        <v>80.113333299999994</v>
      </c>
      <c r="D29" s="12">
        <v>1.5936086</v>
      </c>
      <c r="E29" s="17">
        <v>2</v>
      </c>
      <c r="F29" s="13">
        <v>31.923333299999999</v>
      </c>
      <c r="G29" s="7" t="s">
        <v>107</v>
      </c>
      <c r="H29" s="7" t="s">
        <v>107</v>
      </c>
      <c r="I29" s="7" t="s">
        <v>107</v>
      </c>
      <c r="J29" s="12">
        <v>9.8017775999999994</v>
      </c>
      <c r="K29" s="12">
        <v>6.0003200000000003</v>
      </c>
      <c r="L29" s="12">
        <v>9.9585599999999996E-2</v>
      </c>
      <c r="M29" s="12">
        <v>13.4021431</v>
      </c>
      <c r="N29" s="12">
        <v>14.5004785</v>
      </c>
      <c r="O29" s="12">
        <v>8.9005235999999996</v>
      </c>
      <c r="P29" s="7" t="s">
        <v>107</v>
      </c>
      <c r="Q29" s="7" t="s">
        <v>107</v>
      </c>
      <c r="R29" s="7" t="s">
        <v>107</v>
      </c>
      <c r="S29" s="12">
        <v>35.145221399999997</v>
      </c>
      <c r="T29" s="12">
        <v>25</v>
      </c>
      <c r="U29" s="12">
        <v>13.8612337</v>
      </c>
      <c r="V29" s="12">
        <v>0.26990199999999998</v>
      </c>
      <c r="W29" s="7" t="s">
        <v>107</v>
      </c>
      <c r="X29" s="12">
        <v>10.0472652</v>
      </c>
      <c r="Y29" s="12">
        <v>4.6243012999999999</v>
      </c>
      <c r="Z29" s="12">
        <v>2.9908177999999999</v>
      </c>
      <c r="AA29" s="12">
        <v>56.392808100000003</v>
      </c>
      <c r="AB29" s="12">
        <v>21.809198800000001</v>
      </c>
      <c r="AC29" s="12">
        <v>15.3201243</v>
      </c>
      <c r="AD29" s="12">
        <v>72.012428099999994</v>
      </c>
      <c r="AE29" s="12">
        <v>70.085060900000002</v>
      </c>
      <c r="AF29" s="12">
        <v>110.58008030000001</v>
      </c>
      <c r="AG29" s="22" t="s">
        <v>107</v>
      </c>
    </row>
    <row r="30" spans="1:33" s="11" customFormat="1" outlineLevel="1" x14ac:dyDescent="0.3">
      <c r="A30" s="11" t="s">
        <v>36</v>
      </c>
      <c r="B30" s="12">
        <v>2.9592486</v>
      </c>
      <c r="C30" s="12">
        <v>81.069999999999993</v>
      </c>
      <c r="D30" s="12">
        <v>2.1418672000000001</v>
      </c>
      <c r="E30" s="17">
        <v>2</v>
      </c>
      <c r="F30" s="13">
        <v>35.446666700000002</v>
      </c>
      <c r="G30" s="7" t="s">
        <v>107</v>
      </c>
      <c r="H30" s="7" t="s">
        <v>107</v>
      </c>
      <c r="I30" s="7" t="s">
        <v>107</v>
      </c>
      <c r="J30" s="12">
        <v>11.4952193</v>
      </c>
      <c r="K30" s="12">
        <v>9.2992010999999994</v>
      </c>
      <c r="L30" s="12">
        <v>0</v>
      </c>
      <c r="M30" s="12">
        <v>17.297845800000001</v>
      </c>
      <c r="N30" s="12">
        <v>15.1006971</v>
      </c>
      <c r="O30" s="12">
        <v>15.0008097</v>
      </c>
      <c r="P30" s="7" t="s">
        <v>107</v>
      </c>
      <c r="Q30" s="7" t="s">
        <v>107</v>
      </c>
      <c r="R30" s="7" t="s">
        <v>107</v>
      </c>
      <c r="S30" s="12">
        <v>38.236178099999997</v>
      </c>
      <c r="T30" s="12">
        <v>20</v>
      </c>
      <c r="U30" s="12">
        <v>14.3491383</v>
      </c>
      <c r="V30" s="12">
        <v>0.25934800000000002</v>
      </c>
      <c r="W30" s="7" t="s">
        <v>107</v>
      </c>
      <c r="X30" s="12">
        <v>28.042738</v>
      </c>
      <c r="Y30" s="12">
        <v>35.333093400000003</v>
      </c>
      <c r="Z30" s="12">
        <v>-4.3420907</v>
      </c>
      <c r="AA30" s="12">
        <v>53.280233600000003</v>
      </c>
      <c r="AB30" s="12">
        <v>22.477625100000001</v>
      </c>
      <c r="AC30" s="12">
        <v>25.066657599999999</v>
      </c>
      <c r="AD30" s="12">
        <v>69.105684199999999</v>
      </c>
      <c r="AE30" s="12">
        <v>74.617461700000007</v>
      </c>
      <c r="AF30" s="12">
        <v>106.4001193</v>
      </c>
      <c r="AG30" s="22" t="s">
        <v>107</v>
      </c>
    </row>
    <row r="31" spans="1:33" s="11" customFormat="1" outlineLevel="1" x14ac:dyDescent="0.3">
      <c r="A31" s="11" t="s">
        <v>37</v>
      </c>
      <c r="B31" s="12">
        <v>2.4141233999999998</v>
      </c>
      <c r="C31" s="12">
        <v>81.156666700000002</v>
      </c>
      <c r="D31" s="12">
        <v>2.1223942</v>
      </c>
      <c r="E31" s="17">
        <v>2</v>
      </c>
      <c r="F31" s="13">
        <v>41.386666699999999</v>
      </c>
      <c r="G31" s="7" t="s">
        <v>107</v>
      </c>
      <c r="H31" s="7" t="s">
        <v>107</v>
      </c>
      <c r="I31" s="7" t="s">
        <v>107</v>
      </c>
      <c r="J31" s="12">
        <v>12.199691700000001</v>
      </c>
      <c r="K31" s="12">
        <v>11.3999583</v>
      </c>
      <c r="L31" s="12">
        <v>-0.80147780000000002</v>
      </c>
      <c r="M31" s="12">
        <v>30.500824900000001</v>
      </c>
      <c r="N31" s="12">
        <v>12.7999615</v>
      </c>
      <c r="O31" s="12">
        <v>17.4005847</v>
      </c>
      <c r="P31" s="7" t="s">
        <v>107</v>
      </c>
      <c r="Q31" s="7" t="s">
        <v>107</v>
      </c>
      <c r="R31" s="7" t="s">
        <v>107</v>
      </c>
      <c r="S31" s="12">
        <v>38.222294699999999</v>
      </c>
      <c r="T31" s="12">
        <v>17</v>
      </c>
      <c r="U31" s="12">
        <v>14.5990156</v>
      </c>
      <c r="V31" s="12">
        <v>0.26387070000000001</v>
      </c>
      <c r="W31" s="7" t="s">
        <v>107</v>
      </c>
      <c r="X31" s="12">
        <v>32.703812900000003</v>
      </c>
      <c r="Y31" s="12">
        <v>30.5541546</v>
      </c>
      <c r="Z31" s="12">
        <v>-2.0974946999999999</v>
      </c>
      <c r="AA31" s="12">
        <v>54.970570799999997</v>
      </c>
      <c r="AB31" s="12">
        <v>17.875308400000002</v>
      </c>
      <c r="AC31" s="12">
        <v>29.756571600000001</v>
      </c>
      <c r="AD31" s="12">
        <v>62.853046999999997</v>
      </c>
      <c r="AE31" s="12">
        <v>66.128854399999994</v>
      </c>
      <c r="AF31" s="12">
        <v>102.4701874</v>
      </c>
      <c r="AG31" s="22" t="s">
        <v>107</v>
      </c>
    </row>
    <row r="32" spans="1:33" s="11" customFormat="1" outlineLevel="1" x14ac:dyDescent="0.3">
      <c r="A32" s="11" t="s">
        <v>38</v>
      </c>
      <c r="B32" s="12">
        <v>2.308249</v>
      </c>
      <c r="C32" s="12">
        <v>81.663333300000005</v>
      </c>
      <c r="D32" s="12">
        <v>2.1898724000000001</v>
      </c>
      <c r="E32" s="17">
        <v>2</v>
      </c>
      <c r="F32" s="13">
        <v>44.163333299999998</v>
      </c>
      <c r="G32" s="7" t="s">
        <v>107</v>
      </c>
      <c r="H32" s="7" t="s">
        <v>107</v>
      </c>
      <c r="I32" s="7" t="s">
        <v>107</v>
      </c>
      <c r="J32" s="12">
        <v>11.800195199999999</v>
      </c>
      <c r="K32" s="12">
        <v>10.9000415</v>
      </c>
      <c r="L32" s="12">
        <v>9.8871000000000001E-2</v>
      </c>
      <c r="M32" s="12">
        <v>46.698843500000002</v>
      </c>
      <c r="N32" s="12">
        <v>12.299529400000001</v>
      </c>
      <c r="O32" s="12">
        <v>31.499558799999999</v>
      </c>
      <c r="P32" s="7" t="s">
        <v>107</v>
      </c>
      <c r="Q32" s="7" t="s">
        <v>107</v>
      </c>
      <c r="R32" s="7" t="s">
        <v>107</v>
      </c>
      <c r="S32" s="12">
        <v>39.990651999999997</v>
      </c>
      <c r="T32" s="12">
        <v>17</v>
      </c>
      <c r="U32" s="12">
        <v>15.0369449</v>
      </c>
      <c r="V32" s="12">
        <v>0.2814353</v>
      </c>
      <c r="W32" s="7" t="s">
        <v>107</v>
      </c>
      <c r="X32" s="12">
        <v>29.920971900000001</v>
      </c>
      <c r="Y32" s="12">
        <v>44.701834900000001</v>
      </c>
      <c r="Z32" s="12">
        <v>-14.8805564</v>
      </c>
      <c r="AA32" s="12">
        <v>50.920492799999998</v>
      </c>
      <c r="AB32" s="12">
        <v>21.0111381</v>
      </c>
      <c r="AC32" s="12">
        <v>40.0156955</v>
      </c>
      <c r="AD32" s="12">
        <v>69.194271799999996</v>
      </c>
      <c r="AE32" s="12">
        <v>85.366433200000003</v>
      </c>
      <c r="AF32" s="12">
        <v>91.069481600000003</v>
      </c>
      <c r="AG32" s="22" t="s">
        <v>107</v>
      </c>
    </row>
    <row r="33" spans="1:33" s="11" customFormat="1" outlineLevel="1" x14ac:dyDescent="0.3">
      <c r="A33" s="11" t="s">
        <v>39</v>
      </c>
      <c r="B33" s="12">
        <v>1.1277817999999999</v>
      </c>
      <c r="C33" s="12">
        <v>81.773333300000004</v>
      </c>
      <c r="D33" s="12">
        <v>2.0720646</v>
      </c>
      <c r="E33" s="17">
        <v>2</v>
      </c>
      <c r="F33" s="13">
        <v>47.696666700000002</v>
      </c>
      <c r="G33" s="7" t="s">
        <v>107</v>
      </c>
      <c r="H33" s="7" t="s">
        <v>107</v>
      </c>
      <c r="I33" s="12">
        <v>6.5708644999999999</v>
      </c>
      <c r="J33" s="12">
        <v>9.9007120999999998</v>
      </c>
      <c r="K33" s="12">
        <v>17.1002315</v>
      </c>
      <c r="L33" s="12">
        <v>0.79910139999999996</v>
      </c>
      <c r="M33" s="12">
        <v>22.302508199999998</v>
      </c>
      <c r="N33" s="12">
        <v>-5.7996733999999996</v>
      </c>
      <c r="O33" s="12">
        <v>1.4992877</v>
      </c>
      <c r="P33" s="7" t="s">
        <v>107</v>
      </c>
      <c r="Q33" s="7" t="s">
        <v>107</v>
      </c>
      <c r="R33" s="7" t="s">
        <v>107</v>
      </c>
      <c r="S33" s="12">
        <v>38.767796199999999</v>
      </c>
      <c r="T33" s="12">
        <v>16</v>
      </c>
      <c r="U33" s="12">
        <v>15.579977100000001</v>
      </c>
      <c r="V33" s="12">
        <v>0.28398299999999999</v>
      </c>
      <c r="W33" s="7" t="s">
        <v>107</v>
      </c>
      <c r="X33" s="12">
        <v>17.145997600000001</v>
      </c>
      <c r="Y33" s="12">
        <v>-1.7816368</v>
      </c>
      <c r="Z33" s="12">
        <v>12.040118700000001</v>
      </c>
      <c r="AA33" s="12">
        <v>55.400250300000003</v>
      </c>
      <c r="AB33" s="12">
        <v>21.427808500000001</v>
      </c>
      <c r="AC33" s="12">
        <v>16.8370617</v>
      </c>
      <c r="AD33" s="12">
        <v>65.223395499999995</v>
      </c>
      <c r="AE33" s="12">
        <v>54.054383999999999</v>
      </c>
      <c r="AF33" s="12">
        <v>85.524947999999995</v>
      </c>
      <c r="AG33" s="22" t="s">
        <v>107</v>
      </c>
    </row>
    <row r="34" spans="1:33" s="11" customFormat="1" outlineLevel="1" x14ac:dyDescent="0.3">
      <c r="A34" s="11" t="s">
        <v>40</v>
      </c>
      <c r="B34" s="12">
        <v>2.2042253999999999</v>
      </c>
      <c r="C34" s="12">
        <v>82.71</v>
      </c>
      <c r="D34" s="12">
        <v>2.0229431</v>
      </c>
      <c r="E34" s="17">
        <v>2</v>
      </c>
      <c r="F34" s="13">
        <v>51.626666700000001</v>
      </c>
      <c r="G34" s="7" t="s">
        <v>107</v>
      </c>
      <c r="H34" s="7" t="s">
        <v>107</v>
      </c>
      <c r="I34" s="12">
        <v>0.5846325</v>
      </c>
      <c r="J34" s="12">
        <v>8.4967276999999992</v>
      </c>
      <c r="K34" s="12">
        <v>16.300458800000001</v>
      </c>
      <c r="L34" s="12">
        <v>-0.49966310000000003</v>
      </c>
      <c r="M34" s="12">
        <v>22.899052300000001</v>
      </c>
      <c r="N34" s="12">
        <v>-6.8003634000000002</v>
      </c>
      <c r="O34" s="12">
        <v>1.2997620000000001</v>
      </c>
      <c r="P34" s="7" t="s">
        <v>107</v>
      </c>
      <c r="Q34" s="7" t="s">
        <v>107</v>
      </c>
      <c r="R34" s="7" t="s">
        <v>107</v>
      </c>
      <c r="S34" s="12">
        <v>35.048561800000002</v>
      </c>
      <c r="T34" s="12">
        <v>13</v>
      </c>
      <c r="U34" s="12">
        <v>15.8818907</v>
      </c>
      <c r="V34" s="12">
        <v>0.27136529999999998</v>
      </c>
      <c r="W34" s="7" t="s">
        <v>107</v>
      </c>
      <c r="X34" s="12">
        <v>13.008542500000001</v>
      </c>
      <c r="Y34" s="12">
        <v>1.2042839999999999</v>
      </c>
      <c r="Z34" s="12">
        <v>2.0061463000000002</v>
      </c>
      <c r="AA34" s="12">
        <v>52.572677599999999</v>
      </c>
      <c r="AB34" s="12">
        <v>22.601755199999999</v>
      </c>
      <c r="AC34" s="12">
        <v>26.1993686</v>
      </c>
      <c r="AD34" s="12">
        <v>61.973994300000001</v>
      </c>
      <c r="AE34" s="12">
        <v>60.936259</v>
      </c>
      <c r="AF34" s="12">
        <v>78.583303200000003</v>
      </c>
      <c r="AG34" s="22" t="s">
        <v>107</v>
      </c>
    </row>
    <row r="35" spans="1:33" s="11" customFormat="1" outlineLevel="1" x14ac:dyDescent="0.3">
      <c r="A35" s="11" t="s">
        <v>41</v>
      </c>
      <c r="B35" s="12">
        <v>2.0830310000000001</v>
      </c>
      <c r="C35" s="12">
        <v>83.016666700000002</v>
      </c>
      <c r="D35" s="12">
        <v>2.2918634999999998</v>
      </c>
      <c r="E35" s="17">
        <v>2</v>
      </c>
      <c r="F35" s="13">
        <v>61.47</v>
      </c>
      <c r="G35" s="7" t="s">
        <v>107</v>
      </c>
      <c r="H35" s="7" t="s">
        <v>107</v>
      </c>
      <c r="I35" s="12">
        <v>1.8959105000000001</v>
      </c>
      <c r="J35" s="12">
        <v>8.6013690999999994</v>
      </c>
      <c r="K35" s="12">
        <v>12.799190899999999</v>
      </c>
      <c r="L35" s="12">
        <v>1.0001802</v>
      </c>
      <c r="M35" s="12">
        <v>3.8997280999999999</v>
      </c>
      <c r="N35" s="12">
        <v>0.30041230000000002</v>
      </c>
      <c r="O35" s="12">
        <v>0.30038340000000002</v>
      </c>
      <c r="P35" s="7" t="s">
        <v>107</v>
      </c>
      <c r="Q35" s="7" t="s">
        <v>107</v>
      </c>
      <c r="R35" s="7" t="s">
        <v>107</v>
      </c>
      <c r="S35" s="12">
        <v>32.841335100000002</v>
      </c>
      <c r="T35" s="12">
        <v>12</v>
      </c>
      <c r="U35" s="12">
        <v>16.0374844</v>
      </c>
      <c r="V35" s="12">
        <v>0.26195669999999999</v>
      </c>
      <c r="W35" s="7" t="s">
        <v>107</v>
      </c>
      <c r="X35" s="12">
        <v>14.7001644</v>
      </c>
      <c r="Y35" s="12">
        <v>12.316092100000001</v>
      </c>
      <c r="Z35" s="12">
        <v>-1.2106041999999999</v>
      </c>
      <c r="AA35" s="12">
        <v>52.574976100000001</v>
      </c>
      <c r="AB35" s="12">
        <v>17.8382638</v>
      </c>
      <c r="AC35" s="12">
        <v>28.8361944</v>
      </c>
      <c r="AD35" s="12">
        <v>54.969280400000002</v>
      </c>
      <c r="AE35" s="12">
        <v>57.073544699999999</v>
      </c>
      <c r="AF35" s="12">
        <v>71.086002800000003</v>
      </c>
      <c r="AG35" s="22" t="s">
        <v>107</v>
      </c>
    </row>
    <row r="36" spans="1:33" s="11" customFormat="1" outlineLevel="1" x14ac:dyDescent="0.3">
      <c r="A36" s="11" t="s">
        <v>42</v>
      </c>
      <c r="B36" s="12">
        <v>2.0666498999999998</v>
      </c>
      <c r="C36" s="12">
        <v>83.51</v>
      </c>
      <c r="D36" s="12">
        <v>2.2613167999999999</v>
      </c>
      <c r="E36" s="17">
        <v>2.0833333000000001</v>
      </c>
      <c r="F36" s="13">
        <v>56.88</v>
      </c>
      <c r="G36" s="7" t="s">
        <v>107</v>
      </c>
      <c r="H36" s="7" t="s">
        <v>107</v>
      </c>
      <c r="I36" s="12">
        <v>-9.6051148000000008</v>
      </c>
      <c r="J36" s="12">
        <v>10.701906299999999</v>
      </c>
      <c r="K36" s="12">
        <v>14.5990725</v>
      </c>
      <c r="L36" s="12">
        <v>0.19984379999999999</v>
      </c>
      <c r="M36" s="12">
        <v>11.5008173</v>
      </c>
      <c r="N36" s="12">
        <v>-0.19989309999999999</v>
      </c>
      <c r="O36" s="12">
        <v>-5.1995303000000002</v>
      </c>
      <c r="P36" s="7" t="s">
        <v>107</v>
      </c>
      <c r="Q36" s="7" t="s">
        <v>107</v>
      </c>
      <c r="R36" s="7" t="s">
        <v>107</v>
      </c>
      <c r="S36" s="12">
        <v>30.771927300000002</v>
      </c>
      <c r="T36" s="12">
        <v>11</v>
      </c>
      <c r="U36" s="12">
        <v>16.3265177</v>
      </c>
      <c r="V36" s="12">
        <v>0.26038129999999998</v>
      </c>
      <c r="W36" s="7" t="s">
        <v>107</v>
      </c>
      <c r="X36" s="12">
        <v>22.288720900000001</v>
      </c>
      <c r="Y36" s="12">
        <v>4.6307574000000002</v>
      </c>
      <c r="Z36" s="12">
        <v>-3.6553955999999999</v>
      </c>
      <c r="AA36" s="12">
        <v>48.414173900000002</v>
      </c>
      <c r="AB36" s="12">
        <v>21.829731200000001</v>
      </c>
      <c r="AC36" s="12">
        <v>38.4084194</v>
      </c>
      <c r="AD36" s="12">
        <v>59.011985000000003</v>
      </c>
      <c r="AE36" s="12">
        <v>63.254318699999999</v>
      </c>
      <c r="AF36" s="12">
        <v>70.119831899999994</v>
      </c>
      <c r="AG36" s="22" t="s">
        <v>107</v>
      </c>
    </row>
    <row r="37" spans="1:33" s="11" customFormat="1" outlineLevel="1" x14ac:dyDescent="0.3">
      <c r="A37" s="11" t="s">
        <v>43</v>
      </c>
      <c r="B37" s="12">
        <v>3.8191847000000001</v>
      </c>
      <c r="C37" s="12">
        <v>83.573333300000002</v>
      </c>
      <c r="D37" s="12">
        <v>2.2012065999999999</v>
      </c>
      <c r="E37" s="17">
        <v>2.3333333000000001</v>
      </c>
      <c r="F37" s="13">
        <v>61.753333300000001</v>
      </c>
      <c r="G37" s="12">
        <v>30.303233800000001</v>
      </c>
      <c r="H37" s="12">
        <v>23.815872200000001</v>
      </c>
      <c r="I37" s="12">
        <v>4.2774907999999998</v>
      </c>
      <c r="J37" s="12">
        <v>11.101020699999999</v>
      </c>
      <c r="K37" s="12">
        <v>15.900741200000001</v>
      </c>
      <c r="L37" s="12">
        <v>-0.70043619999999995</v>
      </c>
      <c r="M37" s="12">
        <v>50.298244599999997</v>
      </c>
      <c r="N37" s="12">
        <v>9.1996231999999996</v>
      </c>
      <c r="O37" s="12">
        <v>31.6006456</v>
      </c>
      <c r="P37" s="7" t="s">
        <v>107</v>
      </c>
      <c r="Q37" s="7" t="s">
        <v>107</v>
      </c>
      <c r="R37" s="7" t="s">
        <v>107</v>
      </c>
      <c r="S37" s="12">
        <v>30.720611900000002</v>
      </c>
      <c r="T37" s="12">
        <v>11</v>
      </c>
      <c r="U37" s="12">
        <v>16.780933699999999</v>
      </c>
      <c r="V37" s="12">
        <v>0.25897229999999999</v>
      </c>
      <c r="W37" s="7" t="s">
        <v>107</v>
      </c>
      <c r="X37" s="12">
        <v>38.5868714</v>
      </c>
      <c r="Y37" s="12">
        <v>65.594147100000001</v>
      </c>
      <c r="Z37" s="12">
        <v>1.7791044</v>
      </c>
      <c r="AA37" s="12">
        <v>55.449212299999999</v>
      </c>
      <c r="AB37" s="12">
        <v>20.862680999999998</v>
      </c>
      <c r="AC37" s="12">
        <v>23.075445899999998</v>
      </c>
      <c r="AD37" s="12">
        <v>66.407726100000005</v>
      </c>
      <c r="AE37" s="12">
        <v>65.354618500000001</v>
      </c>
      <c r="AF37" s="12">
        <v>67.502451300000004</v>
      </c>
      <c r="AG37" s="22" t="s">
        <v>107</v>
      </c>
    </row>
    <row r="38" spans="1:33" s="11" customFormat="1" outlineLevel="1" x14ac:dyDescent="0.3">
      <c r="A38" s="11" t="s">
        <v>44</v>
      </c>
      <c r="B38" s="12">
        <v>2.9723983</v>
      </c>
      <c r="C38" s="12">
        <v>84.693333300000006</v>
      </c>
      <c r="D38" s="12">
        <v>2.3979365000000001</v>
      </c>
      <c r="E38" s="17">
        <v>2.5833333000000001</v>
      </c>
      <c r="F38" s="13">
        <v>69.533333299999995</v>
      </c>
      <c r="G38" s="12">
        <v>19.839284800000001</v>
      </c>
      <c r="H38" s="12">
        <v>19.410361200000001</v>
      </c>
      <c r="I38" s="12">
        <v>0.39596310000000001</v>
      </c>
      <c r="J38" s="12">
        <v>9.5981503000000004</v>
      </c>
      <c r="K38" s="12">
        <v>15.1992148</v>
      </c>
      <c r="L38" s="12">
        <v>0.29904639999999999</v>
      </c>
      <c r="M38" s="12">
        <v>30.302060699999998</v>
      </c>
      <c r="N38" s="12">
        <v>6.4998676</v>
      </c>
      <c r="O38" s="12">
        <v>20.999221500000001</v>
      </c>
      <c r="P38" s="7" t="s">
        <v>107</v>
      </c>
      <c r="Q38" s="7" t="s">
        <v>107</v>
      </c>
      <c r="R38" s="7" t="s">
        <v>107</v>
      </c>
      <c r="S38" s="12">
        <v>27.657955699999999</v>
      </c>
      <c r="T38" s="12">
        <v>10.5</v>
      </c>
      <c r="U38" s="12">
        <v>17.003504800000002</v>
      </c>
      <c r="V38" s="12">
        <v>0.27018599999999998</v>
      </c>
      <c r="W38" s="7" t="s">
        <v>107</v>
      </c>
      <c r="X38" s="12">
        <v>24.204866500000001</v>
      </c>
      <c r="Y38" s="12">
        <v>37.292404300000001</v>
      </c>
      <c r="Z38" s="12">
        <v>-3.9072653000000002</v>
      </c>
      <c r="AA38" s="12">
        <v>52.580159999999999</v>
      </c>
      <c r="AB38" s="12">
        <v>21.2331489</v>
      </c>
      <c r="AC38" s="12">
        <v>29.956496099999999</v>
      </c>
      <c r="AD38" s="12">
        <v>62.539341499999999</v>
      </c>
      <c r="AE38" s="12">
        <v>67.001987200000002</v>
      </c>
      <c r="AF38" s="12">
        <v>67.547658600000005</v>
      </c>
      <c r="AG38" s="22" t="s">
        <v>107</v>
      </c>
    </row>
    <row r="39" spans="1:33" s="11" customFormat="1" outlineLevel="1" x14ac:dyDescent="0.3">
      <c r="A39" s="11" t="s">
        <v>45</v>
      </c>
      <c r="B39" s="12">
        <v>3.3099788999999999</v>
      </c>
      <c r="C39" s="12">
        <v>84.873333299999999</v>
      </c>
      <c r="D39" s="12">
        <v>2.2364986</v>
      </c>
      <c r="E39" s="17">
        <v>2.9166666999999999</v>
      </c>
      <c r="F39" s="13">
        <v>69.62</v>
      </c>
      <c r="G39" s="12">
        <v>18.4069559</v>
      </c>
      <c r="H39" s="12">
        <v>23.723006999999999</v>
      </c>
      <c r="I39" s="12">
        <v>3.7351133000000001</v>
      </c>
      <c r="J39" s="12">
        <v>8.5018303</v>
      </c>
      <c r="K39" s="12">
        <v>14.099754300000001</v>
      </c>
      <c r="L39" s="12">
        <v>0.40146310000000002</v>
      </c>
      <c r="M39" s="12">
        <v>19.499093200000001</v>
      </c>
      <c r="N39" s="12">
        <v>9.2997568000000008</v>
      </c>
      <c r="O39" s="12">
        <v>18.3000355</v>
      </c>
      <c r="P39" s="7" t="s">
        <v>107</v>
      </c>
      <c r="Q39" s="7" t="s">
        <v>107</v>
      </c>
      <c r="R39" s="7" t="s">
        <v>107</v>
      </c>
      <c r="S39" s="12">
        <v>25.267574100000001</v>
      </c>
      <c r="T39" s="12">
        <v>10.5</v>
      </c>
      <c r="U39" s="12">
        <v>17.070997500000001</v>
      </c>
      <c r="V39" s="12">
        <v>0.27329829999999999</v>
      </c>
      <c r="W39" s="7" t="s">
        <v>107</v>
      </c>
      <c r="X39" s="12">
        <v>22.850391599999998</v>
      </c>
      <c r="Y39" s="12">
        <v>23.865760999999999</v>
      </c>
      <c r="Z39" s="12">
        <v>-2.1196250000000001</v>
      </c>
      <c r="AA39" s="12">
        <v>51.841111099999999</v>
      </c>
      <c r="AB39" s="12">
        <v>16.3265578</v>
      </c>
      <c r="AC39" s="12">
        <v>31.161425399999999</v>
      </c>
      <c r="AD39" s="12">
        <v>58.179464000000003</v>
      </c>
      <c r="AE39" s="12">
        <v>60.761985799999998</v>
      </c>
      <c r="AF39" s="12">
        <v>68.163136300000005</v>
      </c>
      <c r="AG39" s="22" t="s">
        <v>107</v>
      </c>
    </row>
    <row r="40" spans="1:33" s="11" customFormat="1" outlineLevel="1" x14ac:dyDescent="0.3">
      <c r="A40" s="11" t="s">
        <v>46</v>
      </c>
      <c r="B40" s="12">
        <v>3.7478780999999999</v>
      </c>
      <c r="C40" s="12">
        <v>85.166666699999993</v>
      </c>
      <c r="D40" s="12">
        <v>1.9837944000000001</v>
      </c>
      <c r="E40" s="17">
        <v>3.3333333000000001</v>
      </c>
      <c r="F40" s="13">
        <v>59.68</v>
      </c>
      <c r="G40" s="12">
        <v>13.0143887</v>
      </c>
      <c r="H40" s="12">
        <v>30.537868400000001</v>
      </c>
      <c r="I40" s="12">
        <v>-2.1476958000000002</v>
      </c>
      <c r="J40" s="12">
        <v>10.798913199999999</v>
      </c>
      <c r="K40" s="12">
        <v>13.600835500000001</v>
      </c>
      <c r="L40" s="12">
        <v>0.99951860000000003</v>
      </c>
      <c r="M40" s="12">
        <v>14.200612400000001</v>
      </c>
      <c r="N40" s="12">
        <v>6.5004337999999997</v>
      </c>
      <c r="O40" s="12">
        <v>15.900016600000001</v>
      </c>
      <c r="P40" s="7" t="s">
        <v>107</v>
      </c>
      <c r="Q40" s="7" t="s">
        <v>107</v>
      </c>
      <c r="R40" s="7" t="s">
        <v>107</v>
      </c>
      <c r="S40" s="12">
        <v>21.143805499999999</v>
      </c>
      <c r="T40" s="12">
        <v>10</v>
      </c>
      <c r="U40" s="12">
        <v>17.432675499999998</v>
      </c>
      <c r="V40" s="12">
        <v>0.27676230000000002</v>
      </c>
      <c r="W40" s="7" t="s">
        <v>107</v>
      </c>
      <c r="X40" s="12">
        <v>6.2663194999999998</v>
      </c>
      <c r="Y40" s="12">
        <v>17.146680700000001</v>
      </c>
      <c r="Z40" s="12">
        <v>-9.3644514999999995</v>
      </c>
      <c r="AA40" s="12">
        <v>47.241239499999999</v>
      </c>
      <c r="AB40" s="12">
        <v>19.231382400000001</v>
      </c>
      <c r="AC40" s="12">
        <v>41.821651899999999</v>
      </c>
      <c r="AD40" s="12">
        <v>55.226226099999998</v>
      </c>
      <c r="AE40" s="12">
        <v>64.628285899999995</v>
      </c>
      <c r="AF40" s="12">
        <v>66.643288400000003</v>
      </c>
      <c r="AG40" s="22" t="s">
        <v>107</v>
      </c>
    </row>
    <row r="41" spans="1:33" s="11" customFormat="1" outlineLevel="1" x14ac:dyDescent="0.3">
      <c r="A41" s="11" t="s">
        <v>47</v>
      </c>
      <c r="B41" s="12">
        <v>3.5234725999999998</v>
      </c>
      <c r="C41" s="12">
        <v>85.39</v>
      </c>
      <c r="D41" s="12">
        <v>2.1737397000000001</v>
      </c>
      <c r="E41" s="17">
        <v>3.5833333000000001</v>
      </c>
      <c r="F41" s="13">
        <v>57.763333299999999</v>
      </c>
      <c r="G41" s="12">
        <v>13.219148799999999</v>
      </c>
      <c r="H41" s="12">
        <v>26.414418900000001</v>
      </c>
      <c r="I41" s="12">
        <v>9.3834213999999996</v>
      </c>
      <c r="J41" s="12">
        <v>9.1980844000000008</v>
      </c>
      <c r="K41" s="12">
        <v>17.599080600000001</v>
      </c>
      <c r="L41" s="12">
        <v>-0.80156470000000002</v>
      </c>
      <c r="M41" s="12">
        <v>22.9013116</v>
      </c>
      <c r="N41" s="12">
        <v>-1.5001500000000001</v>
      </c>
      <c r="O41" s="12">
        <v>4.7003933</v>
      </c>
      <c r="P41" s="7" t="s">
        <v>107</v>
      </c>
      <c r="Q41" s="7" t="s">
        <v>107</v>
      </c>
      <c r="R41" s="7" t="s">
        <v>107</v>
      </c>
      <c r="S41" s="12">
        <v>17.977128499999999</v>
      </c>
      <c r="T41" s="12">
        <v>11</v>
      </c>
      <c r="U41" s="12">
        <v>18.0694762</v>
      </c>
      <c r="V41" s="12">
        <v>0.28140530000000002</v>
      </c>
      <c r="W41" s="7" t="s">
        <v>107</v>
      </c>
      <c r="X41" s="12">
        <v>-0.36035250000000002</v>
      </c>
      <c r="Y41" s="12">
        <v>10.887746999999999</v>
      </c>
      <c r="Z41" s="12">
        <v>-5.9647347000000002</v>
      </c>
      <c r="AA41" s="12">
        <v>56.994391999999998</v>
      </c>
      <c r="AB41" s="12">
        <v>19.950196099999999</v>
      </c>
      <c r="AC41" s="12">
        <v>25.032508100000001</v>
      </c>
      <c r="AD41" s="12">
        <v>58.499053600000003</v>
      </c>
      <c r="AE41" s="12">
        <v>63.436773600000002</v>
      </c>
      <c r="AF41" s="12">
        <v>63.369013799999998</v>
      </c>
      <c r="AG41" s="22" t="s">
        <v>107</v>
      </c>
    </row>
    <row r="42" spans="1:33" s="11" customFormat="1" outlineLevel="1" x14ac:dyDescent="0.3">
      <c r="A42" s="11" t="s">
        <v>48</v>
      </c>
      <c r="B42" s="12">
        <v>3.1678283999999999</v>
      </c>
      <c r="C42" s="12">
        <v>86.5</v>
      </c>
      <c r="D42" s="12">
        <v>2.1331864</v>
      </c>
      <c r="E42" s="17">
        <v>3.8333333000000001</v>
      </c>
      <c r="F42" s="13">
        <v>68.583333300000007</v>
      </c>
      <c r="G42" s="12">
        <v>26.593404700000001</v>
      </c>
      <c r="H42" s="12">
        <v>24.921481199999999</v>
      </c>
      <c r="I42" s="12">
        <v>-0.26516489999999998</v>
      </c>
      <c r="J42" s="12">
        <v>9.4010818999999994</v>
      </c>
      <c r="K42" s="12">
        <v>12.1993578</v>
      </c>
      <c r="L42" s="12">
        <v>-0.90008999999999995</v>
      </c>
      <c r="M42" s="12">
        <v>14.100486200000001</v>
      </c>
      <c r="N42" s="12">
        <v>8.4999152000000002</v>
      </c>
      <c r="O42" s="12">
        <v>7.3998758999999996</v>
      </c>
      <c r="P42" s="7" t="s">
        <v>107</v>
      </c>
      <c r="Q42" s="7" t="s">
        <v>107</v>
      </c>
      <c r="R42" s="7" t="s">
        <v>107</v>
      </c>
      <c r="S42" s="12">
        <v>17.9983723</v>
      </c>
      <c r="T42" s="12">
        <v>11</v>
      </c>
      <c r="U42" s="12">
        <v>18.204976599999998</v>
      </c>
      <c r="V42" s="12">
        <v>0.28962769999999999</v>
      </c>
      <c r="W42" s="7" t="s">
        <v>107</v>
      </c>
      <c r="X42" s="12">
        <v>15.9102295</v>
      </c>
      <c r="Y42" s="12">
        <v>17.084421500000001</v>
      </c>
      <c r="Z42" s="12">
        <v>-5.6957795999999998</v>
      </c>
      <c r="AA42" s="12">
        <v>52.028176100000003</v>
      </c>
      <c r="AB42" s="12">
        <v>20.849500599999999</v>
      </c>
      <c r="AC42" s="12">
        <v>32.0570904</v>
      </c>
      <c r="AD42" s="12">
        <v>63.395717300000001</v>
      </c>
      <c r="AE42" s="12">
        <v>68.742667100000006</v>
      </c>
      <c r="AF42" s="12">
        <v>56.449898500000003</v>
      </c>
      <c r="AG42" s="22" t="s">
        <v>107</v>
      </c>
    </row>
    <row r="43" spans="1:33" s="11" customFormat="1" outlineLevel="1" x14ac:dyDescent="0.3">
      <c r="A43" s="11" t="s">
        <v>49</v>
      </c>
      <c r="B43" s="12">
        <v>3.1476855000000001</v>
      </c>
      <c r="C43" s="12">
        <v>86.6</v>
      </c>
      <c r="D43" s="12">
        <v>2.0344042999999998</v>
      </c>
      <c r="E43" s="17">
        <v>4</v>
      </c>
      <c r="F43" s="13">
        <v>74.953333299999997</v>
      </c>
      <c r="G43" s="12">
        <v>26.8466436</v>
      </c>
      <c r="H43" s="12">
        <v>25.336900100000001</v>
      </c>
      <c r="I43" s="12">
        <v>3.3597049999999999</v>
      </c>
      <c r="J43" s="12">
        <v>9.1012202000000002</v>
      </c>
      <c r="K43" s="12">
        <v>12.9001746</v>
      </c>
      <c r="L43" s="12">
        <v>-0.69901069999999998</v>
      </c>
      <c r="M43" s="12">
        <v>16.000384199999999</v>
      </c>
      <c r="N43" s="12">
        <v>4.6001807000000001</v>
      </c>
      <c r="O43" s="12">
        <v>5.4994836999999999</v>
      </c>
      <c r="P43" s="7" t="s">
        <v>107</v>
      </c>
      <c r="Q43" s="7" t="s">
        <v>107</v>
      </c>
      <c r="R43" s="7" t="s">
        <v>107</v>
      </c>
      <c r="S43" s="12">
        <v>18.481606299999999</v>
      </c>
      <c r="T43" s="12">
        <v>10.25</v>
      </c>
      <c r="U43" s="12">
        <v>18.457945200000001</v>
      </c>
      <c r="V43" s="12">
        <v>0.29524600000000001</v>
      </c>
      <c r="W43" s="7" t="s">
        <v>107</v>
      </c>
      <c r="X43" s="12">
        <v>11.450249599999999</v>
      </c>
      <c r="Y43" s="12">
        <v>15.3146804</v>
      </c>
      <c r="Z43" s="12">
        <v>-4.6475285</v>
      </c>
      <c r="AA43" s="12">
        <v>52.182506400000001</v>
      </c>
      <c r="AB43" s="12">
        <v>14.665244299999999</v>
      </c>
      <c r="AC43" s="12">
        <v>33.629375799999998</v>
      </c>
      <c r="AD43" s="12">
        <v>57.560955999999997</v>
      </c>
      <c r="AE43" s="12">
        <v>61.938389999999998</v>
      </c>
      <c r="AF43" s="12">
        <v>49.873618700000002</v>
      </c>
      <c r="AG43" s="22" t="s">
        <v>107</v>
      </c>
    </row>
    <row r="44" spans="1:33" s="11" customFormat="1" outlineLevel="1" x14ac:dyDescent="0.3">
      <c r="A44" s="11" t="s">
        <v>50</v>
      </c>
      <c r="B44" s="12">
        <v>2.7223932</v>
      </c>
      <c r="C44" s="12">
        <v>87.72</v>
      </c>
      <c r="D44" s="12">
        <v>2.998043</v>
      </c>
      <c r="E44" s="17">
        <v>4</v>
      </c>
      <c r="F44" s="13">
        <v>88.56</v>
      </c>
      <c r="G44" s="12">
        <v>39.120004999999999</v>
      </c>
      <c r="H44" s="12">
        <v>24.255890300000001</v>
      </c>
      <c r="I44" s="12">
        <v>-8.5040337000000008</v>
      </c>
      <c r="J44" s="12">
        <v>7.0984758000000001</v>
      </c>
      <c r="K44" s="12">
        <v>12.6993019</v>
      </c>
      <c r="L44" s="12">
        <v>0.39948250000000002</v>
      </c>
      <c r="M44" s="12">
        <v>14.5993467</v>
      </c>
      <c r="N44" s="12">
        <v>9.4999597999999992</v>
      </c>
      <c r="O44" s="12">
        <v>10.899791</v>
      </c>
      <c r="P44" s="7" t="s">
        <v>107</v>
      </c>
      <c r="Q44" s="7" t="s">
        <v>107</v>
      </c>
      <c r="R44" s="7" t="s">
        <v>107</v>
      </c>
      <c r="S44" s="12">
        <v>19.591561500000001</v>
      </c>
      <c r="T44" s="12">
        <v>10</v>
      </c>
      <c r="U44" s="12">
        <v>19.311649599999999</v>
      </c>
      <c r="V44" s="12">
        <v>0.31126369999999998</v>
      </c>
      <c r="W44" s="7" t="s">
        <v>107</v>
      </c>
      <c r="X44" s="12">
        <v>28.514419199999999</v>
      </c>
      <c r="Y44" s="12">
        <v>26.437447899999999</v>
      </c>
      <c r="Z44" s="12">
        <v>-10.028759900000001</v>
      </c>
      <c r="AA44" s="12">
        <v>47.446908200000003</v>
      </c>
      <c r="AB44" s="12">
        <v>19.4169208</v>
      </c>
      <c r="AC44" s="12">
        <v>42.920411100000003</v>
      </c>
      <c r="AD44" s="12">
        <v>64.093723400000002</v>
      </c>
      <c r="AE44" s="12">
        <v>74.019197500000004</v>
      </c>
      <c r="AF44" s="12">
        <v>45.781258600000001</v>
      </c>
      <c r="AG44" s="22" t="s">
        <v>107</v>
      </c>
    </row>
    <row r="45" spans="1:33" s="11" customFormat="1" outlineLevel="1" x14ac:dyDescent="0.3">
      <c r="A45" s="11" t="s">
        <v>51</v>
      </c>
      <c r="B45" s="12">
        <v>1.9060995000000001</v>
      </c>
      <c r="C45" s="12">
        <v>88.42</v>
      </c>
      <c r="D45" s="12">
        <v>3.5484249000000001</v>
      </c>
      <c r="E45" s="17">
        <v>4</v>
      </c>
      <c r="F45" s="13">
        <v>96.936666700000004</v>
      </c>
      <c r="G45" s="12">
        <v>37.866512399999998</v>
      </c>
      <c r="H45" s="12">
        <v>34.190837299999998</v>
      </c>
      <c r="I45" s="12">
        <v>8.3493022000000003</v>
      </c>
      <c r="J45" s="12">
        <v>11.2025638</v>
      </c>
      <c r="K45" s="12">
        <v>11.1002522</v>
      </c>
      <c r="L45" s="12">
        <v>1.4997252999999999</v>
      </c>
      <c r="M45" s="12">
        <v>30.200516700000001</v>
      </c>
      <c r="N45" s="12">
        <v>18.800132000000001</v>
      </c>
      <c r="O45" s="12">
        <v>19.299474199999999</v>
      </c>
      <c r="P45" s="7" t="s">
        <v>107</v>
      </c>
      <c r="Q45" s="7" t="s">
        <v>107</v>
      </c>
      <c r="R45" s="7" t="s">
        <v>107</v>
      </c>
      <c r="S45" s="12">
        <v>22.991295600000001</v>
      </c>
      <c r="T45" s="12">
        <v>10</v>
      </c>
      <c r="U45" s="12">
        <v>20.4131705</v>
      </c>
      <c r="V45" s="12">
        <v>0.32269900000000001</v>
      </c>
      <c r="W45" s="7" t="s">
        <v>107</v>
      </c>
      <c r="X45" s="12">
        <v>45.623710699999997</v>
      </c>
      <c r="Y45" s="12">
        <v>37.171398500000002</v>
      </c>
      <c r="Z45" s="12">
        <v>-3.0227374</v>
      </c>
      <c r="AA45" s="12">
        <v>54.0491168</v>
      </c>
      <c r="AB45" s="12">
        <v>17.5779511</v>
      </c>
      <c r="AC45" s="12">
        <v>27.7944596</v>
      </c>
      <c r="AD45" s="12">
        <v>73.397498100000007</v>
      </c>
      <c r="AE45" s="12">
        <v>75.041958300000005</v>
      </c>
      <c r="AF45" s="12">
        <v>47.0609313</v>
      </c>
      <c r="AG45" s="22" t="s">
        <v>107</v>
      </c>
    </row>
    <row r="46" spans="1:33" s="11" customFormat="1" outlineLevel="1" x14ac:dyDescent="0.3">
      <c r="A46" s="11" t="s">
        <v>52</v>
      </c>
      <c r="B46" s="12">
        <v>1.9101475000000001</v>
      </c>
      <c r="C46" s="12">
        <v>89.906666700000002</v>
      </c>
      <c r="D46" s="12">
        <v>3.9383430000000001</v>
      </c>
      <c r="E46" s="17">
        <v>4</v>
      </c>
      <c r="F46" s="13">
        <v>121.3966667</v>
      </c>
      <c r="G46" s="12">
        <v>32.002102499999999</v>
      </c>
      <c r="H46" s="12">
        <v>40.273750499999998</v>
      </c>
      <c r="I46" s="12">
        <v>2.8119109999999998</v>
      </c>
      <c r="J46" s="12">
        <v>10.4987429</v>
      </c>
      <c r="K46" s="12">
        <v>13.200549000000001</v>
      </c>
      <c r="L46" s="12">
        <v>0.59888739999999996</v>
      </c>
      <c r="M46" s="12">
        <v>30.701187999999998</v>
      </c>
      <c r="N46" s="12">
        <v>4.3002802000000004</v>
      </c>
      <c r="O46" s="12">
        <v>16.799845999999999</v>
      </c>
      <c r="P46" s="7" t="s">
        <v>107</v>
      </c>
      <c r="Q46" s="7" t="s">
        <v>107</v>
      </c>
      <c r="R46" s="7" t="s">
        <v>107</v>
      </c>
      <c r="S46" s="12">
        <v>25.133443100000001</v>
      </c>
      <c r="T46" s="12">
        <v>10</v>
      </c>
      <c r="U46" s="12">
        <v>21.028332299999999</v>
      </c>
      <c r="V46" s="12">
        <v>0.33416200000000001</v>
      </c>
      <c r="W46" s="7" t="s">
        <v>107</v>
      </c>
      <c r="X46" s="12">
        <v>34.014641099999999</v>
      </c>
      <c r="Y46" s="12">
        <v>34.421720800000003</v>
      </c>
      <c r="Z46" s="12">
        <v>-6.3092702000000003</v>
      </c>
      <c r="AA46" s="12">
        <v>50.346762099999999</v>
      </c>
      <c r="AB46" s="12">
        <v>18.033247800000002</v>
      </c>
      <c r="AC46" s="12">
        <v>34.463892100000002</v>
      </c>
      <c r="AD46" s="12">
        <v>71.828564400000005</v>
      </c>
      <c r="AE46" s="12">
        <v>78.036996599999995</v>
      </c>
      <c r="AF46" s="12">
        <v>52.9105676</v>
      </c>
      <c r="AG46" s="22" t="s">
        <v>107</v>
      </c>
    </row>
    <row r="47" spans="1:33" s="11" customFormat="1" outlineLevel="1" x14ac:dyDescent="0.3">
      <c r="A47" s="11" t="s">
        <v>53</v>
      </c>
      <c r="B47" s="12">
        <v>0.87131639999999999</v>
      </c>
      <c r="C47" s="12">
        <v>90.323333300000002</v>
      </c>
      <c r="D47" s="12">
        <v>4.2994611000000003</v>
      </c>
      <c r="E47" s="17">
        <v>4.25</v>
      </c>
      <c r="F47" s="13">
        <v>114.3966667</v>
      </c>
      <c r="G47" s="12">
        <v>40.101099900000001</v>
      </c>
      <c r="H47" s="12">
        <v>44.884200399999997</v>
      </c>
      <c r="I47" s="12">
        <v>4.8858525999999998</v>
      </c>
      <c r="J47" s="12">
        <v>11.299851500000001</v>
      </c>
      <c r="K47" s="12">
        <v>27.0993104</v>
      </c>
      <c r="L47" s="12">
        <v>-0.39968979999999998</v>
      </c>
      <c r="M47" s="12">
        <v>30.599165299999999</v>
      </c>
      <c r="N47" s="12">
        <v>-1.5997323999999999</v>
      </c>
      <c r="O47" s="12">
        <v>20.099772699999999</v>
      </c>
      <c r="P47" s="7" t="s">
        <v>107</v>
      </c>
      <c r="Q47" s="7" t="s">
        <v>107</v>
      </c>
      <c r="R47" s="7" t="s">
        <v>107</v>
      </c>
      <c r="S47" s="12">
        <v>28.491579099999999</v>
      </c>
      <c r="T47" s="12">
        <v>10.5</v>
      </c>
      <c r="U47" s="12">
        <v>21.460079100000002</v>
      </c>
      <c r="V47" s="12">
        <v>0.31864029999999999</v>
      </c>
      <c r="W47" s="7" t="s">
        <v>107</v>
      </c>
      <c r="X47" s="12">
        <v>31.1255886</v>
      </c>
      <c r="Y47" s="12">
        <v>39.676746399999999</v>
      </c>
      <c r="Z47" s="12">
        <v>-8.3365842000000008</v>
      </c>
      <c r="AA47" s="12">
        <v>54.830801700000002</v>
      </c>
      <c r="AB47" s="12">
        <v>12.949382200000001</v>
      </c>
      <c r="AC47" s="12">
        <v>37.623450900000002</v>
      </c>
      <c r="AD47" s="12">
        <v>57.594490800000003</v>
      </c>
      <c r="AE47" s="12">
        <v>66.108348300000003</v>
      </c>
      <c r="AF47" s="12">
        <v>58.955203099999999</v>
      </c>
      <c r="AG47" s="22" t="s">
        <v>107</v>
      </c>
    </row>
    <row r="48" spans="1:33" s="11" customFormat="1" outlineLevel="1" x14ac:dyDescent="0.3">
      <c r="A48" s="11" t="s">
        <v>54</v>
      </c>
      <c r="B48" s="12">
        <v>-1.9881508000000001</v>
      </c>
      <c r="C48" s="12">
        <v>90.23</v>
      </c>
      <c r="D48" s="12">
        <v>2.8613770999999999</v>
      </c>
      <c r="E48" s="17">
        <v>3.1666666999999999</v>
      </c>
      <c r="F48" s="13">
        <v>54.66</v>
      </c>
      <c r="G48" s="12">
        <v>28.992309599999999</v>
      </c>
      <c r="H48" s="12">
        <v>28.146752500000002</v>
      </c>
      <c r="I48" s="12">
        <v>-9.0643927000000009</v>
      </c>
      <c r="J48" s="12">
        <v>8.0994960999999996</v>
      </c>
      <c r="K48" s="12">
        <v>13.2005251</v>
      </c>
      <c r="L48" s="12">
        <v>-0.30068050000000002</v>
      </c>
      <c r="M48" s="12">
        <v>22.899561800000001</v>
      </c>
      <c r="N48" s="12">
        <v>-7.5001378000000001</v>
      </c>
      <c r="O48" s="12">
        <v>11.1003072</v>
      </c>
      <c r="P48" s="7" t="s">
        <v>107</v>
      </c>
      <c r="Q48" s="7" t="s">
        <v>107</v>
      </c>
      <c r="R48" s="7" t="s">
        <v>107</v>
      </c>
      <c r="S48" s="12">
        <v>28.356683499999999</v>
      </c>
      <c r="T48" s="12">
        <v>12</v>
      </c>
      <c r="U48" s="12">
        <v>22.121094599999999</v>
      </c>
      <c r="V48" s="12">
        <v>0.28202129999999997</v>
      </c>
      <c r="W48" s="7" t="s">
        <v>107</v>
      </c>
      <c r="X48" s="12">
        <v>-1.8191425000000001</v>
      </c>
      <c r="Y48" s="12">
        <v>9.2515456999999994</v>
      </c>
      <c r="Z48" s="12">
        <v>-13.671327099999999</v>
      </c>
      <c r="AA48" s="12">
        <v>48.5655894</v>
      </c>
      <c r="AB48" s="12">
        <v>18.378166</v>
      </c>
      <c r="AC48" s="12">
        <v>48.132216800000002</v>
      </c>
      <c r="AD48" s="12">
        <v>45.227623299999998</v>
      </c>
      <c r="AE48" s="12">
        <v>58.119725799999998</v>
      </c>
      <c r="AF48" s="12">
        <v>58.010744600000002</v>
      </c>
      <c r="AG48" s="22" t="s">
        <v>107</v>
      </c>
    </row>
    <row r="49" spans="1:33" s="11" customFormat="1" outlineLevel="1" x14ac:dyDescent="0.3">
      <c r="A49" s="11" t="s">
        <v>55</v>
      </c>
      <c r="B49" s="12">
        <v>-5.4359460999999998</v>
      </c>
      <c r="C49" s="12">
        <v>89.88</v>
      </c>
      <c r="D49" s="12">
        <v>1.6512100999999999</v>
      </c>
      <c r="E49" s="17">
        <v>1.8333333000000001</v>
      </c>
      <c r="F49" s="13">
        <v>44.433333300000001</v>
      </c>
      <c r="G49" s="12">
        <v>9.6101282000000001</v>
      </c>
      <c r="H49" s="12">
        <v>-3.2302151000000001</v>
      </c>
      <c r="I49" s="12">
        <v>2.1502579000000002</v>
      </c>
      <c r="J49" s="12">
        <v>1.0990396</v>
      </c>
      <c r="K49" s="12">
        <v>5.1005931000000002</v>
      </c>
      <c r="L49" s="12">
        <v>-1.3533739</v>
      </c>
      <c r="M49" s="12">
        <v>8.9994330999999992</v>
      </c>
      <c r="N49" s="12">
        <v>-21.100368599999999</v>
      </c>
      <c r="O49" s="12">
        <v>-8.1004065999999995</v>
      </c>
      <c r="P49" s="7" t="s">
        <v>107</v>
      </c>
      <c r="Q49" s="7" t="s">
        <v>107</v>
      </c>
      <c r="R49" s="7" t="s">
        <v>107</v>
      </c>
      <c r="S49" s="12">
        <v>19.656116900000001</v>
      </c>
      <c r="T49" s="12">
        <v>14</v>
      </c>
      <c r="U49" s="12">
        <v>23.558017799999998</v>
      </c>
      <c r="V49" s="12">
        <v>0.36251070000000002</v>
      </c>
      <c r="W49" s="7" t="s">
        <v>107</v>
      </c>
      <c r="X49" s="12">
        <v>-38.385793499999998</v>
      </c>
      <c r="Y49" s="12">
        <v>-21.190181599999999</v>
      </c>
      <c r="Z49" s="12">
        <v>-18.4304621</v>
      </c>
      <c r="AA49" s="12">
        <v>60.295963200000003</v>
      </c>
      <c r="AB49" s="12">
        <v>18.371497900000001</v>
      </c>
      <c r="AC49" s="12">
        <v>32.152324399999998</v>
      </c>
      <c r="AD49" s="12">
        <v>47.353393199999999</v>
      </c>
      <c r="AE49" s="12">
        <v>61.787411300000002</v>
      </c>
      <c r="AF49" s="12">
        <v>58.422286200000002</v>
      </c>
      <c r="AG49" s="22" t="s">
        <v>107</v>
      </c>
    </row>
    <row r="50" spans="1:33" s="11" customFormat="1" outlineLevel="1" x14ac:dyDescent="0.3">
      <c r="A50" s="11" t="s">
        <v>56</v>
      </c>
      <c r="B50" s="12">
        <v>-5.8020649999999998</v>
      </c>
      <c r="C50" s="12">
        <v>90.723333299999993</v>
      </c>
      <c r="D50" s="12">
        <v>0.90834930000000003</v>
      </c>
      <c r="E50" s="17">
        <v>1.0833333000000001</v>
      </c>
      <c r="F50" s="13">
        <v>58.696666700000002</v>
      </c>
      <c r="G50" s="12">
        <v>5.9682966999999998</v>
      </c>
      <c r="H50" s="12">
        <v>-8.7174735000000005</v>
      </c>
      <c r="I50" s="12">
        <v>-4.4972013000000004</v>
      </c>
      <c r="J50" s="12">
        <v>-0.4020051</v>
      </c>
      <c r="K50" s="12">
        <v>-0.99971620000000005</v>
      </c>
      <c r="L50" s="12">
        <v>1.2329656</v>
      </c>
      <c r="M50" s="12">
        <v>5.7007361000000003</v>
      </c>
      <c r="N50" s="12">
        <v>-15.199808300000001</v>
      </c>
      <c r="O50" s="12">
        <v>-7.9999634000000004</v>
      </c>
      <c r="P50" s="7" t="s">
        <v>107</v>
      </c>
      <c r="Q50" s="7" t="s">
        <v>107</v>
      </c>
      <c r="R50" s="7" t="s">
        <v>107</v>
      </c>
      <c r="S50" s="12">
        <v>14.8710804</v>
      </c>
      <c r="T50" s="12">
        <v>14</v>
      </c>
      <c r="U50" s="12">
        <v>23.941849900000001</v>
      </c>
      <c r="V50" s="12">
        <v>0.38300400000000001</v>
      </c>
      <c r="W50" s="7" t="s">
        <v>107</v>
      </c>
      <c r="X50" s="12">
        <v>-35.489004700000002</v>
      </c>
      <c r="Y50" s="12">
        <v>-24.179949100000002</v>
      </c>
      <c r="Z50" s="12">
        <v>-13.9988472</v>
      </c>
      <c r="AA50" s="12">
        <v>54.303688600000001</v>
      </c>
      <c r="AB50" s="12">
        <v>18.067577799999999</v>
      </c>
      <c r="AC50" s="12">
        <v>38.817015300000001</v>
      </c>
      <c r="AD50" s="12">
        <v>51.045386299999997</v>
      </c>
      <c r="AE50" s="12">
        <v>64.876579000000007</v>
      </c>
      <c r="AF50" s="12">
        <v>44.201310700000001</v>
      </c>
      <c r="AG50" s="22" t="s">
        <v>107</v>
      </c>
    </row>
    <row r="51" spans="1:33" s="11" customFormat="1" outlineLevel="1" x14ac:dyDescent="0.3">
      <c r="A51" s="11" t="s">
        <v>57</v>
      </c>
      <c r="B51" s="12">
        <v>-4.1677857999999999</v>
      </c>
      <c r="C51" s="12">
        <v>90.663333300000005</v>
      </c>
      <c r="D51" s="12">
        <v>0.37642540000000002</v>
      </c>
      <c r="E51" s="17">
        <v>1</v>
      </c>
      <c r="F51" s="13">
        <v>68.2</v>
      </c>
      <c r="G51" s="12">
        <v>-1.7372976</v>
      </c>
      <c r="H51" s="12">
        <v>-7.5911162000000001</v>
      </c>
      <c r="I51" s="12">
        <v>1.9781401999999999</v>
      </c>
      <c r="J51" s="12">
        <v>-0.80023869999999997</v>
      </c>
      <c r="K51" s="12">
        <v>-2.600142</v>
      </c>
      <c r="L51" s="12">
        <v>-2.7850982000000002</v>
      </c>
      <c r="M51" s="12">
        <v>-6.7003969000000003</v>
      </c>
      <c r="N51" s="12">
        <v>-2.4999764</v>
      </c>
      <c r="O51" s="12">
        <v>-9.0996722999999999</v>
      </c>
      <c r="P51" s="7" t="s">
        <v>107</v>
      </c>
      <c r="Q51" s="7" t="s">
        <v>107</v>
      </c>
      <c r="R51" s="7" t="s">
        <v>107</v>
      </c>
      <c r="S51" s="12">
        <v>10.5913228</v>
      </c>
      <c r="T51" s="12">
        <v>14</v>
      </c>
      <c r="U51" s="12">
        <v>24.118051999999999</v>
      </c>
      <c r="V51" s="12">
        <v>0.40389969999999997</v>
      </c>
      <c r="W51" s="7" t="s">
        <v>107</v>
      </c>
      <c r="X51" s="12">
        <v>-30.295093699999999</v>
      </c>
      <c r="Y51" s="12">
        <v>-32.795116999999998</v>
      </c>
      <c r="Z51" s="12">
        <v>-5.1629937999999997</v>
      </c>
      <c r="AA51" s="12">
        <v>56.996112099999998</v>
      </c>
      <c r="AB51" s="12">
        <v>13.2629207</v>
      </c>
      <c r="AC51" s="12">
        <v>36.0310542</v>
      </c>
      <c r="AD51" s="12">
        <v>48.385379299999997</v>
      </c>
      <c r="AE51" s="12">
        <v>53.182437299999997</v>
      </c>
      <c r="AF51" s="12">
        <v>31.2660026</v>
      </c>
      <c r="AG51" s="22" t="s">
        <v>107</v>
      </c>
    </row>
    <row r="52" spans="1:33" s="11" customFormat="1" outlineLevel="1" x14ac:dyDescent="0.3">
      <c r="A52" s="11" t="s">
        <v>58</v>
      </c>
      <c r="B52" s="12">
        <v>-1.8288317999999999</v>
      </c>
      <c r="C52" s="12">
        <v>91.146666699999997</v>
      </c>
      <c r="D52" s="12">
        <v>1.0159222999999999</v>
      </c>
      <c r="E52" s="17">
        <v>1</v>
      </c>
      <c r="F52" s="13">
        <v>74.63</v>
      </c>
      <c r="G52" s="12">
        <v>-8.7088710000000003</v>
      </c>
      <c r="H52" s="12">
        <v>2.0298759999999998</v>
      </c>
      <c r="I52" s="12">
        <v>-2.5241468</v>
      </c>
      <c r="J52" s="12">
        <v>0.99963009999999997</v>
      </c>
      <c r="K52" s="12">
        <v>0.20041429999999999</v>
      </c>
      <c r="L52" s="12">
        <v>-0.58956920000000002</v>
      </c>
      <c r="M52" s="12">
        <v>-14.1998385</v>
      </c>
      <c r="N52" s="12">
        <v>5.1999762</v>
      </c>
      <c r="O52" s="12">
        <v>-10.8997545</v>
      </c>
      <c r="P52" s="7" t="s">
        <v>107</v>
      </c>
      <c r="Q52" s="7" t="s">
        <v>107</v>
      </c>
      <c r="R52" s="7" t="s">
        <v>107</v>
      </c>
      <c r="S52" s="12">
        <v>7.5055604000000002</v>
      </c>
      <c r="T52" s="12">
        <v>13.5</v>
      </c>
      <c r="U52" s="12">
        <v>24.4168743</v>
      </c>
      <c r="V52" s="12">
        <v>0.40901670000000001</v>
      </c>
      <c r="W52" s="7" t="s">
        <v>107</v>
      </c>
      <c r="X52" s="12">
        <v>-9.9442017000000007</v>
      </c>
      <c r="Y52" s="12">
        <v>-12.2159972</v>
      </c>
      <c r="Z52" s="12">
        <v>-14.492380300000001</v>
      </c>
      <c r="AA52" s="12">
        <v>50.214484400000003</v>
      </c>
      <c r="AB52" s="12">
        <v>18.129805399999999</v>
      </c>
      <c r="AC52" s="12">
        <v>41.263244800000002</v>
      </c>
      <c r="AD52" s="12">
        <v>54.905544900000002</v>
      </c>
      <c r="AE52" s="12">
        <v>68.547025399999995</v>
      </c>
      <c r="AF52" s="12">
        <v>26.731753000000001</v>
      </c>
      <c r="AG52" s="22" t="s">
        <v>107</v>
      </c>
    </row>
    <row r="53" spans="1:33" s="11" customFormat="1" outlineLevel="1" x14ac:dyDescent="0.3">
      <c r="A53" s="11" t="s">
        <v>59</v>
      </c>
      <c r="B53" s="12">
        <v>1.1991562</v>
      </c>
      <c r="C53" s="12">
        <v>91.416666699999993</v>
      </c>
      <c r="D53" s="12">
        <v>1.709687</v>
      </c>
      <c r="E53" s="17">
        <v>1</v>
      </c>
      <c r="F53" s="13">
        <v>76.25</v>
      </c>
      <c r="G53" s="12">
        <v>15.325543700000001</v>
      </c>
      <c r="H53" s="12">
        <v>6.4814457000000001</v>
      </c>
      <c r="I53" s="12">
        <v>-1.4973133999999999</v>
      </c>
      <c r="J53" s="12">
        <v>4.2989378</v>
      </c>
      <c r="K53" s="12">
        <v>3.6003077999999999</v>
      </c>
      <c r="L53" s="12">
        <v>3.0989735</v>
      </c>
      <c r="M53" s="12">
        <v>-0.69995229999999997</v>
      </c>
      <c r="N53" s="12">
        <v>7.2995368999999997</v>
      </c>
      <c r="O53" s="12">
        <v>-1.2995156999999999</v>
      </c>
      <c r="P53" s="7" t="s">
        <v>107</v>
      </c>
      <c r="Q53" s="7" t="s">
        <v>107</v>
      </c>
      <c r="R53" s="7" t="s">
        <v>107</v>
      </c>
      <c r="S53" s="12">
        <v>11.809770200000001</v>
      </c>
      <c r="T53" s="12">
        <v>13</v>
      </c>
      <c r="U53" s="12">
        <v>25.0349261</v>
      </c>
      <c r="V53" s="12">
        <v>0.40287800000000001</v>
      </c>
      <c r="W53" s="7" t="s">
        <v>107</v>
      </c>
      <c r="X53" s="12">
        <v>23.827993599999999</v>
      </c>
      <c r="Y53" s="12">
        <v>5.0774926000000002</v>
      </c>
      <c r="Z53" s="12">
        <v>-10.4737858</v>
      </c>
      <c r="AA53" s="12">
        <v>61.061917299999998</v>
      </c>
      <c r="AB53" s="12">
        <v>17.752610300000001</v>
      </c>
      <c r="AC53" s="12">
        <v>30.366714900000002</v>
      </c>
      <c r="AD53" s="12">
        <v>54.677225300000003</v>
      </c>
      <c r="AE53" s="12">
        <v>60.880808500000001</v>
      </c>
      <c r="AF53" s="12">
        <v>23.5138164</v>
      </c>
      <c r="AG53" s="22" t="s">
        <v>107</v>
      </c>
    </row>
    <row r="54" spans="1:33" s="11" customFormat="1" outlineLevel="1" x14ac:dyDescent="0.3">
      <c r="A54" s="11" t="s">
        <v>60</v>
      </c>
      <c r="B54" s="12">
        <v>2.6157658000000001</v>
      </c>
      <c r="C54" s="12">
        <v>92.57</v>
      </c>
      <c r="D54" s="12">
        <v>2.0354926</v>
      </c>
      <c r="E54" s="17">
        <v>1</v>
      </c>
      <c r="F54" s="13">
        <v>78.510000000000005</v>
      </c>
      <c r="G54" s="12">
        <v>7.2678756</v>
      </c>
      <c r="H54" s="12">
        <v>11.626286</v>
      </c>
      <c r="I54" s="12">
        <v>-2.3131425999999999</v>
      </c>
      <c r="J54" s="12">
        <v>9.1994182000000002</v>
      </c>
      <c r="K54" s="12">
        <v>12.899527000000001</v>
      </c>
      <c r="L54" s="12">
        <v>3.0992196000000001</v>
      </c>
      <c r="M54" s="12">
        <v>9.5994765999999991</v>
      </c>
      <c r="N54" s="12">
        <v>7.1993783000000002</v>
      </c>
      <c r="O54" s="12">
        <v>9.0002289999999991</v>
      </c>
      <c r="P54" s="7" t="s">
        <v>107</v>
      </c>
      <c r="Q54" s="7" t="s">
        <v>107</v>
      </c>
      <c r="R54" s="7" t="s">
        <v>107</v>
      </c>
      <c r="S54" s="12">
        <v>18.603503799999999</v>
      </c>
      <c r="T54" s="12">
        <v>12</v>
      </c>
      <c r="U54" s="12">
        <v>25.584008699999998</v>
      </c>
      <c r="V54" s="12">
        <v>0.38469199999999998</v>
      </c>
      <c r="W54" s="7" t="s">
        <v>107</v>
      </c>
      <c r="X54" s="12">
        <v>28.932972100000001</v>
      </c>
      <c r="Y54" s="12">
        <v>26.394908000000001</v>
      </c>
      <c r="Z54" s="12">
        <v>-14.9375932</v>
      </c>
      <c r="AA54" s="12">
        <v>57.104729200000001</v>
      </c>
      <c r="AB54" s="12">
        <v>17.400481299999999</v>
      </c>
      <c r="AC54" s="12">
        <v>37.989691200000003</v>
      </c>
      <c r="AD54" s="12">
        <v>53.0072294</v>
      </c>
      <c r="AE54" s="12">
        <v>66.478964399999995</v>
      </c>
      <c r="AF54" s="12">
        <v>28.502002699999998</v>
      </c>
      <c r="AG54" s="22" t="s">
        <v>107</v>
      </c>
    </row>
    <row r="55" spans="1:33" s="11" customFormat="1" outlineLevel="1" x14ac:dyDescent="0.3">
      <c r="A55" s="11" t="s">
        <v>61</v>
      </c>
      <c r="B55" s="12">
        <v>2.4618717000000001</v>
      </c>
      <c r="C55" s="12">
        <v>92.583333300000007</v>
      </c>
      <c r="D55" s="12">
        <v>2.1177248999999998</v>
      </c>
      <c r="E55" s="17">
        <v>1</v>
      </c>
      <c r="F55" s="13">
        <v>76.819999999999993</v>
      </c>
      <c r="G55" s="12">
        <v>8.4658408000000005</v>
      </c>
      <c r="H55" s="12">
        <v>6.3668623000000002</v>
      </c>
      <c r="I55" s="12">
        <v>1.0382258</v>
      </c>
      <c r="J55" s="12">
        <v>7.0006848000000002</v>
      </c>
      <c r="K55" s="12">
        <v>7.5994836000000001</v>
      </c>
      <c r="L55" s="12">
        <v>4.1001786999999998</v>
      </c>
      <c r="M55" s="12">
        <v>23.599766200000001</v>
      </c>
      <c r="N55" s="12">
        <v>3.7996379</v>
      </c>
      <c r="O55" s="12">
        <v>16.100453099999999</v>
      </c>
      <c r="P55" s="7" t="s">
        <v>107</v>
      </c>
      <c r="Q55" s="7" t="s">
        <v>107</v>
      </c>
      <c r="R55" s="7" t="s">
        <v>107</v>
      </c>
      <c r="S55" s="12">
        <v>24.9277792</v>
      </c>
      <c r="T55" s="12">
        <v>10.5</v>
      </c>
      <c r="U55" s="12">
        <v>26.000036699999999</v>
      </c>
      <c r="V55" s="12">
        <v>0.38741999999999999</v>
      </c>
      <c r="W55" s="7" t="s">
        <v>107</v>
      </c>
      <c r="X55" s="12">
        <v>21.225234</v>
      </c>
      <c r="Y55" s="12">
        <v>37.7286055</v>
      </c>
      <c r="Z55" s="12">
        <v>-12.1009779</v>
      </c>
      <c r="AA55" s="12">
        <v>55.873030499999999</v>
      </c>
      <c r="AB55" s="12">
        <v>13.1654991</v>
      </c>
      <c r="AC55" s="12">
        <v>41.055519699999998</v>
      </c>
      <c r="AD55" s="12">
        <v>44.518324900000003</v>
      </c>
      <c r="AE55" s="12">
        <v>56.058409300000001</v>
      </c>
      <c r="AF55" s="12">
        <v>34.204180299999997</v>
      </c>
      <c r="AG55" s="22" t="s">
        <v>107</v>
      </c>
    </row>
    <row r="56" spans="1:33" s="11" customFormat="1" outlineLevel="1" x14ac:dyDescent="0.3">
      <c r="A56" s="11" t="s">
        <v>62</v>
      </c>
      <c r="B56" s="12">
        <v>2.3931737000000002</v>
      </c>
      <c r="C56" s="12">
        <v>93.383333300000004</v>
      </c>
      <c r="D56" s="12">
        <v>2.4539203000000001</v>
      </c>
      <c r="E56" s="17">
        <v>1</v>
      </c>
      <c r="F56" s="13">
        <v>86.466666700000005</v>
      </c>
      <c r="G56" s="12">
        <v>15.685540899999999</v>
      </c>
      <c r="H56" s="12">
        <v>10.2753193</v>
      </c>
      <c r="I56" s="12">
        <v>-4.2309706</v>
      </c>
      <c r="J56" s="12">
        <v>10.200455099999999</v>
      </c>
      <c r="K56" s="12">
        <v>13.9998202</v>
      </c>
      <c r="L56" s="12">
        <v>2.2992701000000002</v>
      </c>
      <c r="M56" s="12">
        <v>32.500033600000002</v>
      </c>
      <c r="N56" s="12">
        <v>12.2002095</v>
      </c>
      <c r="O56" s="12">
        <v>21.800243399999999</v>
      </c>
      <c r="P56" s="7" t="s">
        <v>107</v>
      </c>
      <c r="Q56" s="7" t="s">
        <v>107</v>
      </c>
      <c r="R56" s="7" t="s">
        <v>107</v>
      </c>
      <c r="S56" s="12">
        <v>38.960956000000003</v>
      </c>
      <c r="T56" s="12">
        <v>10.5</v>
      </c>
      <c r="U56" s="12">
        <v>26.853460599999998</v>
      </c>
      <c r="V56" s="12">
        <v>0.41075070000000002</v>
      </c>
      <c r="W56" s="7" t="s">
        <v>107</v>
      </c>
      <c r="X56" s="12">
        <v>34.336447</v>
      </c>
      <c r="Y56" s="12">
        <v>45.026266999999997</v>
      </c>
      <c r="Z56" s="12">
        <v>-19.642015700000002</v>
      </c>
      <c r="AA56" s="12">
        <v>50.535253500000003</v>
      </c>
      <c r="AB56" s="12">
        <v>16.678220899999999</v>
      </c>
      <c r="AC56" s="12">
        <v>49.415494500000001</v>
      </c>
      <c r="AD56" s="12">
        <v>54.889089900000002</v>
      </c>
      <c r="AE56" s="12">
        <v>74.252786999999998</v>
      </c>
      <c r="AF56" s="12">
        <v>42.193249100000003</v>
      </c>
      <c r="AG56" s="22" t="s">
        <v>107</v>
      </c>
    </row>
    <row r="57" spans="1:33" s="11" customFormat="1" outlineLevel="1" x14ac:dyDescent="0.3">
      <c r="A57" s="11" t="s">
        <v>63</v>
      </c>
      <c r="B57" s="12">
        <v>3.2110127999999998</v>
      </c>
      <c r="C57" s="12">
        <v>94.073333300000002</v>
      </c>
      <c r="D57" s="12">
        <v>2.9061075000000001</v>
      </c>
      <c r="E57" s="17">
        <v>1</v>
      </c>
      <c r="F57" s="13">
        <v>104.96</v>
      </c>
      <c r="G57" s="12">
        <v>20.490632699999999</v>
      </c>
      <c r="H57" s="12">
        <v>30.090376599999999</v>
      </c>
      <c r="I57" s="12">
        <v>1.6926730999999999</v>
      </c>
      <c r="J57" s="12">
        <v>10.6009393</v>
      </c>
      <c r="K57" s="12">
        <v>16.699676799999999</v>
      </c>
      <c r="L57" s="12">
        <v>-2.4015279999999999</v>
      </c>
      <c r="M57" s="12">
        <v>31.200488799999999</v>
      </c>
      <c r="N57" s="12">
        <v>26.000378600000001</v>
      </c>
      <c r="O57" s="12">
        <v>40.9001059</v>
      </c>
      <c r="P57" s="7" t="s">
        <v>107</v>
      </c>
      <c r="Q57" s="7" t="s">
        <v>107</v>
      </c>
      <c r="R57" s="7" t="s">
        <v>107</v>
      </c>
      <c r="S57" s="12">
        <v>40.9604675</v>
      </c>
      <c r="T57" s="12">
        <v>12</v>
      </c>
      <c r="U57" s="12">
        <v>28.162683900000001</v>
      </c>
      <c r="V57" s="12">
        <v>0.41531570000000001</v>
      </c>
      <c r="W57" s="7" t="s">
        <v>107</v>
      </c>
      <c r="X57" s="12">
        <v>49.369557499999999</v>
      </c>
      <c r="Y57" s="12">
        <v>65.274918099999994</v>
      </c>
      <c r="Z57" s="12">
        <v>-21.447649800000001</v>
      </c>
      <c r="AA57" s="12">
        <v>58.362246399999997</v>
      </c>
      <c r="AB57" s="12">
        <v>17.840460199999999</v>
      </c>
      <c r="AC57" s="12">
        <v>35.880468499999999</v>
      </c>
      <c r="AD57" s="12">
        <v>59.1125902</v>
      </c>
      <c r="AE57" s="12">
        <v>72.597322599999998</v>
      </c>
      <c r="AF57" s="12">
        <v>47.470752500000003</v>
      </c>
      <c r="AG57" s="22" t="s">
        <v>107</v>
      </c>
    </row>
    <row r="58" spans="1:33" s="11" customFormat="1" outlineLevel="1" x14ac:dyDescent="0.3">
      <c r="A58" s="11" t="s">
        <v>64</v>
      </c>
      <c r="B58" s="12">
        <v>2.1036085</v>
      </c>
      <c r="C58" s="12">
        <v>95.516666700000002</v>
      </c>
      <c r="D58" s="12">
        <v>3.1831767000000002</v>
      </c>
      <c r="E58" s="17">
        <v>1.25</v>
      </c>
      <c r="F58" s="13">
        <v>117.36</v>
      </c>
      <c r="G58" s="12">
        <v>27.633527900000001</v>
      </c>
      <c r="H58" s="12">
        <v>48.903304900000002</v>
      </c>
      <c r="I58" s="12">
        <v>3.6096406000000001</v>
      </c>
      <c r="J58" s="12">
        <v>11.198916499999999</v>
      </c>
      <c r="K58" s="12">
        <v>7.4993941</v>
      </c>
      <c r="L58" s="12">
        <v>-3.6007785000000001</v>
      </c>
      <c r="M58" s="12">
        <v>26.999559399999999</v>
      </c>
      <c r="N58" s="12">
        <v>35.699378299999999</v>
      </c>
      <c r="O58" s="12">
        <v>24.200412799999999</v>
      </c>
      <c r="P58" s="7" t="s">
        <v>107</v>
      </c>
      <c r="Q58" s="7" t="s">
        <v>107</v>
      </c>
      <c r="R58" s="7" t="s">
        <v>107</v>
      </c>
      <c r="S58" s="12">
        <v>42.300142700000002</v>
      </c>
      <c r="T58" s="12">
        <v>18</v>
      </c>
      <c r="U58" s="12">
        <v>33.6568343</v>
      </c>
      <c r="V58" s="12">
        <v>0.60322169999999997</v>
      </c>
      <c r="W58" s="7" t="s">
        <v>107</v>
      </c>
      <c r="X58" s="12">
        <v>59.247481399999998</v>
      </c>
      <c r="Y58" s="12">
        <v>28.149557699999999</v>
      </c>
      <c r="Z58" s="12">
        <v>-6.0538245000000002</v>
      </c>
      <c r="AA58" s="12">
        <v>50.244972099999998</v>
      </c>
      <c r="AB58" s="12">
        <v>14.5596692</v>
      </c>
      <c r="AC58" s="12">
        <v>34.787278200000003</v>
      </c>
      <c r="AD58" s="12">
        <v>73.467802300000002</v>
      </c>
      <c r="AE58" s="12">
        <v>74.828999300000007</v>
      </c>
      <c r="AF58" s="12">
        <v>50.735125799999999</v>
      </c>
      <c r="AG58" s="22" t="s">
        <v>107</v>
      </c>
    </row>
    <row r="59" spans="1:33" s="11" customFormat="1" outlineLevel="1" x14ac:dyDescent="0.3">
      <c r="A59" s="11" t="s">
        <v>65</v>
      </c>
      <c r="B59" s="12">
        <v>1.8176159000000001</v>
      </c>
      <c r="C59" s="12">
        <v>95.433333300000001</v>
      </c>
      <c r="D59" s="12">
        <v>3.0783078000000001</v>
      </c>
      <c r="E59" s="17">
        <v>1.5</v>
      </c>
      <c r="F59" s="13">
        <v>113.34</v>
      </c>
      <c r="G59" s="12">
        <v>55.279405300000001</v>
      </c>
      <c r="H59" s="12">
        <v>64.024974200000003</v>
      </c>
      <c r="I59" s="12">
        <v>2.7231624000000001</v>
      </c>
      <c r="J59" s="12">
        <v>1.7004051</v>
      </c>
      <c r="K59" s="12">
        <v>-1.7001306</v>
      </c>
      <c r="L59" s="12">
        <v>-3.1012339999999998</v>
      </c>
      <c r="M59" s="12">
        <v>-11.799958200000001</v>
      </c>
      <c r="N59" s="12">
        <v>38.199763099999998</v>
      </c>
      <c r="O59" s="12">
        <v>9.2999311000000002</v>
      </c>
      <c r="P59" s="7" t="s">
        <v>107</v>
      </c>
      <c r="Q59" s="7" t="s">
        <v>107</v>
      </c>
      <c r="R59" s="7" t="s">
        <v>107</v>
      </c>
      <c r="S59" s="12">
        <v>57.6082131</v>
      </c>
      <c r="T59" s="12">
        <v>30</v>
      </c>
      <c r="U59" s="12">
        <v>42.384329000000001</v>
      </c>
      <c r="V59" s="12">
        <v>0.73596170000000005</v>
      </c>
      <c r="W59" s="7" t="s">
        <v>107</v>
      </c>
      <c r="X59" s="12">
        <v>56.705193700000002</v>
      </c>
      <c r="Y59" s="12">
        <v>12.5198825</v>
      </c>
      <c r="Z59" s="12">
        <v>1.4307846</v>
      </c>
      <c r="AA59" s="12">
        <v>52.5039132</v>
      </c>
      <c r="AB59" s="12">
        <v>10.9541416</v>
      </c>
      <c r="AC59" s="12">
        <v>28.629240200000002</v>
      </c>
      <c r="AD59" s="12">
        <v>75.413157900000002</v>
      </c>
      <c r="AE59" s="12">
        <v>68.408053199999998</v>
      </c>
      <c r="AF59" s="12">
        <v>48.176501299999998</v>
      </c>
      <c r="AG59" s="22" t="s">
        <v>107</v>
      </c>
    </row>
    <row r="60" spans="1:33" s="11" customFormat="1" outlineLevel="1" x14ac:dyDescent="0.3">
      <c r="A60" s="11" t="s">
        <v>66</v>
      </c>
      <c r="B60" s="12">
        <v>0.47384009999999999</v>
      </c>
      <c r="C60" s="12">
        <v>96.41</v>
      </c>
      <c r="D60" s="12">
        <v>3.2411208999999999</v>
      </c>
      <c r="E60" s="17">
        <v>1.25</v>
      </c>
      <c r="F60" s="13">
        <v>109.3966667</v>
      </c>
      <c r="G60" s="12">
        <v>83.260806000000002</v>
      </c>
      <c r="H60" s="12">
        <v>116.11098130000001</v>
      </c>
      <c r="I60" s="12">
        <v>2.5357940000000001</v>
      </c>
      <c r="J60" s="12">
        <v>0.3002726</v>
      </c>
      <c r="K60" s="12">
        <v>-10.5004288</v>
      </c>
      <c r="L60" s="12">
        <v>-5.1997859000000002</v>
      </c>
      <c r="M60" s="12">
        <v>1.3995595000000001</v>
      </c>
      <c r="N60" s="12">
        <v>21.999579399999998</v>
      </c>
      <c r="O60" s="12">
        <v>8.4999178999999998</v>
      </c>
      <c r="P60" s="7" t="s">
        <v>107</v>
      </c>
      <c r="Q60" s="7" t="s">
        <v>107</v>
      </c>
      <c r="R60" s="7" t="s">
        <v>107</v>
      </c>
      <c r="S60" s="12">
        <v>75.427866399999999</v>
      </c>
      <c r="T60" s="12">
        <v>45</v>
      </c>
      <c r="U60" s="12">
        <v>54.344547400000003</v>
      </c>
      <c r="V60" s="12">
        <v>1.1013067000000001</v>
      </c>
      <c r="W60" s="7" t="s">
        <v>107</v>
      </c>
      <c r="X60" s="12">
        <v>40.819856000000001</v>
      </c>
      <c r="Y60" s="12">
        <v>5.7588622999999997</v>
      </c>
      <c r="Z60" s="12">
        <v>-7.9229476999999999</v>
      </c>
      <c r="AA60" s="12">
        <v>40.729043599999997</v>
      </c>
      <c r="AB60" s="12">
        <v>12.886830099999999</v>
      </c>
      <c r="AC60" s="12">
        <v>45.9431917</v>
      </c>
      <c r="AD60" s="12">
        <v>92.002121900000006</v>
      </c>
      <c r="AE60" s="12">
        <v>93.889788199999998</v>
      </c>
      <c r="AF60" s="12">
        <v>41.017774000000003</v>
      </c>
      <c r="AG60" s="22" t="s">
        <v>107</v>
      </c>
    </row>
    <row r="61" spans="1:33" s="11" customFormat="1" outlineLevel="1" x14ac:dyDescent="0.3">
      <c r="A61" s="11" t="s">
        <v>67</v>
      </c>
      <c r="B61" s="12">
        <v>3.7986600000000002E-2</v>
      </c>
      <c r="C61" s="12">
        <v>96.803333300000006</v>
      </c>
      <c r="D61" s="12">
        <v>2.9019914</v>
      </c>
      <c r="E61" s="17">
        <v>1</v>
      </c>
      <c r="F61" s="13">
        <v>118.49</v>
      </c>
      <c r="G61" s="12">
        <v>130.5854334</v>
      </c>
      <c r="H61" s="12">
        <v>142.7017683</v>
      </c>
      <c r="I61" s="12">
        <v>3.8497257</v>
      </c>
      <c r="J61" s="12">
        <v>3.2997217000000001</v>
      </c>
      <c r="K61" s="12">
        <v>-6.2003126000000002</v>
      </c>
      <c r="L61" s="12">
        <v>-1.2992846</v>
      </c>
      <c r="M61" s="12">
        <v>-16.400532299999998</v>
      </c>
      <c r="N61" s="12">
        <v>34.399943899999997</v>
      </c>
      <c r="O61" s="12">
        <v>3.4003890999999999</v>
      </c>
      <c r="P61" s="7" t="s">
        <v>107</v>
      </c>
      <c r="Q61" s="7" t="s">
        <v>107</v>
      </c>
      <c r="R61" s="7" t="s">
        <v>107</v>
      </c>
      <c r="S61" s="12">
        <v>105.2934927</v>
      </c>
      <c r="T61" s="12">
        <v>38</v>
      </c>
      <c r="U61" s="12">
        <v>58.536869899999999</v>
      </c>
      <c r="V61" s="12">
        <v>1.0824549999999999</v>
      </c>
      <c r="W61" s="12">
        <v>10.5</v>
      </c>
      <c r="X61" s="12">
        <v>53.658299</v>
      </c>
      <c r="Y61" s="12">
        <v>8.8076068999999997</v>
      </c>
      <c r="Z61" s="12">
        <v>4.9810300000000002E-2</v>
      </c>
      <c r="AA61" s="12">
        <v>47.120012199999998</v>
      </c>
      <c r="AB61" s="12">
        <v>15.2159873</v>
      </c>
      <c r="AC61" s="12">
        <v>26.893631299999999</v>
      </c>
      <c r="AD61" s="12">
        <v>104.0800533</v>
      </c>
      <c r="AE61" s="12">
        <v>90.239806000000002</v>
      </c>
      <c r="AF61" s="12">
        <v>29.665668199999999</v>
      </c>
      <c r="AG61" s="22" t="s">
        <v>107</v>
      </c>
    </row>
    <row r="62" spans="1:33" s="11" customFormat="1" outlineLevel="1" x14ac:dyDescent="0.3">
      <c r="A62" s="11" t="s">
        <v>68</v>
      </c>
      <c r="B62" s="12">
        <v>-0.91019320000000004</v>
      </c>
      <c r="C62" s="12">
        <v>97.993333300000003</v>
      </c>
      <c r="D62" s="12">
        <v>2.5929156999999998</v>
      </c>
      <c r="E62" s="17">
        <v>1</v>
      </c>
      <c r="F62" s="13">
        <v>108.41666669999999</v>
      </c>
      <c r="G62" s="12">
        <v>132.45164030000001</v>
      </c>
      <c r="H62" s="12">
        <v>112.79301409999999</v>
      </c>
      <c r="I62" s="12">
        <v>0.44941330000000002</v>
      </c>
      <c r="J62" s="12">
        <v>2.7004712</v>
      </c>
      <c r="K62" s="12">
        <v>5.0995758999999996</v>
      </c>
      <c r="L62" s="12">
        <v>-2.798654</v>
      </c>
      <c r="M62" s="12">
        <v>-14.600214899999999</v>
      </c>
      <c r="N62" s="12">
        <v>23.200148899999999</v>
      </c>
      <c r="O62" s="12">
        <v>18.099594100000001</v>
      </c>
      <c r="P62" s="7" t="s">
        <v>107</v>
      </c>
      <c r="Q62" s="7" t="s">
        <v>107</v>
      </c>
      <c r="R62" s="7" t="s">
        <v>107</v>
      </c>
      <c r="S62" s="12">
        <v>111.5040882</v>
      </c>
      <c r="T62" s="12">
        <v>32</v>
      </c>
      <c r="U62" s="12">
        <v>61.427249400000001</v>
      </c>
      <c r="V62" s="12">
        <v>1.0521867</v>
      </c>
      <c r="W62" s="12">
        <v>11.3</v>
      </c>
      <c r="X62" s="12">
        <v>31.9195773</v>
      </c>
      <c r="Y62" s="12">
        <v>14.834666800000001</v>
      </c>
      <c r="Z62" s="12">
        <v>3.9566968999999999</v>
      </c>
      <c r="AA62" s="12">
        <v>44.093620100000003</v>
      </c>
      <c r="AB62" s="12">
        <v>14.193769400000001</v>
      </c>
      <c r="AC62" s="12">
        <v>33.4007492</v>
      </c>
      <c r="AD62" s="12">
        <v>87.060951399999993</v>
      </c>
      <c r="AE62" s="12">
        <v>76.2723747</v>
      </c>
      <c r="AF62" s="12">
        <v>22.611421199999999</v>
      </c>
      <c r="AG62" s="22" t="s">
        <v>107</v>
      </c>
    </row>
    <row r="63" spans="1:33" s="11" customFormat="1" outlineLevel="1" x14ac:dyDescent="0.3">
      <c r="A63" s="11" t="s">
        <v>69</v>
      </c>
      <c r="B63" s="12">
        <v>-1.0352741000000001</v>
      </c>
      <c r="C63" s="12">
        <v>97.9566667</v>
      </c>
      <c r="D63" s="12">
        <v>2.6440796999999998</v>
      </c>
      <c r="E63" s="17">
        <v>0.75</v>
      </c>
      <c r="F63" s="13">
        <v>109.61333329999999</v>
      </c>
      <c r="G63" s="12">
        <v>97.402190200000007</v>
      </c>
      <c r="H63" s="12">
        <v>89.936935599999998</v>
      </c>
      <c r="I63" s="12">
        <v>1.6723513999999999</v>
      </c>
      <c r="J63" s="12">
        <v>1.6005959000000001</v>
      </c>
      <c r="K63" s="12">
        <v>16.499980300000001</v>
      </c>
      <c r="L63" s="12">
        <v>-0.59856469999999995</v>
      </c>
      <c r="M63" s="12">
        <v>10.400199499999999</v>
      </c>
      <c r="N63" s="12">
        <v>1.5997732</v>
      </c>
      <c r="O63" s="12">
        <v>16.0000304</v>
      </c>
      <c r="P63" s="7" t="s">
        <v>107</v>
      </c>
      <c r="Q63" s="7" t="s">
        <v>107</v>
      </c>
      <c r="R63" s="7" t="s">
        <v>107</v>
      </c>
      <c r="S63" s="12">
        <v>98.258702400000004</v>
      </c>
      <c r="T63" s="12">
        <v>30</v>
      </c>
      <c r="U63" s="12">
        <v>64.591981500000003</v>
      </c>
      <c r="V63" s="12">
        <v>1.0472239999999999</v>
      </c>
      <c r="W63" s="12">
        <v>-0.2</v>
      </c>
      <c r="X63" s="12">
        <v>10.504852100000001</v>
      </c>
      <c r="Y63" s="12">
        <v>19.846778499999999</v>
      </c>
      <c r="Z63" s="12">
        <v>-4.2076259</v>
      </c>
      <c r="AA63" s="12">
        <v>52.180027699999997</v>
      </c>
      <c r="AB63" s="12">
        <v>10.942038500000001</v>
      </c>
      <c r="AC63" s="12">
        <v>37.393441699999997</v>
      </c>
      <c r="AD63" s="12">
        <v>70.351610399999998</v>
      </c>
      <c r="AE63" s="12">
        <v>68.718785999999994</v>
      </c>
      <c r="AF63" s="12">
        <v>23.8466345</v>
      </c>
      <c r="AG63" s="22" t="s">
        <v>107</v>
      </c>
    </row>
    <row r="64" spans="1:33" s="11" customFormat="1" outlineLevel="1" x14ac:dyDescent="0.3">
      <c r="A64" s="11" t="s">
        <v>70</v>
      </c>
      <c r="B64" s="12">
        <v>-0.98067590000000004</v>
      </c>
      <c r="C64" s="12">
        <v>98.773333300000004</v>
      </c>
      <c r="D64" s="12">
        <v>2.4513362999999999</v>
      </c>
      <c r="E64" s="17">
        <v>0.75</v>
      </c>
      <c r="F64" s="13">
        <v>110.08666669999999</v>
      </c>
      <c r="G64" s="12">
        <v>36.890998799999998</v>
      </c>
      <c r="H64" s="12">
        <v>21.181461899999999</v>
      </c>
      <c r="I64" s="12">
        <v>-1.8839234</v>
      </c>
      <c r="J64" s="12">
        <v>-0.49929950000000001</v>
      </c>
      <c r="K64" s="12">
        <v>29.300660799999999</v>
      </c>
      <c r="L64" s="12">
        <v>0.59977420000000004</v>
      </c>
      <c r="M64" s="12">
        <v>-7.1003904000000002</v>
      </c>
      <c r="N64" s="12">
        <v>-8.9997035000000007</v>
      </c>
      <c r="O64" s="12">
        <v>5.5002664000000001</v>
      </c>
      <c r="P64" s="7" t="s">
        <v>107</v>
      </c>
      <c r="Q64" s="7" t="s">
        <v>107</v>
      </c>
      <c r="R64" s="7" t="s">
        <v>107</v>
      </c>
      <c r="S64" s="12">
        <v>73.063675000000003</v>
      </c>
      <c r="T64" s="12">
        <v>30</v>
      </c>
      <c r="U64" s="12">
        <v>67.881513499999997</v>
      </c>
      <c r="V64" s="12">
        <v>1.1080232999999999</v>
      </c>
      <c r="W64" s="12">
        <v>1.6</v>
      </c>
      <c r="X64" s="12">
        <v>-3.6885590000000001</v>
      </c>
      <c r="Y64" s="12">
        <v>2.2510862</v>
      </c>
      <c r="Z64" s="12">
        <v>-9.8396074999999996</v>
      </c>
      <c r="AA64" s="12">
        <v>48.2588753</v>
      </c>
      <c r="AB64" s="12">
        <v>14.3809541</v>
      </c>
      <c r="AC64" s="12">
        <v>39.992380799999999</v>
      </c>
      <c r="AD64" s="12">
        <v>62.229688899999999</v>
      </c>
      <c r="AE64" s="12">
        <v>67.027851100000007</v>
      </c>
      <c r="AF64" s="12">
        <v>25.614574699999999</v>
      </c>
      <c r="AG64" s="22" t="s">
        <v>107</v>
      </c>
    </row>
    <row r="65" spans="1:33" s="11" customFormat="1" outlineLevel="1" x14ac:dyDescent="0.3">
      <c r="A65" s="11" t="s">
        <v>71</v>
      </c>
      <c r="B65" s="12">
        <v>-1.6415721999999999</v>
      </c>
      <c r="C65" s="12">
        <v>98.726666699999996</v>
      </c>
      <c r="D65" s="12">
        <v>1.9868463000000001</v>
      </c>
      <c r="E65" s="17">
        <v>0.75</v>
      </c>
      <c r="F65" s="13">
        <v>112.4933333</v>
      </c>
      <c r="G65" s="12">
        <v>23.242501600000001</v>
      </c>
      <c r="H65" s="12">
        <v>20.789301500000001</v>
      </c>
      <c r="I65" s="12">
        <v>2.8639743000000002</v>
      </c>
      <c r="J65" s="12">
        <v>4.1996928999999996</v>
      </c>
      <c r="K65" s="12">
        <v>18.199673799999999</v>
      </c>
      <c r="L65" s="12">
        <v>-1.5991679000000001</v>
      </c>
      <c r="M65" s="12">
        <v>15.4994031</v>
      </c>
      <c r="N65" s="12">
        <v>-16.1002109</v>
      </c>
      <c r="O65" s="12">
        <v>-5.5999289000000001</v>
      </c>
      <c r="P65" s="7" t="s">
        <v>107</v>
      </c>
      <c r="Q65" s="7" t="s">
        <v>107</v>
      </c>
      <c r="R65" s="7" t="s">
        <v>107</v>
      </c>
      <c r="S65" s="12">
        <v>50.654786600000001</v>
      </c>
      <c r="T65" s="12">
        <v>28.5</v>
      </c>
      <c r="U65" s="12">
        <v>71.799073000000007</v>
      </c>
      <c r="V65" s="12">
        <v>1.1411973</v>
      </c>
      <c r="W65" s="12">
        <v>-2.2999999999999998</v>
      </c>
      <c r="X65" s="12">
        <v>-18.6633909</v>
      </c>
      <c r="Y65" s="12">
        <v>-8.6326470000000004</v>
      </c>
      <c r="Z65" s="12">
        <v>-16.2325613</v>
      </c>
      <c r="AA65" s="12">
        <v>53.262157899999998</v>
      </c>
      <c r="AB65" s="12">
        <v>14.4679798</v>
      </c>
      <c r="AC65" s="12">
        <v>32.304603299999997</v>
      </c>
      <c r="AD65" s="12">
        <v>69.291880500000005</v>
      </c>
      <c r="AE65" s="12">
        <v>67.840637700000002</v>
      </c>
      <c r="AF65" s="12">
        <v>31.4076624</v>
      </c>
      <c r="AG65" s="22" t="s">
        <v>107</v>
      </c>
    </row>
    <row r="66" spans="1:33" s="11" customFormat="1" outlineLevel="1" x14ac:dyDescent="0.3">
      <c r="A66" s="11" t="s">
        <v>72</v>
      </c>
      <c r="B66" s="12">
        <v>-0.1331087</v>
      </c>
      <c r="C66" s="12">
        <v>99.533333299999995</v>
      </c>
      <c r="D66" s="12">
        <v>1.5715355</v>
      </c>
      <c r="E66" s="17">
        <v>0.58333330000000005</v>
      </c>
      <c r="F66" s="13">
        <v>102.5766667</v>
      </c>
      <c r="G66" s="12">
        <v>28.9767133</v>
      </c>
      <c r="H66" s="12">
        <v>31.119990300000001</v>
      </c>
      <c r="I66" s="12">
        <v>1.1675743000000001</v>
      </c>
      <c r="J66" s="12">
        <v>-0.3995532</v>
      </c>
      <c r="K66" s="12">
        <v>14.7995301</v>
      </c>
      <c r="L66" s="12">
        <v>-1.3992268000000001</v>
      </c>
      <c r="M66" s="12">
        <v>5.9001612000000003</v>
      </c>
      <c r="N66" s="12">
        <v>-17.6998535</v>
      </c>
      <c r="O66" s="12">
        <v>-10.7000984</v>
      </c>
      <c r="P66" s="7" t="s">
        <v>107</v>
      </c>
      <c r="Q66" s="7" t="s">
        <v>107</v>
      </c>
      <c r="R66" s="7" t="s">
        <v>107</v>
      </c>
      <c r="S66" s="12">
        <v>42.331174500000003</v>
      </c>
      <c r="T66" s="12">
        <v>23.5</v>
      </c>
      <c r="U66" s="12">
        <v>73.360063199999999</v>
      </c>
      <c r="V66" s="12">
        <v>1.1339303000000001</v>
      </c>
      <c r="W66" s="12">
        <v>-7.3</v>
      </c>
      <c r="X66" s="12">
        <v>-23.631230899999998</v>
      </c>
      <c r="Y66" s="12">
        <v>-10.6517798</v>
      </c>
      <c r="Z66" s="12">
        <v>-5.1668504999999998</v>
      </c>
      <c r="AA66" s="12">
        <v>50.912073900000003</v>
      </c>
      <c r="AB66" s="12">
        <v>13.637343700000001</v>
      </c>
      <c r="AC66" s="12">
        <v>36.855356399999998</v>
      </c>
      <c r="AD66" s="12">
        <v>60.0077693</v>
      </c>
      <c r="AE66" s="12">
        <v>61.747443699999998</v>
      </c>
      <c r="AF66" s="12">
        <v>35.230707099999997</v>
      </c>
      <c r="AG66" s="22" t="s">
        <v>107</v>
      </c>
    </row>
    <row r="67" spans="1:33" s="11" customFormat="1" outlineLevel="1" x14ac:dyDescent="0.3">
      <c r="A67" s="11" t="s">
        <v>73</v>
      </c>
      <c r="B67" s="12">
        <v>0.53477319999999995</v>
      </c>
      <c r="C67" s="12">
        <v>99.423333299999996</v>
      </c>
      <c r="D67" s="12">
        <v>1.4972605999999999</v>
      </c>
      <c r="E67" s="17">
        <v>0.5</v>
      </c>
      <c r="F67" s="13">
        <v>110.27</v>
      </c>
      <c r="G67" s="12">
        <v>26.316357799999999</v>
      </c>
      <c r="H67" s="12">
        <v>22.167513799999998</v>
      </c>
      <c r="I67" s="12">
        <v>0.45835540000000002</v>
      </c>
      <c r="J67" s="12">
        <v>1.3992640000000001</v>
      </c>
      <c r="K67" s="12">
        <v>9.7000422000000004</v>
      </c>
      <c r="L67" s="12">
        <v>-2.5991582000000002</v>
      </c>
      <c r="M67" s="12">
        <v>9.4995031000000001</v>
      </c>
      <c r="N67" s="12">
        <v>-14.5001196</v>
      </c>
      <c r="O67" s="12">
        <v>-0.59990049999999995</v>
      </c>
      <c r="P67" s="7" t="s">
        <v>107</v>
      </c>
      <c r="Q67" s="7" t="s">
        <v>107</v>
      </c>
      <c r="R67" s="7" t="s">
        <v>107</v>
      </c>
      <c r="S67" s="12">
        <v>35.221936100000001</v>
      </c>
      <c r="T67" s="12">
        <v>23.5</v>
      </c>
      <c r="U67" s="12">
        <v>74.898220600000002</v>
      </c>
      <c r="V67" s="12">
        <v>1.1836367000000001</v>
      </c>
      <c r="W67" s="12">
        <v>-4.2</v>
      </c>
      <c r="X67" s="12">
        <v>-15.357005600000001</v>
      </c>
      <c r="Y67" s="12">
        <v>-6.2881705999999999</v>
      </c>
      <c r="Z67" s="12">
        <v>-9.2377722999999996</v>
      </c>
      <c r="AA67" s="12">
        <v>52.858991799999998</v>
      </c>
      <c r="AB67" s="12">
        <v>11.023340599999999</v>
      </c>
      <c r="AC67" s="12">
        <v>40.223585200000002</v>
      </c>
      <c r="AD67" s="12">
        <v>53.565852300000003</v>
      </c>
      <c r="AE67" s="12">
        <v>58.244785100000001</v>
      </c>
      <c r="AF67" s="12">
        <v>37.161091900000002</v>
      </c>
      <c r="AG67" s="22" t="s">
        <v>107</v>
      </c>
    </row>
    <row r="68" spans="1:33" s="11" customFormat="1" outlineLevel="1" x14ac:dyDescent="0.3">
      <c r="A68" s="11" t="s">
        <v>74</v>
      </c>
      <c r="B68" s="12">
        <v>0.83200640000000003</v>
      </c>
      <c r="C68" s="12">
        <v>99.72</v>
      </c>
      <c r="D68" s="12">
        <v>0.95842340000000004</v>
      </c>
      <c r="E68" s="17">
        <v>0.3333333</v>
      </c>
      <c r="F68" s="13">
        <v>109.21</v>
      </c>
      <c r="G68" s="12">
        <v>39.296976299999997</v>
      </c>
      <c r="H68" s="12">
        <v>36.919728499999998</v>
      </c>
      <c r="I68" s="12">
        <v>-2.8933377</v>
      </c>
      <c r="J68" s="12">
        <v>-0.80039950000000004</v>
      </c>
      <c r="K68" s="12">
        <v>2.6004003</v>
      </c>
      <c r="L68" s="12">
        <v>-2.8991606000000001</v>
      </c>
      <c r="M68" s="12">
        <v>8.5998104000000009</v>
      </c>
      <c r="N68" s="12">
        <v>-8.8001515000000001</v>
      </c>
      <c r="O68" s="12">
        <v>-9.9756200000000003E-2</v>
      </c>
      <c r="P68" s="7" t="s">
        <v>107</v>
      </c>
      <c r="Q68" s="7" t="s">
        <v>107</v>
      </c>
      <c r="R68" s="7" t="s">
        <v>107</v>
      </c>
      <c r="S68" s="12">
        <v>26.237399700000001</v>
      </c>
      <c r="T68" s="12">
        <v>23.5</v>
      </c>
      <c r="U68" s="12">
        <v>78.583224099999995</v>
      </c>
      <c r="V68" s="12">
        <v>1.2659256999999999</v>
      </c>
      <c r="W68" s="12">
        <v>-5.8</v>
      </c>
      <c r="X68" s="12">
        <v>-11.5041665</v>
      </c>
      <c r="Y68" s="12">
        <v>-8.1223296999999999</v>
      </c>
      <c r="Z68" s="12">
        <v>-10.6270624</v>
      </c>
      <c r="AA68" s="12">
        <v>48.454655299999999</v>
      </c>
      <c r="AB68" s="12">
        <v>14.8995374</v>
      </c>
      <c r="AC68" s="12">
        <v>43.916765900000001</v>
      </c>
      <c r="AD68" s="12">
        <v>53.502375999999998</v>
      </c>
      <c r="AE68" s="12">
        <v>59.782116600000002</v>
      </c>
      <c r="AF68" s="12">
        <v>34.311510200000001</v>
      </c>
      <c r="AG68" s="22" t="s">
        <v>107</v>
      </c>
    </row>
    <row r="69" spans="1:33" s="11" customFormat="1" outlineLevel="1" x14ac:dyDescent="0.3">
      <c r="A69" s="11" t="s">
        <v>75</v>
      </c>
      <c r="B69" s="12">
        <v>1.8456245</v>
      </c>
      <c r="C69" s="12">
        <v>99.49</v>
      </c>
      <c r="D69" s="12">
        <v>0.77317840000000004</v>
      </c>
      <c r="E69" s="17">
        <v>0.25</v>
      </c>
      <c r="F69" s="13">
        <v>108.16666669999999</v>
      </c>
      <c r="G69" s="12">
        <v>27.4503789</v>
      </c>
      <c r="H69" s="12">
        <v>19.417195700000001</v>
      </c>
      <c r="I69" s="12">
        <v>0.35325770000000001</v>
      </c>
      <c r="J69" s="12">
        <v>0.90103880000000003</v>
      </c>
      <c r="K69" s="12">
        <v>6.4000564000000004</v>
      </c>
      <c r="L69" s="12">
        <v>-2.9001784000000002</v>
      </c>
      <c r="M69" s="12">
        <v>-6.3996554999999997</v>
      </c>
      <c r="N69" s="12">
        <v>0.1003633</v>
      </c>
      <c r="O69" s="12">
        <v>-0.49961929999999999</v>
      </c>
      <c r="P69" s="7" t="s">
        <v>107</v>
      </c>
      <c r="Q69" s="7" t="s">
        <v>107</v>
      </c>
      <c r="R69" s="7" t="s">
        <v>107</v>
      </c>
      <c r="S69" s="12">
        <v>21.370741500000001</v>
      </c>
      <c r="T69" s="12">
        <v>23.5</v>
      </c>
      <c r="U69" s="12">
        <v>82.952833299999995</v>
      </c>
      <c r="V69" s="12">
        <v>1.305067</v>
      </c>
      <c r="W69" s="12">
        <v>-2.7</v>
      </c>
      <c r="X69" s="12">
        <v>-5.9777626000000001</v>
      </c>
      <c r="Y69" s="12">
        <v>-7.7025877999999999</v>
      </c>
      <c r="Z69" s="12">
        <v>-10.8410522</v>
      </c>
      <c r="AA69" s="12">
        <v>54.075323599999997</v>
      </c>
      <c r="AB69" s="12">
        <v>14.3334127</v>
      </c>
      <c r="AC69" s="12">
        <v>28.396522900000001</v>
      </c>
      <c r="AD69" s="12">
        <v>61.338339499999996</v>
      </c>
      <c r="AE69" s="12">
        <v>58.810536900000002</v>
      </c>
      <c r="AF69" s="12">
        <v>30.889397599999999</v>
      </c>
      <c r="AG69" s="22" t="s">
        <v>107</v>
      </c>
    </row>
    <row r="70" spans="1:33" s="11" customFormat="1" outlineLevel="1" x14ac:dyDescent="0.3">
      <c r="A70" s="11" t="s">
        <v>76</v>
      </c>
      <c r="B70" s="12">
        <v>1.1953549000000001</v>
      </c>
      <c r="C70" s="12">
        <v>100.22333329999999</v>
      </c>
      <c r="D70" s="12">
        <v>0.69323509999999999</v>
      </c>
      <c r="E70" s="17">
        <v>0.21666669999999999</v>
      </c>
      <c r="F70" s="13">
        <v>109.7</v>
      </c>
      <c r="G70" s="12">
        <v>14.0439527</v>
      </c>
      <c r="H70" s="12">
        <v>10.707969800000001</v>
      </c>
      <c r="I70" s="12">
        <v>-4.9453799999999999E-2</v>
      </c>
      <c r="J70" s="12">
        <v>1.2998384000000001</v>
      </c>
      <c r="K70" s="12">
        <v>4.4001317000000002</v>
      </c>
      <c r="L70" s="12">
        <v>-2.2997923</v>
      </c>
      <c r="M70" s="12">
        <v>-12.2999814</v>
      </c>
      <c r="N70" s="12">
        <v>4.3996487000000002</v>
      </c>
      <c r="O70" s="12">
        <v>-1.8002942</v>
      </c>
      <c r="P70" s="7" t="s">
        <v>107</v>
      </c>
      <c r="Q70" s="7" t="s">
        <v>107</v>
      </c>
      <c r="R70" s="7" t="s">
        <v>107</v>
      </c>
      <c r="S70" s="12">
        <v>20.474218799999999</v>
      </c>
      <c r="T70" s="12">
        <v>21.5</v>
      </c>
      <c r="U70" s="12">
        <v>87.097355100000001</v>
      </c>
      <c r="V70" s="12">
        <v>1.3533487</v>
      </c>
      <c r="W70" s="12">
        <v>0.5</v>
      </c>
      <c r="X70" s="12">
        <v>-0.94692449999999995</v>
      </c>
      <c r="Y70" s="12">
        <v>-5.0915575000000004</v>
      </c>
      <c r="Z70" s="12">
        <v>-3.3791763000000001</v>
      </c>
      <c r="AA70" s="12">
        <v>53.506175900000002</v>
      </c>
      <c r="AB70" s="12">
        <v>14.3117003</v>
      </c>
      <c r="AC70" s="12">
        <v>32.8840073</v>
      </c>
      <c r="AD70" s="12">
        <v>60.826856900000003</v>
      </c>
      <c r="AE70" s="12">
        <v>60.005552700000003</v>
      </c>
      <c r="AF70" s="12">
        <v>25.237060100000001</v>
      </c>
      <c r="AG70" s="22" t="s">
        <v>107</v>
      </c>
    </row>
    <row r="71" spans="1:33" s="11" customFormat="1" outlineLevel="1" x14ac:dyDescent="0.3">
      <c r="A71" s="11" t="s">
        <v>77</v>
      </c>
      <c r="B71" s="12">
        <v>1.5779679</v>
      </c>
      <c r="C71" s="12">
        <v>99.91</v>
      </c>
      <c r="D71" s="12">
        <v>0.48948940000000002</v>
      </c>
      <c r="E71" s="17">
        <v>0.1166667</v>
      </c>
      <c r="F71" s="13">
        <v>101.8233333</v>
      </c>
      <c r="G71" s="12">
        <v>14.859685600000001</v>
      </c>
      <c r="H71" s="12">
        <v>18.780645700000001</v>
      </c>
      <c r="I71" s="12">
        <v>1.5921346999999999</v>
      </c>
      <c r="J71" s="12">
        <v>1.8991102</v>
      </c>
      <c r="K71" s="12">
        <v>3.4999614999999999</v>
      </c>
      <c r="L71" s="12">
        <v>-2.1007476</v>
      </c>
      <c r="M71" s="12">
        <v>-7.4996906000000001</v>
      </c>
      <c r="N71" s="12">
        <v>3.7997995000000002</v>
      </c>
      <c r="O71" s="12">
        <v>-1.6998735</v>
      </c>
      <c r="P71" s="7" t="s">
        <v>107</v>
      </c>
      <c r="Q71" s="7" t="s">
        <v>107</v>
      </c>
      <c r="R71" s="7" t="s">
        <v>107</v>
      </c>
      <c r="S71" s="12">
        <v>16.9986043</v>
      </c>
      <c r="T71" s="12">
        <v>20</v>
      </c>
      <c r="U71" s="12">
        <v>89.995381399999999</v>
      </c>
      <c r="V71" s="12">
        <v>1.361907</v>
      </c>
      <c r="W71" s="12">
        <v>4.9000000000000004</v>
      </c>
      <c r="X71" s="12">
        <v>1.0716429999999999</v>
      </c>
      <c r="Y71" s="12">
        <v>-7.057283</v>
      </c>
      <c r="Z71" s="12">
        <v>-3.902466</v>
      </c>
      <c r="AA71" s="12">
        <v>53.830830800000001</v>
      </c>
      <c r="AB71" s="12">
        <v>11.3330088</v>
      </c>
      <c r="AC71" s="12">
        <v>35.097740000000002</v>
      </c>
      <c r="AD71" s="12">
        <v>51.3187657</v>
      </c>
      <c r="AE71" s="12">
        <v>51.341694199999999</v>
      </c>
      <c r="AF71" s="12">
        <v>18.147643500000001</v>
      </c>
      <c r="AG71" s="22" t="s">
        <v>107</v>
      </c>
    </row>
    <row r="72" spans="1:33" s="11" customFormat="1" outlineLevel="1" x14ac:dyDescent="0.3">
      <c r="A72" s="11" t="s">
        <v>78</v>
      </c>
      <c r="B72" s="12">
        <v>1.7505474000000001</v>
      </c>
      <c r="C72" s="12">
        <v>99.97</v>
      </c>
      <c r="D72" s="12">
        <v>0.25070199999999998</v>
      </c>
      <c r="E72" s="17">
        <v>0.05</v>
      </c>
      <c r="F72" s="13">
        <v>76.4033333</v>
      </c>
      <c r="G72" s="12">
        <v>15.410566599999999</v>
      </c>
      <c r="H72" s="12">
        <v>30.002071099999998</v>
      </c>
      <c r="I72" s="12">
        <v>1.9211895000000001</v>
      </c>
      <c r="J72" s="12">
        <v>2.7006687</v>
      </c>
      <c r="K72" s="12">
        <v>3.0002157999999999</v>
      </c>
      <c r="L72" s="12">
        <v>-0.79940290000000003</v>
      </c>
      <c r="M72" s="12">
        <v>3.8998789999999999</v>
      </c>
      <c r="N72" s="12">
        <v>10.5000789</v>
      </c>
      <c r="O72" s="12">
        <v>11.2000799</v>
      </c>
      <c r="P72" s="7" t="s">
        <v>107</v>
      </c>
      <c r="Q72" s="7" t="s">
        <v>107</v>
      </c>
      <c r="R72" s="7" t="s">
        <v>107</v>
      </c>
      <c r="S72" s="12">
        <v>16.169764300000001</v>
      </c>
      <c r="T72" s="12">
        <v>20</v>
      </c>
      <c r="U72" s="12">
        <v>92.670225000000002</v>
      </c>
      <c r="V72" s="12">
        <v>1.277112</v>
      </c>
      <c r="W72" s="12">
        <v>5.3</v>
      </c>
      <c r="X72" s="12">
        <v>8.6166160000000005</v>
      </c>
      <c r="Y72" s="12">
        <v>7.2563300000000002</v>
      </c>
      <c r="Z72" s="12">
        <v>-9.1141213000000008</v>
      </c>
      <c r="AA72" s="12">
        <v>50.275647900000003</v>
      </c>
      <c r="AB72" s="12">
        <v>15.3115747</v>
      </c>
      <c r="AC72" s="12">
        <v>41.119306600000002</v>
      </c>
      <c r="AD72" s="12">
        <v>48.745158699999998</v>
      </c>
      <c r="AE72" s="12">
        <v>54.132912400000002</v>
      </c>
      <c r="AF72" s="12">
        <v>16.610525599999999</v>
      </c>
      <c r="AG72" s="22" t="s">
        <v>107</v>
      </c>
    </row>
    <row r="73" spans="1:33" s="11" customFormat="1" outlineLevel="1" x14ac:dyDescent="0.3">
      <c r="A73" s="11" t="s">
        <v>79</v>
      </c>
      <c r="B73" s="12">
        <v>2.0633189000000001</v>
      </c>
      <c r="C73" s="12">
        <v>99.203333299999997</v>
      </c>
      <c r="D73" s="12">
        <v>-0.28813620000000001</v>
      </c>
      <c r="E73" s="17">
        <v>0.05</v>
      </c>
      <c r="F73" s="13">
        <v>53.9166667</v>
      </c>
      <c r="G73" s="12">
        <v>16.395807900000001</v>
      </c>
      <c r="H73" s="12">
        <v>24.558818299999999</v>
      </c>
      <c r="I73" s="12">
        <v>3.0470495</v>
      </c>
      <c r="J73" s="12">
        <v>-2.0010100999999998</v>
      </c>
      <c r="K73" s="12">
        <v>-1.5997009</v>
      </c>
      <c r="L73" s="12">
        <v>-0.19832630000000001</v>
      </c>
      <c r="M73" s="12">
        <v>0.49986199999999997</v>
      </c>
      <c r="N73" s="12">
        <v>-0.59971249999999998</v>
      </c>
      <c r="O73" s="12">
        <v>-7.7996647000000001</v>
      </c>
      <c r="P73" s="7" t="s">
        <v>107</v>
      </c>
      <c r="Q73" s="7" t="s">
        <v>107</v>
      </c>
      <c r="R73" s="7" t="s">
        <v>107</v>
      </c>
      <c r="S73" s="12">
        <v>13.187522700000001</v>
      </c>
      <c r="T73" s="12">
        <v>25</v>
      </c>
      <c r="U73" s="12">
        <v>96.762446499999996</v>
      </c>
      <c r="V73" s="12">
        <v>1.6693956999999999</v>
      </c>
      <c r="W73" s="12">
        <v>-6.9</v>
      </c>
      <c r="X73" s="12">
        <v>-14.144485899999999</v>
      </c>
      <c r="Y73" s="12">
        <v>-14.7313238</v>
      </c>
      <c r="Z73" s="12">
        <v>-9.5283238000000008</v>
      </c>
      <c r="AA73" s="12">
        <v>53.091445499999999</v>
      </c>
      <c r="AB73" s="12">
        <v>14.8010903</v>
      </c>
      <c r="AC73" s="12">
        <v>27.549440499999999</v>
      </c>
      <c r="AD73" s="12">
        <v>56.519019200000002</v>
      </c>
      <c r="AE73" s="12">
        <v>54.100157899999999</v>
      </c>
      <c r="AF73" s="12">
        <v>14.712531800000001</v>
      </c>
      <c r="AG73" s="22" t="s">
        <v>107</v>
      </c>
    </row>
    <row r="74" spans="1:33" s="11" customFormat="1" outlineLevel="1" x14ac:dyDescent="0.3">
      <c r="A74" s="11" t="s">
        <v>80</v>
      </c>
      <c r="B74" s="12">
        <v>2.2703967</v>
      </c>
      <c r="C74" s="12">
        <v>100.5233333</v>
      </c>
      <c r="D74" s="12">
        <v>0.29933149999999997</v>
      </c>
      <c r="E74" s="17">
        <v>0.05</v>
      </c>
      <c r="F74" s="13">
        <v>61.693333299999999</v>
      </c>
      <c r="G74" s="12">
        <v>9.7487093999999992</v>
      </c>
      <c r="H74" s="12">
        <v>22.672469799999998</v>
      </c>
      <c r="I74" s="12">
        <v>4.4688667000000004</v>
      </c>
      <c r="J74" s="12">
        <v>-4.3007903000000001</v>
      </c>
      <c r="K74" s="12">
        <v>-2.2996216</v>
      </c>
      <c r="L74" s="12">
        <v>-5.9900000000000003E-4</v>
      </c>
      <c r="M74" s="12">
        <v>-24.3000875</v>
      </c>
      <c r="N74" s="12">
        <v>2.4996368000000002</v>
      </c>
      <c r="O74" s="12">
        <v>-9.4002371999999994</v>
      </c>
      <c r="P74" s="7" t="s">
        <v>107</v>
      </c>
      <c r="Q74" s="7" t="s">
        <v>107</v>
      </c>
      <c r="R74" s="7" t="s">
        <v>107</v>
      </c>
      <c r="S74" s="12">
        <v>10.9978786</v>
      </c>
      <c r="T74" s="12">
        <v>25</v>
      </c>
      <c r="U74" s="12">
        <v>99.370796799999994</v>
      </c>
      <c r="V74" s="12">
        <v>1.6182000000000001</v>
      </c>
      <c r="W74" s="12">
        <v>-7.9</v>
      </c>
      <c r="X74" s="12">
        <v>-5.0120035999999999</v>
      </c>
      <c r="Y74" s="12">
        <v>-8.0584471000000004</v>
      </c>
      <c r="Z74" s="12">
        <v>3.1438815999999998</v>
      </c>
      <c r="AA74" s="12">
        <v>53.682517400000002</v>
      </c>
      <c r="AB74" s="12">
        <v>15.4604287</v>
      </c>
      <c r="AC74" s="12">
        <v>24.838650999999999</v>
      </c>
      <c r="AD74" s="12">
        <v>62.0623875</v>
      </c>
      <c r="AE74" s="12">
        <v>59.080573299999998</v>
      </c>
      <c r="AF74" s="12">
        <v>12.6956437</v>
      </c>
      <c r="AG74" s="22" t="s">
        <v>107</v>
      </c>
    </row>
    <row r="75" spans="1:33" s="11" customFormat="1" outlineLevel="1" x14ac:dyDescent="0.3">
      <c r="A75" s="11" t="s">
        <v>81</v>
      </c>
      <c r="B75" s="12">
        <v>2.2457793000000001</v>
      </c>
      <c r="C75" s="12">
        <v>100.1533333</v>
      </c>
      <c r="D75" s="12">
        <v>0.24355250000000001</v>
      </c>
      <c r="E75" s="17">
        <v>0.05</v>
      </c>
      <c r="F75" s="13">
        <v>50.233333299999998</v>
      </c>
      <c r="G75" s="12">
        <v>26.3585551</v>
      </c>
      <c r="H75" s="12">
        <v>17.926807700000001</v>
      </c>
      <c r="I75" s="12">
        <v>-0.87825719999999996</v>
      </c>
      <c r="J75" s="12">
        <v>-4.1994464999999996</v>
      </c>
      <c r="K75" s="12">
        <v>-2.7000758999999999</v>
      </c>
      <c r="L75" s="12">
        <v>-0.20008380000000001</v>
      </c>
      <c r="M75" s="12">
        <v>-19.200151600000002</v>
      </c>
      <c r="N75" s="12">
        <v>2.6001452</v>
      </c>
      <c r="O75" s="12">
        <v>-10.8000214</v>
      </c>
      <c r="P75" s="7" t="s">
        <v>107</v>
      </c>
      <c r="Q75" s="7" t="s">
        <v>107</v>
      </c>
      <c r="R75" s="7" t="s">
        <v>107</v>
      </c>
      <c r="S75" s="12">
        <v>8.8073288000000005</v>
      </c>
      <c r="T75" s="12">
        <v>25</v>
      </c>
      <c r="U75" s="12">
        <v>100.8642286</v>
      </c>
      <c r="V75" s="12">
        <v>1.8406503000000001</v>
      </c>
      <c r="W75" s="12">
        <v>-6.5</v>
      </c>
      <c r="X75" s="12">
        <v>-11.743029</v>
      </c>
      <c r="Y75" s="12">
        <v>-14.292885399999999</v>
      </c>
      <c r="Z75" s="12">
        <v>4.4581000000000003E-2</v>
      </c>
      <c r="AA75" s="12">
        <v>53.863517999999999</v>
      </c>
      <c r="AB75" s="12">
        <v>12.6302325</v>
      </c>
      <c r="AC75" s="12">
        <v>29.550557999999999</v>
      </c>
      <c r="AD75" s="12">
        <v>55.884851099999999</v>
      </c>
      <c r="AE75" s="12">
        <v>54.265444100000003</v>
      </c>
      <c r="AF75" s="12">
        <v>12.212157400000001</v>
      </c>
      <c r="AG75" s="22" t="s">
        <v>107</v>
      </c>
    </row>
    <row r="76" spans="1:33" s="11" customFormat="1" outlineLevel="1" x14ac:dyDescent="0.3">
      <c r="A76" s="11" t="s">
        <v>82</v>
      </c>
      <c r="B76" s="12">
        <v>2.5478125</v>
      </c>
      <c r="C76" s="12">
        <v>100.1233333</v>
      </c>
      <c r="D76" s="12">
        <v>0.1533793</v>
      </c>
      <c r="E76" s="17">
        <v>0.05</v>
      </c>
      <c r="F76" s="13">
        <v>43.57</v>
      </c>
      <c r="G76" s="12">
        <v>17.5597973</v>
      </c>
      <c r="H76" s="12">
        <v>11.085660300000001</v>
      </c>
      <c r="I76" s="12">
        <v>-0.41739340000000003</v>
      </c>
      <c r="J76" s="12">
        <v>-4.5001236000000002</v>
      </c>
      <c r="K76" s="12">
        <v>-2.6999645000000001</v>
      </c>
      <c r="L76" s="12">
        <v>-1.7988301</v>
      </c>
      <c r="M76" s="12">
        <v>-23.2998501</v>
      </c>
      <c r="N76" s="12">
        <v>4.0996549</v>
      </c>
      <c r="O76" s="12">
        <v>-14.299769299999999</v>
      </c>
      <c r="P76" s="7" t="s">
        <v>107</v>
      </c>
      <c r="Q76" s="7" t="s">
        <v>107</v>
      </c>
      <c r="R76" s="7" t="s">
        <v>107</v>
      </c>
      <c r="S76" s="12">
        <v>8.4225697999999998</v>
      </c>
      <c r="T76" s="12">
        <v>25</v>
      </c>
      <c r="U76" s="12">
        <v>103.00252810000001</v>
      </c>
      <c r="V76" s="12">
        <v>1.896833</v>
      </c>
      <c r="W76" s="12">
        <v>-5.0999999999999996</v>
      </c>
      <c r="X76" s="12">
        <v>-15.0819209</v>
      </c>
      <c r="Y76" s="12">
        <v>-14.321271299999999</v>
      </c>
      <c r="Z76" s="12">
        <v>-7.5292193000000003</v>
      </c>
      <c r="AA76" s="12">
        <v>50.965556100000001</v>
      </c>
      <c r="AB76" s="12">
        <v>16.881021400000002</v>
      </c>
      <c r="AC76" s="12">
        <v>33.516491799999997</v>
      </c>
      <c r="AD76" s="12">
        <v>57.7687606</v>
      </c>
      <c r="AE76" s="12">
        <v>63.713141299999997</v>
      </c>
      <c r="AF76" s="12">
        <v>9.2981611999999991</v>
      </c>
      <c r="AG76" s="22" t="s">
        <v>107</v>
      </c>
    </row>
    <row r="77" spans="1:33" s="11" customFormat="1" outlineLevel="1" x14ac:dyDescent="0.3">
      <c r="A77" s="11" t="s">
        <v>83</v>
      </c>
      <c r="B77" s="12">
        <v>1.9366078</v>
      </c>
      <c r="C77" s="12">
        <v>99.246666700000006</v>
      </c>
      <c r="D77" s="12">
        <v>4.3681400000000002E-2</v>
      </c>
      <c r="E77" s="17">
        <v>3.3333300000000003E-2</v>
      </c>
      <c r="F77" s="13">
        <v>33.696666700000002</v>
      </c>
      <c r="G77" s="12">
        <v>8.5813108000000007</v>
      </c>
      <c r="H77" s="12">
        <v>6.6932320000000001</v>
      </c>
      <c r="I77" s="12">
        <v>2.3745158000000002</v>
      </c>
      <c r="J77" s="12">
        <v>-3.5003489000000001</v>
      </c>
      <c r="K77" s="12">
        <v>-0.19997899999999999</v>
      </c>
      <c r="L77" s="12">
        <v>0.6009333</v>
      </c>
      <c r="M77" s="12">
        <v>-19.500573200000002</v>
      </c>
      <c r="N77" s="12">
        <v>3.1000258000000001</v>
      </c>
      <c r="O77" s="12">
        <v>-0.29990600000000001</v>
      </c>
      <c r="P77" s="7">
        <v>4810.7520000000004</v>
      </c>
      <c r="Q77" s="7">
        <v>345.77699999999999</v>
      </c>
      <c r="R77" s="7">
        <v>6.7</v>
      </c>
      <c r="S77" s="12">
        <v>8.7302976000000001</v>
      </c>
      <c r="T77" s="12">
        <v>25</v>
      </c>
      <c r="U77" s="12">
        <v>108.7102055</v>
      </c>
      <c r="V77" s="12">
        <v>2.2729333</v>
      </c>
      <c r="W77" s="12">
        <v>-3.2</v>
      </c>
      <c r="X77" s="12">
        <v>-15.303489000000001</v>
      </c>
      <c r="Y77" s="12">
        <v>-9.9836393000000001</v>
      </c>
      <c r="Z77" s="12">
        <v>-14.217402099999999</v>
      </c>
      <c r="AA77" s="12">
        <v>56.438165499999997</v>
      </c>
      <c r="AB77" s="12">
        <v>15.9504207</v>
      </c>
      <c r="AC77" s="12">
        <v>24.627279099999999</v>
      </c>
      <c r="AD77" s="12">
        <v>62.235520800000003</v>
      </c>
      <c r="AE77" s="12">
        <v>63.266214400000003</v>
      </c>
      <c r="AF77" s="12">
        <v>7.8022745000000002</v>
      </c>
      <c r="AG77" s="22" t="s">
        <v>107</v>
      </c>
    </row>
    <row r="78" spans="1:33" s="11" customFormat="1" outlineLevel="1" x14ac:dyDescent="0.3">
      <c r="A78" s="11" t="s">
        <v>84</v>
      </c>
      <c r="B78" s="12">
        <v>2.4666936000000002</v>
      </c>
      <c r="C78" s="12">
        <v>100.42</v>
      </c>
      <c r="D78" s="12">
        <v>-0.10279530000000001</v>
      </c>
      <c r="E78" s="17">
        <v>0</v>
      </c>
      <c r="F78" s="13">
        <v>45.523333299999997</v>
      </c>
      <c r="G78" s="12">
        <v>16.450217500000001</v>
      </c>
      <c r="H78" s="12">
        <v>6.5544440000000002</v>
      </c>
      <c r="I78" s="12">
        <v>0.90055220000000002</v>
      </c>
      <c r="J78" s="12">
        <v>-1.4009294999999999</v>
      </c>
      <c r="K78" s="12">
        <v>-1.7001672000000001</v>
      </c>
      <c r="L78" s="12">
        <v>0.3989123</v>
      </c>
      <c r="M78" s="12">
        <v>-3.9994035000000001</v>
      </c>
      <c r="N78" s="12">
        <v>1.6996443999999999</v>
      </c>
      <c r="O78" s="12">
        <v>0.59968750000000004</v>
      </c>
      <c r="P78" s="7">
        <v>4798.5150000000003</v>
      </c>
      <c r="Q78" s="7">
        <v>330.92399999999998</v>
      </c>
      <c r="R78" s="7">
        <v>6.5</v>
      </c>
      <c r="S78" s="12">
        <v>7.7015886</v>
      </c>
      <c r="T78" s="12">
        <v>22</v>
      </c>
      <c r="U78" s="12">
        <v>111.6389789</v>
      </c>
      <c r="V78" s="12">
        <v>2.2300667000000001</v>
      </c>
      <c r="W78" s="12">
        <v>0.4</v>
      </c>
      <c r="X78" s="12">
        <v>-16.875165299999999</v>
      </c>
      <c r="Y78" s="12">
        <v>-12.4709301</v>
      </c>
      <c r="Z78" s="12">
        <v>1.0723419000000001</v>
      </c>
      <c r="AA78" s="12">
        <v>55.7900445</v>
      </c>
      <c r="AB78" s="12">
        <v>16.918772400000002</v>
      </c>
      <c r="AC78" s="12">
        <v>24.3830387</v>
      </c>
      <c r="AD78" s="12">
        <v>65.867476400000001</v>
      </c>
      <c r="AE78" s="12">
        <v>66.229693100000006</v>
      </c>
      <c r="AF78" s="12">
        <v>6.0607933000000003</v>
      </c>
      <c r="AG78" s="22" t="s">
        <v>107</v>
      </c>
    </row>
    <row r="79" spans="1:33" s="11" customFormat="1" outlineLevel="1" x14ac:dyDescent="0.3">
      <c r="A79" s="11" t="s">
        <v>85</v>
      </c>
      <c r="B79" s="12">
        <v>1.6225508</v>
      </c>
      <c r="C79" s="12">
        <v>100.42</v>
      </c>
      <c r="D79" s="12">
        <v>0.26625840000000001</v>
      </c>
      <c r="E79" s="17">
        <v>0</v>
      </c>
      <c r="F79" s="13">
        <v>45.786666699999998</v>
      </c>
      <c r="G79" s="12">
        <v>-8.4438674000000002</v>
      </c>
      <c r="H79" s="12">
        <v>1.9349609000000001</v>
      </c>
      <c r="I79" s="12">
        <v>3.0189031000000002</v>
      </c>
      <c r="J79" s="12">
        <v>-3.4000696000000001</v>
      </c>
      <c r="K79" s="12">
        <v>-6.5002469999999999</v>
      </c>
      <c r="L79" s="12">
        <v>0.1004039</v>
      </c>
      <c r="M79" s="12">
        <v>-20.300533999999999</v>
      </c>
      <c r="N79" s="12">
        <v>3.1000122000000001</v>
      </c>
      <c r="O79" s="12">
        <v>-4.6999312</v>
      </c>
      <c r="P79" s="7">
        <v>4939.183</v>
      </c>
      <c r="Q79" s="7">
        <v>301.30500000000001</v>
      </c>
      <c r="R79" s="7">
        <v>5.7</v>
      </c>
      <c r="S79" s="12">
        <v>6.9468940999999997</v>
      </c>
      <c r="T79" s="12">
        <v>18</v>
      </c>
      <c r="U79" s="12">
        <v>112.6416134</v>
      </c>
      <c r="V79" s="12">
        <v>2.1890999999999998</v>
      </c>
      <c r="W79" s="12">
        <v>-2.2999999999999998</v>
      </c>
      <c r="X79" s="12">
        <v>-4.5872735000000002</v>
      </c>
      <c r="Y79" s="12">
        <v>-9.5078220000000009</v>
      </c>
      <c r="Z79" s="12">
        <v>2.7944277</v>
      </c>
      <c r="AA79" s="12">
        <v>53.954417900000003</v>
      </c>
      <c r="AB79" s="12">
        <v>13.052183899999999</v>
      </c>
      <c r="AC79" s="12">
        <v>24.445775000000001</v>
      </c>
      <c r="AD79" s="12">
        <v>60.968639899999999</v>
      </c>
      <c r="AE79" s="12">
        <v>56.256463699999998</v>
      </c>
      <c r="AF79" s="12">
        <v>3.1077302000000002</v>
      </c>
      <c r="AG79" s="22" t="s">
        <v>107</v>
      </c>
    </row>
    <row r="80" spans="1:33" s="11" customFormat="1" outlineLevel="1" x14ac:dyDescent="0.3">
      <c r="A80" s="11" t="s">
        <v>86</v>
      </c>
      <c r="B80" s="12">
        <v>1.866331</v>
      </c>
      <c r="C80" s="12">
        <v>100.89333329999999</v>
      </c>
      <c r="D80" s="12">
        <v>0.7690515</v>
      </c>
      <c r="E80" s="17">
        <v>0</v>
      </c>
      <c r="F80" s="13">
        <v>49.186666700000004</v>
      </c>
      <c r="G80" s="12">
        <v>3.4494197999999998</v>
      </c>
      <c r="H80" s="12">
        <v>3.7327596000000001</v>
      </c>
      <c r="I80" s="12">
        <v>-0.29656900000000003</v>
      </c>
      <c r="J80" s="12">
        <v>-1.7007323000000001</v>
      </c>
      <c r="K80" s="12">
        <v>-3.8999486999999999</v>
      </c>
      <c r="L80" s="12">
        <v>0.29932350000000002</v>
      </c>
      <c r="M80" s="12">
        <v>-5.0995115999999996</v>
      </c>
      <c r="N80" s="12">
        <v>2.5998274000000001</v>
      </c>
      <c r="O80" s="12">
        <v>-1.1002756</v>
      </c>
      <c r="P80" s="7">
        <v>4915.0320000000002</v>
      </c>
      <c r="Q80" s="7">
        <v>305.32499999999999</v>
      </c>
      <c r="R80" s="7">
        <v>5.8</v>
      </c>
      <c r="S80" s="12">
        <v>6.7136148000000002</v>
      </c>
      <c r="T80" s="12">
        <v>18</v>
      </c>
      <c r="U80" s="12">
        <v>114.77600409999999</v>
      </c>
      <c r="V80" s="12">
        <v>2.0678333000000002</v>
      </c>
      <c r="W80" s="12">
        <v>3.5</v>
      </c>
      <c r="X80" s="12">
        <v>3.4451453000000001</v>
      </c>
      <c r="Y80" s="12">
        <v>-1.0023770999999999</v>
      </c>
      <c r="Z80" s="12">
        <v>-4.8935427000000002</v>
      </c>
      <c r="AA80" s="12">
        <v>52.276265000000002</v>
      </c>
      <c r="AB80" s="12">
        <v>16.9081431</v>
      </c>
      <c r="AC80" s="12">
        <v>32.050514499999998</v>
      </c>
      <c r="AD80" s="12">
        <v>61.232048900000002</v>
      </c>
      <c r="AE80" s="12">
        <v>65.589801300000005</v>
      </c>
      <c r="AF80" s="12">
        <v>4.0210502000000004</v>
      </c>
      <c r="AG80" s="22" t="s">
        <v>107</v>
      </c>
    </row>
    <row r="81" spans="1:33" s="11" customFormat="1" outlineLevel="1" x14ac:dyDescent="0.3">
      <c r="A81" s="11" t="s">
        <v>87</v>
      </c>
      <c r="B81" s="12">
        <v>3.0351661999999999</v>
      </c>
      <c r="C81" s="12">
        <v>101</v>
      </c>
      <c r="D81" s="12">
        <v>1.766642</v>
      </c>
      <c r="E81" s="17">
        <v>0</v>
      </c>
      <c r="F81" s="13">
        <v>53.68</v>
      </c>
      <c r="G81" s="12">
        <v>7.6674768999999996</v>
      </c>
      <c r="H81" s="12">
        <v>7.6898428000000001</v>
      </c>
      <c r="I81" s="12">
        <v>2.3924308000000001</v>
      </c>
      <c r="J81" s="12">
        <v>0.40124959999999998</v>
      </c>
      <c r="K81" s="12">
        <v>-0.20047609999999999</v>
      </c>
      <c r="L81" s="12">
        <v>-0.70136209999999999</v>
      </c>
      <c r="M81" s="12">
        <v>-4.4997498</v>
      </c>
      <c r="N81" s="12">
        <v>5.3003869999999997</v>
      </c>
      <c r="O81" s="12">
        <v>3.6001571000000001</v>
      </c>
      <c r="P81" s="7">
        <v>4813.7240000000002</v>
      </c>
      <c r="Q81" s="7">
        <v>325.7</v>
      </c>
      <c r="R81" s="7">
        <v>6.3</v>
      </c>
      <c r="S81" s="12">
        <v>8.9572126999999995</v>
      </c>
      <c r="T81" s="12">
        <v>15</v>
      </c>
      <c r="U81" s="12">
        <v>116.9766849</v>
      </c>
      <c r="V81" s="12">
        <v>2.0116000000000001</v>
      </c>
      <c r="W81" s="12">
        <v>4.4000000000000004</v>
      </c>
      <c r="X81" s="12">
        <v>29.570226900000002</v>
      </c>
      <c r="Y81" s="12">
        <v>24.269880400000002</v>
      </c>
      <c r="Z81" s="12">
        <v>-6.6222602000000004</v>
      </c>
      <c r="AA81" s="12">
        <v>56.539704399999998</v>
      </c>
      <c r="AB81" s="12">
        <v>16.233158499999998</v>
      </c>
      <c r="AC81" s="12">
        <v>23.0514206</v>
      </c>
      <c r="AD81" s="12">
        <v>65.432801799999993</v>
      </c>
      <c r="AE81" s="12">
        <v>63.508943899999998</v>
      </c>
      <c r="AF81" s="12">
        <v>6.1494052000000003</v>
      </c>
      <c r="AG81" s="22" t="s">
        <v>107</v>
      </c>
    </row>
    <row r="82" spans="1:33" s="11" customFormat="1" outlineLevel="1" x14ac:dyDescent="0.3">
      <c r="A82" s="11" t="s">
        <v>88</v>
      </c>
      <c r="B82" s="12">
        <v>2.3084487</v>
      </c>
      <c r="C82" s="12">
        <v>102.11333329999999</v>
      </c>
      <c r="D82" s="12">
        <v>1.6862509999999999</v>
      </c>
      <c r="E82" s="17">
        <v>0</v>
      </c>
      <c r="F82" s="13">
        <v>49.67</v>
      </c>
      <c r="G82" s="12">
        <v>0.51583520000000005</v>
      </c>
      <c r="H82" s="12">
        <v>8.3769009000000008</v>
      </c>
      <c r="I82" s="12">
        <v>3.8842281000000001</v>
      </c>
      <c r="J82" s="12">
        <v>1.8991339</v>
      </c>
      <c r="K82" s="12">
        <v>3.0999015000000001</v>
      </c>
      <c r="L82" s="12">
        <v>-0.3997136</v>
      </c>
      <c r="M82" s="12">
        <v>-2.8990290999999999</v>
      </c>
      <c r="N82" s="12">
        <v>8.2997110000000003</v>
      </c>
      <c r="O82" s="12">
        <v>7.3002766000000001</v>
      </c>
      <c r="P82" s="7">
        <v>4850.2939999999999</v>
      </c>
      <c r="Q82" s="7">
        <v>294.5</v>
      </c>
      <c r="R82" s="7">
        <v>5.7</v>
      </c>
      <c r="S82" s="12">
        <v>10.4174363</v>
      </c>
      <c r="T82" s="12">
        <v>13</v>
      </c>
      <c r="U82" s="12">
        <v>118.6807845</v>
      </c>
      <c r="V82" s="12">
        <v>2.0573000000000001</v>
      </c>
      <c r="W82" s="12">
        <v>7.8</v>
      </c>
      <c r="X82" s="12">
        <v>23.701172100000001</v>
      </c>
      <c r="Y82" s="12">
        <v>18.078141200000001</v>
      </c>
      <c r="Z82" s="12">
        <v>3.0148256</v>
      </c>
      <c r="AA82" s="12">
        <v>55.639038399999997</v>
      </c>
      <c r="AB82" s="12">
        <v>16.690606599999999</v>
      </c>
      <c r="AC82" s="12">
        <v>23.214764899999999</v>
      </c>
      <c r="AD82" s="12">
        <v>68.2047417</v>
      </c>
      <c r="AE82" s="12">
        <v>65.270389699999996</v>
      </c>
      <c r="AF82" s="12">
        <v>12.076499500000001</v>
      </c>
      <c r="AG82" s="22" t="s">
        <v>107</v>
      </c>
    </row>
    <row r="83" spans="1:33" s="11" customFormat="1" outlineLevel="1" x14ac:dyDescent="0.3">
      <c r="A83" s="11" t="s">
        <v>89</v>
      </c>
      <c r="B83" s="12">
        <v>3.0333996999999999</v>
      </c>
      <c r="C83" s="12">
        <v>102.1166667</v>
      </c>
      <c r="D83" s="12">
        <v>1.6895705000000001</v>
      </c>
      <c r="E83" s="17">
        <v>0</v>
      </c>
      <c r="F83" s="13">
        <v>52.11</v>
      </c>
      <c r="G83" s="12">
        <v>2.5510172</v>
      </c>
      <c r="H83" s="12">
        <v>12.316573099999999</v>
      </c>
      <c r="I83" s="12">
        <v>6.0560394000000004</v>
      </c>
      <c r="J83" s="12">
        <v>2.9995740999999998</v>
      </c>
      <c r="K83" s="12">
        <v>6.4001571000000004</v>
      </c>
      <c r="L83" s="12">
        <v>-0.99980650000000004</v>
      </c>
      <c r="M83" s="12">
        <v>26.7992867</v>
      </c>
      <c r="N83" s="12">
        <v>6.6997869999999997</v>
      </c>
      <c r="O83" s="12">
        <v>16.799918000000002</v>
      </c>
      <c r="P83" s="7">
        <v>4970.1940000000004</v>
      </c>
      <c r="Q83" s="7">
        <v>273.89999999999998</v>
      </c>
      <c r="R83" s="7">
        <v>5.2</v>
      </c>
      <c r="S83" s="12">
        <v>12.3014805</v>
      </c>
      <c r="T83" s="12">
        <v>11.5</v>
      </c>
      <c r="U83" s="12">
        <v>118.6914184</v>
      </c>
      <c r="V83" s="12">
        <v>2.2848000000000002</v>
      </c>
      <c r="W83" s="12">
        <v>6.4</v>
      </c>
      <c r="X83" s="12">
        <v>11.3696614</v>
      </c>
      <c r="Y83" s="12">
        <v>19.633968899999999</v>
      </c>
      <c r="Z83" s="12">
        <v>0.74531329999999996</v>
      </c>
      <c r="AA83" s="12">
        <v>54.546504599999999</v>
      </c>
      <c r="AB83" s="12">
        <v>12.5232768</v>
      </c>
      <c r="AC83" s="12">
        <v>30.3389664</v>
      </c>
      <c r="AD83" s="12">
        <v>63.855480700000001</v>
      </c>
      <c r="AE83" s="12">
        <v>62.925808199999999</v>
      </c>
      <c r="AF83" s="12">
        <v>19.622139300000001</v>
      </c>
      <c r="AG83" s="22" t="s">
        <v>107</v>
      </c>
    </row>
    <row r="84" spans="1:33" s="11" customFormat="1" outlineLevel="1" x14ac:dyDescent="0.3">
      <c r="A84" s="11" t="s">
        <v>90</v>
      </c>
      <c r="B84" s="12">
        <v>2.9900169999999999</v>
      </c>
      <c r="C84" s="12">
        <v>102.6233333</v>
      </c>
      <c r="D84" s="12">
        <v>1.7146821999999999</v>
      </c>
      <c r="E84" s="17">
        <v>0</v>
      </c>
      <c r="F84" s="13">
        <v>61.53</v>
      </c>
      <c r="G84" s="12">
        <v>13.0542438</v>
      </c>
      <c r="H84" s="12">
        <v>12.585991</v>
      </c>
      <c r="I84" s="12">
        <v>-0.45923649999999999</v>
      </c>
      <c r="J84" s="12">
        <v>4.5010092999999998</v>
      </c>
      <c r="K84" s="12">
        <v>9.4997156</v>
      </c>
      <c r="L84" s="12">
        <v>-1.5993493999999999</v>
      </c>
      <c r="M84" s="12">
        <v>10.200574599999999</v>
      </c>
      <c r="N84" s="12">
        <v>9.6000732000000006</v>
      </c>
      <c r="O84" s="12">
        <v>17.099948399999999</v>
      </c>
      <c r="P84" s="7">
        <v>4930.1400000000003</v>
      </c>
      <c r="Q84" s="7">
        <v>284.3</v>
      </c>
      <c r="R84" s="7">
        <v>5.5</v>
      </c>
      <c r="S84" s="12">
        <v>19.227509900000001</v>
      </c>
      <c r="T84" s="12">
        <v>11</v>
      </c>
      <c r="U84" s="12">
        <v>120.4257942</v>
      </c>
      <c r="V84" s="12">
        <v>2.3443333000000002</v>
      </c>
      <c r="W84" s="12">
        <v>5.8</v>
      </c>
      <c r="X84" s="12">
        <v>16.667857699999999</v>
      </c>
      <c r="Y84" s="12">
        <v>15.8615508</v>
      </c>
      <c r="Z84" s="12">
        <v>-4.6592219000000004</v>
      </c>
      <c r="AA84" s="12">
        <v>51.722779199999998</v>
      </c>
      <c r="AB84" s="12">
        <v>17.364846799999999</v>
      </c>
      <c r="AC84" s="12">
        <v>33.816223200000003</v>
      </c>
      <c r="AD84" s="12">
        <v>69.486112899999995</v>
      </c>
      <c r="AE84" s="12">
        <v>73.671082100000007</v>
      </c>
      <c r="AF84" s="12">
        <v>26.224948999999999</v>
      </c>
      <c r="AG84" s="22" t="s">
        <v>107</v>
      </c>
    </row>
    <row r="85" spans="1:33" s="11" customFormat="1" outlineLevel="1" x14ac:dyDescent="0.3">
      <c r="A85" s="11" t="s">
        <v>91</v>
      </c>
      <c r="B85" s="12">
        <v>2.2828298</v>
      </c>
      <c r="C85" s="12">
        <v>102.5466667</v>
      </c>
      <c r="D85" s="12">
        <v>1.5313532000000001</v>
      </c>
      <c r="E85" s="17">
        <v>0</v>
      </c>
      <c r="F85" s="13">
        <v>66.806666699999994</v>
      </c>
      <c r="G85" s="12">
        <v>13.313079699999999</v>
      </c>
      <c r="H85" s="12">
        <v>23.327613400000001</v>
      </c>
      <c r="I85" s="12">
        <v>5.8064716000000001</v>
      </c>
      <c r="J85" s="12">
        <v>5.2007567000000003</v>
      </c>
      <c r="K85" s="12">
        <v>8.4996860999999999</v>
      </c>
      <c r="L85" s="12">
        <v>-0.60053909999999999</v>
      </c>
      <c r="M85" s="12">
        <v>14.799904700000001</v>
      </c>
      <c r="N85" s="12">
        <v>11.3999819</v>
      </c>
      <c r="O85" s="12">
        <v>15.799785099999999</v>
      </c>
      <c r="P85" s="7">
        <v>4883.6000000000004</v>
      </c>
      <c r="Q85" s="7">
        <v>260.60000000000002</v>
      </c>
      <c r="R85" s="7">
        <v>5.0999999999999996</v>
      </c>
      <c r="S85" s="12">
        <v>19.403931499999999</v>
      </c>
      <c r="T85" s="12">
        <v>10.5</v>
      </c>
      <c r="U85" s="12">
        <v>122.7051282</v>
      </c>
      <c r="V85" s="12">
        <v>2.4256332999999999</v>
      </c>
      <c r="W85" s="12">
        <v>7.9</v>
      </c>
      <c r="X85" s="12">
        <v>9.2153948999999997</v>
      </c>
      <c r="Y85" s="12">
        <v>8.0635720000000006</v>
      </c>
      <c r="Z85" s="12">
        <v>-8.8721137999999993</v>
      </c>
      <c r="AA85" s="12">
        <v>54.795431499999999</v>
      </c>
      <c r="AB85" s="12">
        <v>16.5287434</v>
      </c>
      <c r="AC85" s="12">
        <v>24.9083729</v>
      </c>
      <c r="AD85" s="12">
        <v>72.979627199999996</v>
      </c>
      <c r="AE85" s="12">
        <v>70.224276200000006</v>
      </c>
      <c r="AF85" s="12">
        <v>30.696332900000002</v>
      </c>
      <c r="AG85" s="22" t="s">
        <v>107</v>
      </c>
    </row>
    <row r="86" spans="1:33" s="11" customFormat="1" outlineLevel="1" x14ac:dyDescent="0.3">
      <c r="A86" s="11" t="s">
        <v>92</v>
      </c>
      <c r="B86" s="12">
        <v>2.5023559999999998</v>
      </c>
      <c r="C86" s="12">
        <v>104.0133333</v>
      </c>
      <c r="D86" s="12">
        <v>1.8606777000000001</v>
      </c>
      <c r="E86" s="17">
        <v>0</v>
      </c>
      <c r="F86" s="13">
        <v>74.5</v>
      </c>
      <c r="G86" s="12">
        <v>13.140966199999999</v>
      </c>
      <c r="H86" s="12">
        <v>19.886232400000001</v>
      </c>
      <c r="I86" s="12">
        <v>6.2537234000000002</v>
      </c>
      <c r="J86" s="12">
        <v>4.1002295000000002</v>
      </c>
      <c r="K86" s="12">
        <v>9.3996936000000009</v>
      </c>
      <c r="L86" s="12">
        <v>-1.2009584</v>
      </c>
      <c r="M86" s="12">
        <v>10.1005859</v>
      </c>
      <c r="N86" s="12">
        <v>2.3998862000000001</v>
      </c>
      <c r="O86" s="12">
        <v>6.6003078000000004</v>
      </c>
      <c r="P86" s="7">
        <v>4882.2</v>
      </c>
      <c r="Q86" s="7">
        <v>239.1</v>
      </c>
      <c r="R86" s="7">
        <v>4.7</v>
      </c>
      <c r="S86" s="12">
        <v>17.8738709</v>
      </c>
      <c r="T86" s="12">
        <v>10</v>
      </c>
      <c r="U86" s="12">
        <v>124.0169569</v>
      </c>
      <c r="V86" s="12">
        <v>2.3681333000000002</v>
      </c>
      <c r="W86" s="12">
        <v>7.5</v>
      </c>
      <c r="X86" s="12">
        <v>6.9974090999999996</v>
      </c>
      <c r="Y86" s="12">
        <v>11.087790099999999</v>
      </c>
      <c r="Z86" s="12">
        <v>3.4737651000000001</v>
      </c>
      <c r="AA86" s="12">
        <v>55.093075399999996</v>
      </c>
      <c r="AB86" s="12">
        <v>16.583168000000001</v>
      </c>
      <c r="AC86" s="12">
        <v>24.609601300000001</v>
      </c>
      <c r="AD86" s="12">
        <v>72.606997500000006</v>
      </c>
      <c r="AE86" s="12">
        <v>72.198706299999998</v>
      </c>
      <c r="AF86" s="12">
        <v>32.0748587</v>
      </c>
      <c r="AG86" s="22" t="s">
        <v>107</v>
      </c>
    </row>
    <row r="87" spans="1:33" s="11" customFormat="1" outlineLevel="1" x14ac:dyDescent="0.3">
      <c r="A87" s="11" t="s">
        <v>93</v>
      </c>
      <c r="B87" s="12">
        <v>1.7229988000000001</v>
      </c>
      <c r="C87" s="12">
        <v>104.3666667</v>
      </c>
      <c r="D87" s="12">
        <v>2.2033621999999999</v>
      </c>
      <c r="E87" s="17">
        <v>0</v>
      </c>
      <c r="F87" s="13">
        <v>75.223333299999993</v>
      </c>
      <c r="G87" s="12">
        <v>21.9635429</v>
      </c>
      <c r="H87" s="12">
        <v>10.733745000000001</v>
      </c>
      <c r="I87" s="12">
        <v>2.7288701</v>
      </c>
      <c r="J87" s="12">
        <v>2.2008690999999998</v>
      </c>
      <c r="K87" s="12">
        <v>6.7001868</v>
      </c>
      <c r="L87" s="12">
        <v>-0.29971330000000002</v>
      </c>
      <c r="M87" s="12">
        <v>-0.40006550000000002</v>
      </c>
      <c r="N87" s="12">
        <v>3.5000331999999998</v>
      </c>
      <c r="O87" s="12">
        <v>5.8001148000000002</v>
      </c>
      <c r="P87" s="7">
        <v>4929.6000000000004</v>
      </c>
      <c r="Q87" s="7">
        <v>240.5</v>
      </c>
      <c r="R87" s="7">
        <v>4.7</v>
      </c>
      <c r="S87" s="12">
        <v>16.846436600000001</v>
      </c>
      <c r="T87" s="12">
        <v>10</v>
      </c>
      <c r="U87" s="12">
        <v>124.49992810000001</v>
      </c>
      <c r="V87" s="12">
        <v>2.3818666999999998</v>
      </c>
      <c r="W87" s="12">
        <v>5.3</v>
      </c>
      <c r="X87" s="12">
        <v>17.5675113</v>
      </c>
      <c r="Y87" s="12">
        <v>11.927990400000001</v>
      </c>
      <c r="Z87" s="12">
        <v>2.9869805999999999</v>
      </c>
      <c r="AA87" s="12">
        <v>52.8268226</v>
      </c>
      <c r="AB87" s="12">
        <v>12.749303400000001</v>
      </c>
      <c r="AC87" s="12">
        <v>28.566167499999999</v>
      </c>
      <c r="AD87" s="12">
        <v>67.703072700000007</v>
      </c>
      <c r="AE87" s="12">
        <v>63.6091683</v>
      </c>
      <c r="AF87" s="12">
        <v>31.647115700000001</v>
      </c>
      <c r="AG87" s="22" t="s">
        <v>107</v>
      </c>
    </row>
    <row r="88" spans="1:33" s="11" customFormat="1" outlineLevel="1" x14ac:dyDescent="0.3">
      <c r="A88" s="11" t="s">
        <v>94</v>
      </c>
      <c r="B88" s="12">
        <v>1.7730376000000001</v>
      </c>
      <c r="C88" s="12">
        <v>104.64</v>
      </c>
      <c r="D88" s="12">
        <v>1.9651152000000001</v>
      </c>
      <c r="E88" s="17">
        <v>0</v>
      </c>
      <c r="F88" s="13">
        <v>67.713333300000002</v>
      </c>
      <c r="G88" s="12">
        <v>14.0220471</v>
      </c>
      <c r="H88" s="12">
        <v>20.410246099999998</v>
      </c>
      <c r="I88" s="12">
        <v>1.8606296</v>
      </c>
      <c r="J88" s="12">
        <v>1.5996201999999999</v>
      </c>
      <c r="K88" s="12">
        <v>7.4003227000000003</v>
      </c>
      <c r="L88" s="12">
        <v>0.30052590000000001</v>
      </c>
      <c r="M88" s="12">
        <v>-0.1999833</v>
      </c>
      <c r="N88" s="12">
        <v>-1.7997533999999999</v>
      </c>
      <c r="O88" s="12">
        <v>2.1001797999999998</v>
      </c>
      <c r="P88" s="7">
        <v>4928.2</v>
      </c>
      <c r="Q88" s="7">
        <v>245.9</v>
      </c>
      <c r="R88" s="7">
        <v>4.8</v>
      </c>
      <c r="S88" s="12">
        <v>16.302558699999999</v>
      </c>
      <c r="T88" s="12">
        <v>10</v>
      </c>
      <c r="U88" s="12">
        <v>126.66207540000001</v>
      </c>
      <c r="V88" s="12">
        <v>2.4254332999999999</v>
      </c>
      <c r="W88" s="12">
        <v>2.1</v>
      </c>
      <c r="X88" s="12">
        <v>8.9508331000000005</v>
      </c>
      <c r="Y88" s="12">
        <v>4.2520804999999999</v>
      </c>
      <c r="Z88" s="12">
        <v>1.5056991</v>
      </c>
      <c r="AA88" s="12">
        <v>51.910108999999999</v>
      </c>
      <c r="AB88" s="12">
        <v>17.3467938</v>
      </c>
      <c r="AC88" s="12">
        <v>33.232782700000001</v>
      </c>
      <c r="AD88" s="12">
        <v>69.259623099999999</v>
      </c>
      <c r="AE88" s="12">
        <v>70.343816599999997</v>
      </c>
      <c r="AF88" s="12">
        <v>28.393804200000002</v>
      </c>
      <c r="AG88" s="22" t="s">
        <v>107</v>
      </c>
    </row>
    <row r="89" spans="1:33" s="11" customFormat="1" outlineLevel="1" x14ac:dyDescent="0.3">
      <c r="A89" s="11" t="s">
        <v>95</v>
      </c>
      <c r="B89" s="12">
        <v>1.9308453999999999</v>
      </c>
      <c r="C89" s="12">
        <v>104.17</v>
      </c>
      <c r="D89" s="12">
        <v>1.5830191</v>
      </c>
      <c r="E89" s="17">
        <v>0</v>
      </c>
      <c r="F89" s="13">
        <v>63.17</v>
      </c>
      <c r="G89" s="12">
        <v>11.2281736</v>
      </c>
      <c r="H89" s="12">
        <v>5.6811248000000001</v>
      </c>
      <c r="I89" s="12">
        <v>3.6747760999999999</v>
      </c>
      <c r="J89" s="12">
        <v>1.4002368999999999</v>
      </c>
      <c r="K89" s="12">
        <v>5.8996314999999999</v>
      </c>
      <c r="L89" s="12">
        <v>9.9550299999999994E-2</v>
      </c>
      <c r="M89" s="12">
        <v>2.0002905000000002</v>
      </c>
      <c r="N89" s="12">
        <v>-2.4998524</v>
      </c>
      <c r="O89" s="12">
        <v>-9.9796499999999996E-2</v>
      </c>
      <c r="P89" s="7">
        <v>4928</v>
      </c>
      <c r="Q89" s="7">
        <v>235.4</v>
      </c>
      <c r="R89" s="7">
        <v>4.5999999999999996</v>
      </c>
      <c r="S89" s="12">
        <v>14.410894499999999</v>
      </c>
      <c r="T89" s="12">
        <v>10</v>
      </c>
      <c r="U89" s="12">
        <v>129.99235479999999</v>
      </c>
      <c r="V89" s="12">
        <v>2.4361000000000002</v>
      </c>
      <c r="W89" s="12">
        <v>0.4</v>
      </c>
      <c r="X89" s="12">
        <v>6.5407846000000003</v>
      </c>
      <c r="Y89" s="12">
        <v>5.4986936999999996</v>
      </c>
      <c r="Z89" s="12">
        <v>-7.6229259999999996</v>
      </c>
      <c r="AA89" s="12">
        <v>55.6738584</v>
      </c>
      <c r="AB89" s="12">
        <v>17.140460600000001</v>
      </c>
      <c r="AC89" s="12">
        <v>24.6009815</v>
      </c>
      <c r="AD89" s="12">
        <v>70.823538999999997</v>
      </c>
      <c r="AE89" s="12">
        <v>67.434545400000005</v>
      </c>
      <c r="AF89" s="12">
        <v>25.816519499999998</v>
      </c>
      <c r="AG89" s="22" t="s">
        <v>107</v>
      </c>
    </row>
    <row r="90" spans="1:33" s="11" customFormat="1" outlineLevel="1" x14ac:dyDescent="0.3">
      <c r="A90" s="11" t="s">
        <v>96</v>
      </c>
      <c r="B90" s="12">
        <v>1.5959346999999999</v>
      </c>
      <c r="C90" s="12">
        <v>105.7566667</v>
      </c>
      <c r="D90" s="12">
        <v>1.6760672000000001</v>
      </c>
      <c r="E90" s="17">
        <v>0</v>
      </c>
      <c r="F90" s="13">
        <v>68.923333299999996</v>
      </c>
      <c r="G90" s="12">
        <v>11.4896824</v>
      </c>
      <c r="H90" s="12">
        <v>6.3255704000000001</v>
      </c>
      <c r="I90" s="12">
        <v>4.3023094999999998</v>
      </c>
      <c r="J90" s="12">
        <v>0.59997330000000004</v>
      </c>
      <c r="K90" s="12">
        <v>6.3000613999999997</v>
      </c>
      <c r="L90" s="12">
        <v>0.60020010000000001</v>
      </c>
      <c r="M90" s="12">
        <v>7.8008645000000003</v>
      </c>
      <c r="N90" s="12">
        <v>-3.5998016000000002</v>
      </c>
      <c r="O90" s="12">
        <v>2.4001035000000002</v>
      </c>
      <c r="P90" s="7">
        <v>4888.7</v>
      </c>
      <c r="Q90" s="7">
        <v>222.5</v>
      </c>
      <c r="R90" s="7">
        <v>4.4000000000000004</v>
      </c>
      <c r="S90" s="12">
        <v>14.4468885</v>
      </c>
      <c r="T90" s="12">
        <v>10</v>
      </c>
      <c r="U90" s="12">
        <v>131.2116389</v>
      </c>
      <c r="V90" s="12">
        <v>2.3472333000000001</v>
      </c>
      <c r="W90" s="12">
        <v>-1</v>
      </c>
      <c r="X90" s="12">
        <v>1.4678799</v>
      </c>
      <c r="Y90" s="12">
        <v>3.9277133000000002</v>
      </c>
      <c r="Z90" s="12">
        <v>1.8503183999999999</v>
      </c>
      <c r="AA90" s="12">
        <v>56.488822599999999</v>
      </c>
      <c r="AB90" s="12">
        <v>17.957280099999998</v>
      </c>
      <c r="AC90" s="12">
        <v>26.558467799999999</v>
      </c>
      <c r="AD90" s="12">
        <v>66.564997000000005</v>
      </c>
      <c r="AE90" s="12">
        <v>67.919037399999993</v>
      </c>
      <c r="AF90" s="12">
        <v>23.709717099999999</v>
      </c>
      <c r="AG90" s="22" t="s">
        <v>107</v>
      </c>
    </row>
    <row r="91" spans="1:33" s="11" customFormat="1" outlineLevel="1" x14ac:dyDescent="0.3">
      <c r="A91" s="11" t="s">
        <v>97</v>
      </c>
      <c r="B91" s="12">
        <v>2.3612953000000001</v>
      </c>
      <c r="C91" s="12">
        <v>105.74</v>
      </c>
      <c r="D91" s="12">
        <v>1.3158734999999999</v>
      </c>
      <c r="E91" s="17">
        <v>0</v>
      </c>
      <c r="F91" s="13">
        <v>61.93</v>
      </c>
      <c r="G91" s="12">
        <v>13.945490400000001</v>
      </c>
      <c r="H91" s="12">
        <v>14.1165924</v>
      </c>
      <c r="I91" s="12">
        <v>2.8488324</v>
      </c>
      <c r="J91" s="12">
        <v>1.5998858</v>
      </c>
      <c r="K91" s="12">
        <v>5.0999379999999999</v>
      </c>
      <c r="L91" s="12">
        <v>0.6012286</v>
      </c>
      <c r="M91" s="12">
        <v>5.9003359</v>
      </c>
      <c r="N91" s="12">
        <v>4.8998058000000002</v>
      </c>
      <c r="O91" s="12">
        <v>9.0998997999999993</v>
      </c>
      <c r="P91" s="7">
        <v>4951.3</v>
      </c>
      <c r="Q91" s="7">
        <v>199.7</v>
      </c>
      <c r="R91" s="7">
        <v>3.9</v>
      </c>
      <c r="S91" s="12">
        <v>14.6979384</v>
      </c>
      <c r="T91" s="12">
        <v>9.5</v>
      </c>
      <c r="U91" s="12">
        <v>131.55214290000001</v>
      </c>
      <c r="V91" s="12">
        <v>2.2837667000000001</v>
      </c>
      <c r="W91" s="12">
        <v>1.5</v>
      </c>
      <c r="X91" s="12">
        <v>6.6286981999999997</v>
      </c>
      <c r="Y91" s="12">
        <v>9.9989290000000004</v>
      </c>
      <c r="Z91" s="12">
        <v>2.3159461000000001</v>
      </c>
      <c r="AA91" s="12">
        <v>52.775962200000002</v>
      </c>
      <c r="AB91" s="12">
        <v>14.3233736</v>
      </c>
      <c r="AC91" s="12">
        <v>29.3345339</v>
      </c>
      <c r="AD91" s="12">
        <v>62.1720063</v>
      </c>
      <c r="AE91" s="12">
        <v>60.335106099999997</v>
      </c>
      <c r="AF91" s="12">
        <v>22.661424400000001</v>
      </c>
      <c r="AG91" s="22" t="s">
        <v>107</v>
      </c>
    </row>
    <row r="92" spans="1:33" s="11" customFormat="1" outlineLevel="1" x14ac:dyDescent="0.3">
      <c r="A92" s="11" t="s">
        <v>98</v>
      </c>
      <c r="B92" s="12">
        <v>1.3592039</v>
      </c>
      <c r="C92" s="12">
        <v>106.0066667</v>
      </c>
      <c r="D92" s="12">
        <v>1.3060653</v>
      </c>
      <c r="E92" s="17">
        <v>0</v>
      </c>
      <c r="F92" s="13">
        <v>63.41</v>
      </c>
      <c r="G92" s="12">
        <v>6.3066516999999997</v>
      </c>
      <c r="H92" s="12">
        <v>-0.13080040000000001</v>
      </c>
      <c r="I92" s="12">
        <v>-0.76933580000000001</v>
      </c>
      <c r="J92" s="12">
        <v>2.1001118000000001</v>
      </c>
      <c r="K92" s="12">
        <v>3.4998094000000002</v>
      </c>
      <c r="L92" s="12">
        <v>0.49937579999999998</v>
      </c>
      <c r="M92" s="12">
        <v>10.7002708</v>
      </c>
      <c r="N92" s="12">
        <v>4.7002341999999997</v>
      </c>
      <c r="O92" s="12">
        <v>8.4001639000000008</v>
      </c>
      <c r="P92" s="7">
        <v>4909.6000000000004</v>
      </c>
      <c r="Q92" s="7">
        <v>203.3</v>
      </c>
      <c r="R92" s="7">
        <v>4</v>
      </c>
      <c r="S92" s="12">
        <v>11.778707000000001</v>
      </c>
      <c r="T92" s="12">
        <v>9</v>
      </c>
      <c r="U92" s="12">
        <v>133.00823120000001</v>
      </c>
      <c r="V92" s="12">
        <v>2.2958666999999999</v>
      </c>
      <c r="W92" s="12">
        <v>3.1</v>
      </c>
      <c r="X92" s="12">
        <v>3.3169941999999999</v>
      </c>
      <c r="Y92" s="12">
        <v>11.3164698</v>
      </c>
      <c r="Z92" s="12">
        <v>-5.1384838999999998</v>
      </c>
      <c r="AA92" s="12">
        <v>51.5284701</v>
      </c>
      <c r="AB92" s="12">
        <v>18.1788995</v>
      </c>
      <c r="AC92" s="12">
        <v>34.991101800000003</v>
      </c>
      <c r="AD92" s="12">
        <v>62.080103200000003</v>
      </c>
      <c r="AE92" s="12">
        <v>67.988342399999993</v>
      </c>
      <c r="AF92" s="12">
        <v>22.0456349</v>
      </c>
      <c r="AG92" s="22" t="s">
        <v>107</v>
      </c>
    </row>
    <row r="93" spans="1:33" s="11" customFormat="1" outlineLevel="1" x14ac:dyDescent="0.3">
      <c r="A93" s="11" t="s">
        <v>99</v>
      </c>
      <c r="B93" s="12">
        <v>-2.2061226999999999</v>
      </c>
      <c r="C93" s="12">
        <v>105.74666670000001</v>
      </c>
      <c r="D93" s="12">
        <v>1.5135516</v>
      </c>
      <c r="E93" s="17">
        <v>0</v>
      </c>
      <c r="F93" s="13">
        <v>50.44</v>
      </c>
      <c r="G93" s="12">
        <v>10.4264367</v>
      </c>
      <c r="H93" s="12">
        <v>3.2571807000000002</v>
      </c>
      <c r="I93" s="12">
        <v>0.9776532</v>
      </c>
      <c r="J93" s="12">
        <v>0.1000688</v>
      </c>
      <c r="K93" s="12">
        <v>6.3997175999999998</v>
      </c>
      <c r="L93" s="12">
        <v>0.50068590000000002</v>
      </c>
      <c r="M93" s="12">
        <v>3.2996317999999998</v>
      </c>
      <c r="N93" s="12">
        <v>-11.0998403</v>
      </c>
      <c r="O93" s="12">
        <v>-5.2000656000000003</v>
      </c>
      <c r="P93" s="7">
        <v>4820.5</v>
      </c>
      <c r="Q93" s="7">
        <v>206.7</v>
      </c>
      <c r="R93" s="7">
        <v>4.0999999999999996</v>
      </c>
      <c r="S93" s="12">
        <v>14.432545299999999</v>
      </c>
      <c r="T93" s="12">
        <v>8.75</v>
      </c>
      <c r="U93" s="12">
        <v>136.0208777</v>
      </c>
      <c r="V93" s="12">
        <v>2.4739667000000001</v>
      </c>
      <c r="W93" s="12">
        <v>-3.3</v>
      </c>
      <c r="X93" s="12">
        <v>-8.5150716000000006</v>
      </c>
      <c r="Y93" s="12">
        <v>-8.3238427000000001</v>
      </c>
      <c r="Z93" s="12">
        <v>-9.1561015999999995</v>
      </c>
      <c r="AA93" s="12">
        <v>57.135065599999997</v>
      </c>
      <c r="AB93" s="12">
        <v>17.2462692</v>
      </c>
      <c r="AC93" s="12">
        <v>24.0896902</v>
      </c>
      <c r="AD93" s="12">
        <v>59.332777800000002</v>
      </c>
      <c r="AE93" s="12">
        <v>56.762972499999997</v>
      </c>
      <c r="AF93" s="12">
        <v>24.209242700000001</v>
      </c>
      <c r="AG93" s="22" t="s">
        <v>107</v>
      </c>
    </row>
    <row r="94" spans="1:33" s="11" customFormat="1" outlineLevel="1" x14ac:dyDescent="0.3">
      <c r="A94" s="11" t="s">
        <v>100</v>
      </c>
      <c r="B94" s="12">
        <v>-13.380244299999999</v>
      </c>
      <c r="C94" s="12">
        <v>106.50333329999999</v>
      </c>
      <c r="D94" s="12">
        <v>0.70602319999999996</v>
      </c>
      <c r="E94" s="17">
        <v>0</v>
      </c>
      <c r="F94" s="13">
        <v>29.343333300000001</v>
      </c>
      <c r="G94" s="12">
        <v>20.444798899999999</v>
      </c>
      <c r="H94" s="12">
        <v>-9.8404904999999996</v>
      </c>
      <c r="I94" s="12">
        <v>-7.1558748000000003</v>
      </c>
      <c r="J94" s="12">
        <v>-3.0002596000000001</v>
      </c>
      <c r="K94" s="12">
        <v>-8.0998660000000005</v>
      </c>
      <c r="L94" s="12">
        <v>-3.5013709999999998</v>
      </c>
      <c r="M94" s="12">
        <v>-4.2996983999999996</v>
      </c>
      <c r="N94" s="12">
        <v>-9.0000205999999991</v>
      </c>
      <c r="O94" s="12">
        <v>-14.599836399999999</v>
      </c>
      <c r="P94" s="7">
        <v>4855.8999999999996</v>
      </c>
      <c r="Q94" s="7">
        <v>212.8</v>
      </c>
      <c r="R94" s="7">
        <v>4.2</v>
      </c>
      <c r="S94" s="12">
        <v>13.788827599999999</v>
      </c>
      <c r="T94" s="12">
        <v>8</v>
      </c>
      <c r="U94" s="12">
        <v>137.98640019999999</v>
      </c>
      <c r="V94" s="12">
        <v>2.6765333</v>
      </c>
      <c r="W94" s="12">
        <v>-3.5</v>
      </c>
      <c r="X94" s="12">
        <v>-20.404512</v>
      </c>
      <c r="Y94" s="12">
        <v>-25.751814299999999</v>
      </c>
      <c r="Z94" s="12">
        <v>2.1697807999999998</v>
      </c>
      <c r="AA94" s="12">
        <v>52.407116700000003</v>
      </c>
      <c r="AB94" s="12">
        <v>18.858073099999999</v>
      </c>
      <c r="AC94" s="12">
        <v>26.6910867</v>
      </c>
      <c r="AD94" s="12">
        <v>56.316355600000001</v>
      </c>
      <c r="AE94" s="12">
        <v>53.662712900000002</v>
      </c>
      <c r="AF94" s="12">
        <v>20.007158799999999</v>
      </c>
      <c r="AG94" s="22" t="s">
        <v>107</v>
      </c>
    </row>
    <row r="95" spans="1:33" s="11" customFormat="1" outlineLevel="1" x14ac:dyDescent="0.3">
      <c r="A95" s="11" t="s">
        <v>101</v>
      </c>
      <c r="B95" s="12">
        <v>-3.6984297000000002</v>
      </c>
      <c r="C95" s="12">
        <v>106.27</v>
      </c>
      <c r="D95" s="12">
        <v>0.50122940000000005</v>
      </c>
      <c r="E95" s="17">
        <v>0</v>
      </c>
      <c r="F95" s="13">
        <v>42.963333300000002</v>
      </c>
      <c r="G95" s="12">
        <v>2.4748225000000001</v>
      </c>
      <c r="H95" s="12">
        <v>-4.1044537999999999</v>
      </c>
      <c r="I95" s="12">
        <v>0.44864769999999998</v>
      </c>
      <c r="J95" s="12">
        <v>9.9853200000000003E-2</v>
      </c>
      <c r="K95" s="12">
        <v>-1.2998409</v>
      </c>
      <c r="L95" s="12">
        <v>-1.1985189000000001</v>
      </c>
      <c r="M95" s="12">
        <v>-3.2997190999999999</v>
      </c>
      <c r="N95" s="12">
        <v>-2.5999889999999999</v>
      </c>
      <c r="O95" s="12">
        <v>-6.2998205</v>
      </c>
      <c r="P95" s="7">
        <v>4939.5</v>
      </c>
      <c r="Q95" s="7">
        <v>204</v>
      </c>
      <c r="R95" s="7">
        <v>4</v>
      </c>
      <c r="S95" s="12">
        <v>14.117086</v>
      </c>
      <c r="T95" s="12">
        <v>7.75</v>
      </c>
      <c r="U95" s="12">
        <v>138.94538990000001</v>
      </c>
      <c r="V95" s="12">
        <v>2.9380999999999999</v>
      </c>
      <c r="W95" s="12">
        <v>1.1000000000000001</v>
      </c>
      <c r="X95" s="12">
        <v>-16.6413537</v>
      </c>
      <c r="Y95" s="12">
        <v>-21.161422600000002</v>
      </c>
      <c r="Z95" s="12">
        <v>4.0759705999999998</v>
      </c>
      <c r="AA95" s="12">
        <v>51.440835499999999</v>
      </c>
      <c r="AB95" s="12">
        <v>14.300738600000001</v>
      </c>
      <c r="AC95" s="12">
        <v>28.945115699999999</v>
      </c>
      <c r="AD95" s="12">
        <v>60.179768099999997</v>
      </c>
      <c r="AE95" s="12">
        <v>55.301325599999998</v>
      </c>
      <c r="AF95" s="12">
        <v>16.865376600000001</v>
      </c>
      <c r="AG95" s="22" t="s">
        <v>107</v>
      </c>
    </row>
    <row r="96" spans="1:33" s="11" customFormat="1" outlineLevel="1" x14ac:dyDescent="0.3">
      <c r="A96" s="11" t="s">
        <v>102</v>
      </c>
      <c r="B96" s="12">
        <v>-3.2236577</v>
      </c>
      <c r="C96" s="12">
        <v>106.2833333</v>
      </c>
      <c r="D96" s="12">
        <v>0.26098979999999999</v>
      </c>
      <c r="E96" s="17">
        <v>0</v>
      </c>
      <c r="F96" s="13">
        <v>44.29</v>
      </c>
      <c r="G96" s="12">
        <v>6.8776581999999999</v>
      </c>
      <c r="H96" s="12">
        <v>5.3353611000000001</v>
      </c>
      <c r="I96" s="12">
        <v>-1.2554152999999999</v>
      </c>
      <c r="J96" s="12">
        <v>0</v>
      </c>
      <c r="K96" s="12">
        <v>-0.80022090000000001</v>
      </c>
      <c r="L96" s="12">
        <v>-3.1006211000000001</v>
      </c>
      <c r="M96" s="12">
        <v>-14.699924599999999</v>
      </c>
      <c r="N96" s="12">
        <v>6.1997100999999999</v>
      </c>
      <c r="O96" s="12">
        <v>-3.4998442000000001</v>
      </c>
      <c r="P96" s="7">
        <v>4919.3999999999996</v>
      </c>
      <c r="Q96" s="7">
        <v>208.5</v>
      </c>
      <c r="R96" s="7">
        <v>4.0999999999999996</v>
      </c>
      <c r="S96" s="12">
        <v>16.830686</v>
      </c>
      <c r="T96" s="12">
        <v>7.75</v>
      </c>
      <c r="U96" s="12">
        <v>141.91755749999999</v>
      </c>
      <c r="V96" s="12">
        <v>3.0666666999999999</v>
      </c>
      <c r="W96" s="12">
        <v>2.9</v>
      </c>
      <c r="X96" s="12">
        <v>-7.1938078000000001</v>
      </c>
      <c r="Y96" s="12">
        <v>-17.878633499999999</v>
      </c>
      <c r="Z96" s="12">
        <v>1.2140298</v>
      </c>
      <c r="AA96" s="12">
        <v>48.9748831</v>
      </c>
      <c r="AB96" s="12">
        <v>17.7982975</v>
      </c>
      <c r="AC96" s="12">
        <v>29.298672799999999</v>
      </c>
      <c r="AD96" s="12">
        <v>67.069312100000005</v>
      </c>
      <c r="AE96" s="12">
        <v>64.967430399999998</v>
      </c>
      <c r="AF96" s="12">
        <v>10.948992799999999</v>
      </c>
      <c r="AG96" s="22" t="s">
        <v>107</v>
      </c>
    </row>
    <row r="97" spans="1:33" s="11" customFormat="1" outlineLevel="1" x14ac:dyDescent="0.3">
      <c r="A97" s="11" t="s">
        <v>103</v>
      </c>
      <c r="B97" s="12">
        <v>-0.1765746</v>
      </c>
      <c r="C97" s="12">
        <v>107.21</v>
      </c>
      <c r="D97" s="12">
        <v>1.3838102999999999</v>
      </c>
      <c r="E97" s="17">
        <v>0</v>
      </c>
      <c r="F97" s="13">
        <v>60.82</v>
      </c>
      <c r="G97" s="12">
        <v>18.064467199999999</v>
      </c>
      <c r="H97" s="12">
        <v>2.4976954</v>
      </c>
      <c r="I97" s="12">
        <v>-4.2249936999999997</v>
      </c>
      <c r="J97" s="12">
        <v>1.5</v>
      </c>
      <c r="K97" s="12">
        <v>-2.7</v>
      </c>
      <c r="L97" s="12">
        <v>-2.4</v>
      </c>
      <c r="M97" s="12">
        <v>-12.9</v>
      </c>
      <c r="N97" s="12">
        <v>16.3</v>
      </c>
      <c r="O97" s="12">
        <v>3.1</v>
      </c>
      <c r="P97" s="7">
        <v>4785.6000000000004</v>
      </c>
      <c r="Q97" s="7">
        <v>207.9</v>
      </c>
      <c r="R97" s="7">
        <v>4.2</v>
      </c>
      <c r="S97" s="12">
        <v>14.4984644</v>
      </c>
      <c r="T97" s="12">
        <v>7.75</v>
      </c>
      <c r="U97" s="12">
        <v>147.2389259</v>
      </c>
      <c r="V97" s="12">
        <v>3.1281667</v>
      </c>
      <c r="W97" s="12">
        <v>9.1999999999999993</v>
      </c>
      <c r="X97" s="12">
        <v>9.5028521999999995</v>
      </c>
      <c r="Y97" s="12">
        <v>5.1203968</v>
      </c>
      <c r="Z97" s="12">
        <v>-5.8630557999999997</v>
      </c>
      <c r="AA97" s="12">
        <v>53.054514099999999</v>
      </c>
      <c r="AB97" s="12">
        <v>17.5740813</v>
      </c>
      <c r="AC97" s="12">
        <v>20.306317400000001</v>
      </c>
      <c r="AD97" s="12">
        <v>71.885999600000005</v>
      </c>
      <c r="AE97" s="12">
        <v>65.850779500000002</v>
      </c>
      <c r="AF97" s="12">
        <v>5.0224595000000001</v>
      </c>
      <c r="AG97" s="22" t="s">
        <v>107</v>
      </c>
    </row>
    <row r="98" spans="1:33" s="11" customFormat="1" outlineLevel="1" x14ac:dyDescent="0.3">
      <c r="A98" s="11" t="s">
        <v>104</v>
      </c>
      <c r="B98" s="12">
        <v>14.630134099999999</v>
      </c>
      <c r="C98" s="12">
        <v>108.82</v>
      </c>
      <c r="D98" s="12">
        <v>2.1752058000000001</v>
      </c>
      <c r="E98" s="17">
        <v>0</v>
      </c>
      <c r="F98" s="13">
        <v>68.833333300000007</v>
      </c>
      <c r="G98" s="12">
        <v>-1.1136001</v>
      </c>
      <c r="H98" s="12">
        <v>24.149016</v>
      </c>
      <c r="I98" s="12">
        <v>1.6018869</v>
      </c>
      <c r="J98" s="12">
        <v>6.2</v>
      </c>
      <c r="K98" s="12">
        <v>9.9</v>
      </c>
      <c r="L98" s="12">
        <v>0.7</v>
      </c>
      <c r="M98" s="12">
        <v>-7</v>
      </c>
      <c r="N98" s="12">
        <v>24.1</v>
      </c>
      <c r="O98" s="12">
        <v>15.5</v>
      </c>
      <c r="P98" s="7">
        <v>4875.3</v>
      </c>
      <c r="Q98" s="7">
        <v>202.3</v>
      </c>
      <c r="R98" s="7">
        <v>4</v>
      </c>
      <c r="S98" s="12">
        <v>15.817577500000001</v>
      </c>
      <c r="T98" s="12">
        <v>8.5</v>
      </c>
      <c r="U98" s="12">
        <v>150.8348761</v>
      </c>
      <c r="V98" s="12">
        <v>3.0737667000000002</v>
      </c>
      <c r="W98" s="12">
        <v>11.6</v>
      </c>
      <c r="X98" s="12">
        <v>34.960300500000002</v>
      </c>
      <c r="Y98" s="12">
        <v>30.524740600000001</v>
      </c>
      <c r="Z98" s="12">
        <v>7.0984277999999996</v>
      </c>
      <c r="AA98" s="12">
        <v>51.8563464</v>
      </c>
      <c r="AB98" s="12">
        <v>18.485110500000001</v>
      </c>
      <c r="AC98" s="12">
        <v>22.612501099999999</v>
      </c>
      <c r="AD98" s="12">
        <v>71.977554699999999</v>
      </c>
      <c r="AE98" s="12">
        <v>66.182534000000004</v>
      </c>
      <c r="AF98" s="12">
        <v>4.6734670999999999</v>
      </c>
      <c r="AG98" s="22" t="s">
        <v>107</v>
      </c>
    </row>
    <row r="99" spans="1:33" s="11" customFormat="1" outlineLevel="1" x14ac:dyDescent="0.3">
      <c r="A99" s="11" t="s">
        <v>105</v>
      </c>
      <c r="B99" s="12">
        <v>4.8925850000000004</v>
      </c>
      <c r="C99" s="12">
        <v>109.55666669999999</v>
      </c>
      <c r="D99" s="12">
        <v>3.0927511999999999</v>
      </c>
      <c r="E99" s="17">
        <v>0</v>
      </c>
      <c r="F99" s="13">
        <v>73.47</v>
      </c>
      <c r="G99" s="12">
        <v>19.497827900000001</v>
      </c>
      <c r="H99" s="12">
        <v>26.418128800000002</v>
      </c>
      <c r="I99" s="12">
        <v>2.3393643000000002</v>
      </c>
      <c r="J99" s="12">
        <v>1.2</v>
      </c>
      <c r="K99" s="12">
        <v>5.8</v>
      </c>
      <c r="L99" s="12">
        <v>-0.6</v>
      </c>
      <c r="M99" s="12">
        <v>-6.8</v>
      </c>
      <c r="N99" s="12">
        <v>4</v>
      </c>
      <c r="O99" s="12">
        <v>5.8</v>
      </c>
      <c r="P99" s="7">
        <v>4913.3999999999996</v>
      </c>
      <c r="Q99" s="7">
        <v>186.6</v>
      </c>
      <c r="R99" s="7">
        <v>3.7</v>
      </c>
      <c r="S99" s="12">
        <v>14.345418499999999</v>
      </c>
      <c r="T99" s="12">
        <v>9.25</v>
      </c>
      <c r="U99" s="12">
        <v>152.7261704</v>
      </c>
      <c r="V99" s="12">
        <v>2.9649667000000002</v>
      </c>
      <c r="W99" s="12">
        <v>2.9</v>
      </c>
      <c r="X99" s="12">
        <v>30.519702500000001</v>
      </c>
      <c r="Y99" s="12">
        <v>31.488785799999999</v>
      </c>
      <c r="Z99" s="12">
        <v>4.5521656999999998</v>
      </c>
      <c r="AA99" s="12">
        <v>51.288001899999998</v>
      </c>
      <c r="AB99" s="12">
        <v>14.468610399999999</v>
      </c>
      <c r="AC99" s="12">
        <v>26.289359699999999</v>
      </c>
      <c r="AD99" s="12">
        <v>67.550958199999997</v>
      </c>
      <c r="AE99" s="12">
        <v>62.460990199999998</v>
      </c>
      <c r="AF99" s="12">
        <v>3.3867783999999999</v>
      </c>
      <c r="AG99" s="22" t="s">
        <v>107</v>
      </c>
    </row>
    <row r="100" spans="1:33" s="11" customFormat="1" outlineLevel="1" x14ac:dyDescent="0.3">
      <c r="A100" s="11" t="s">
        <v>106</v>
      </c>
      <c r="B100" s="12">
        <v>5.3916862999999999</v>
      </c>
      <c r="C100" s="12">
        <v>111.5333333</v>
      </c>
      <c r="D100" s="12">
        <v>4.9396268000000001</v>
      </c>
      <c r="E100" s="17">
        <v>0</v>
      </c>
      <c r="F100" s="13">
        <v>79.586666699999995</v>
      </c>
      <c r="G100" s="12">
        <v>17.026389500000001</v>
      </c>
      <c r="H100" s="12">
        <v>21.7244417</v>
      </c>
      <c r="I100" s="12">
        <v>0.21580479999999999</v>
      </c>
      <c r="J100" s="12">
        <v>1.3</v>
      </c>
      <c r="K100" s="12">
        <v>6.7</v>
      </c>
      <c r="L100" s="12">
        <v>-0.4</v>
      </c>
      <c r="M100" s="12">
        <v>-1.6</v>
      </c>
      <c r="N100" s="12">
        <v>0.3</v>
      </c>
      <c r="O100" s="12">
        <v>-0.2</v>
      </c>
      <c r="P100" s="7">
        <v>4823.3</v>
      </c>
      <c r="Q100" s="7">
        <v>188.9</v>
      </c>
      <c r="R100" s="7">
        <v>3.8</v>
      </c>
      <c r="S100" s="12">
        <v>14.048914999999999</v>
      </c>
      <c r="T100" s="12">
        <v>9.25</v>
      </c>
      <c r="U100" s="12">
        <v>156.5205637</v>
      </c>
      <c r="V100" s="12">
        <v>2.8475000000000001</v>
      </c>
      <c r="W100" s="12">
        <v>2.2999999999999998</v>
      </c>
      <c r="X100" s="12">
        <v>38.827330099999998</v>
      </c>
      <c r="Y100" s="12">
        <v>31.805283800000002</v>
      </c>
      <c r="Z100" s="12">
        <v>4.8887910000000003</v>
      </c>
      <c r="AA100" s="12">
        <v>47.986995899999997</v>
      </c>
      <c r="AB100" s="12">
        <v>17.0995004</v>
      </c>
      <c r="AC100" s="12">
        <v>27.113024500000002</v>
      </c>
      <c r="AD100" s="12">
        <v>72.233139600000001</v>
      </c>
      <c r="AE100" s="12">
        <v>66.458866200000003</v>
      </c>
      <c r="AF100" s="12">
        <v>4.8852093999999999</v>
      </c>
      <c r="AG100" s="22" t="s">
        <v>107</v>
      </c>
    </row>
    <row r="101" spans="1:33" s="11" customFormat="1" outlineLevel="1" x14ac:dyDescent="0.3">
      <c r="A101" s="11" t="s">
        <v>108</v>
      </c>
      <c r="B101" s="12">
        <v>5.7284746999999996</v>
      </c>
      <c r="C101" s="12">
        <v>114.2266667</v>
      </c>
      <c r="D101" s="12">
        <v>6.5447875</v>
      </c>
      <c r="E101" s="17">
        <v>0</v>
      </c>
      <c r="F101" s="12">
        <v>100.2966667</v>
      </c>
      <c r="G101" s="12">
        <v>3.8419070999999998</v>
      </c>
      <c r="H101" s="12">
        <v>23.488320900000002</v>
      </c>
      <c r="I101" s="12">
        <v>2.0252276</v>
      </c>
      <c r="J101" s="12">
        <v>-0.1</v>
      </c>
      <c r="K101" s="12">
        <v>6.8</v>
      </c>
      <c r="L101" s="12">
        <v>-1.1000000000000001</v>
      </c>
      <c r="M101" s="12">
        <v>-3.1</v>
      </c>
      <c r="N101" s="12">
        <v>-15.8</v>
      </c>
      <c r="O101" s="12">
        <v>-10.1</v>
      </c>
      <c r="P101" s="7">
        <v>4771.1000000000004</v>
      </c>
      <c r="Q101" s="7">
        <v>184.2</v>
      </c>
      <c r="R101" s="7">
        <v>3.7</v>
      </c>
      <c r="S101" s="12">
        <v>17.5034162</v>
      </c>
      <c r="T101" s="12">
        <v>12</v>
      </c>
      <c r="U101" s="12">
        <v>165.059608</v>
      </c>
      <c r="V101" s="12">
        <v>3.1526333000000002</v>
      </c>
      <c r="W101" s="12">
        <v>0.2</v>
      </c>
      <c r="X101" s="12">
        <v>13.5236149</v>
      </c>
      <c r="Y101" s="12">
        <v>12.651522</v>
      </c>
      <c r="Z101" s="12">
        <v>-7.9060487000000004</v>
      </c>
      <c r="AA101" s="12">
        <v>53.739164600000002</v>
      </c>
      <c r="AB101" s="12">
        <v>16.458552900000001</v>
      </c>
      <c r="AC101" s="12">
        <v>19.4858127</v>
      </c>
      <c r="AD101" s="12">
        <v>68.385514099999995</v>
      </c>
      <c r="AE101" s="12">
        <v>62.304138700000003</v>
      </c>
      <c r="AF101" s="12">
        <v>5.2618435999999997</v>
      </c>
      <c r="AG101" s="22" t="s">
        <v>107</v>
      </c>
    </row>
    <row r="102" spans="1:33" s="11" customFormat="1" outlineLevel="1" x14ac:dyDescent="0.3">
      <c r="A102" s="11" t="s">
        <v>109</v>
      </c>
      <c r="B102" s="12">
        <v>4.2015890999999996</v>
      </c>
      <c r="C102" s="12">
        <v>118.4333333</v>
      </c>
      <c r="D102" s="12">
        <v>8.8341604</v>
      </c>
      <c r="E102" s="17">
        <v>0</v>
      </c>
      <c r="F102" s="12">
        <v>113.5433333</v>
      </c>
      <c r="G102" s="12">
        <v>26.291628500000002</v>
      </c>
      <c r="H102" s="12">
        <v>4.6452410000000004</v>
      </c>
      <c r="I102" s="12">
        <v>-5.5088656</v>
      </c>
      <c r="J102" s="12">
        <v>-7.9</v>
      </c>
      <c r="K102" s="12">
        <v>-4.7</v>
      </c>
      <c r="L102" s="12">
        <v>-1</v>
      </c>
      <c r="M102" s="12">
        <v>-25.2</v>
      </c>
      <c r="N102" s="12">
        <v>-31.6</v>
      </c>
      <c r="O102" s="12">
        <v>-30.9</v>
      </c>
      <c r="P102" s="7">
        <v>4856.5</v>
      </c>
      <c r="Q102" s="7">
        <v>185.2</v>
      </c>
      <c r="R102" s="7">
        <v>3.7</v>
      </c>
      <c r="S102" s="12">
        <v>12.1495107</v>
      </c>
      <c r="T102" s="12">
        <v>12</v>
      </c>
      <c r="U102" s="12">
        <v>176.6693022</v>
      </c>
      <c r="V102" s="12">
        <v>2.7871999999999999</v>
      </c>
      <c r="W102" s="12">
        <v>-10.6</v>
      </c>
      <c r="X102" s="12">
        <v>0.83247760000000004</v>
      </c>
      <c r="Y102" s="12">
        <v>-5.8137277999999997</v>
      </c>
      <c r="Z102" s="12">
        <v>9.5856051000000004</v>
      </c>
      <c r="AA102" s="12">
        <v>53.578190300000003</v>
      </c>
      <c r="AB102" s="12">
        <v>19.466154</v>
      </c>
      <c r="AC102" s="12">
        <v>18.404429100000002</v>
      </c>
      <c r="AD102" s="12">
        <v>61.269807800000002</v>
      </c>
      <c r="AE102" s="12">
        <v>52.680894799999997</v>
      </c>
      <c r="AF102" s="12">
        <v>3.3022212999999998</v>
      </c>
      <c r="AG102" s="22" t="s">
        <v>107</v>
      </c>
    </row>
    <row r="103" spans="1:33" s="11" customFormat="1" outlineLevel="1" x14ac:dyDescent="0.3">
      <c r="A103" s="11" t="s">
        <v>110</v>
      </c>
      <c r="B103" s="12">
        <v>2.5907767000000002</v>
      </c>
      <c r="C103" s="12">
        <v>120.83</v>
      </c>
      <c r="D103" s="12">
        <v>10.289956500000001</v>
      </c>
      <c r="E103" s="17">
        <v>0.75</v>
      </c>
      <c r="F103" s="12">
        <v>100.7133333</v>
      </c>
      <c r="G103" s="12">
        <v>13.3546247</v>
      </c>
      <c r="H103" s="12">
        <v>6.1946519999999996</v>
      </c>
      <c r="I103" s="12">
        <v>0.17294889999999999</v>
      </c>
      <c r="J103" s="12">
        <v>-5.3</v>
      </c>
      <c r="K103" s="12">
        <v>-2.2000000000000002</v>
      </c>
      <c r="L103" s="12">
        <v>0.4</v>
      </c>
      <c r="M103" s="12">
        <v>-17.899999999999999</v>
      </c>
      <c r="N103" s="12">
        <v>-21.8</v>
      </c>
      <c r="O103" s="12">
        <v>-21.4</v>
      </c>
      <c r="P103" s="7">
        <v>4906.6000000000004</v>
      </c>
      <c r="Q103" s="7">
        <v>170.8</v>
      </c>
      <c r="R103" s="7">
        <v>3.4</v>
      </c>
      <c r="S103" s="12">
        <v>12.9957054</v>
      </c>
      <c r="T103" s="12">
        <v>12</v>
      </c>
      <c r="U103" s="12">
        <v>179.89089100000001</v>
      </c>
      <c r="V103" s="12">
        <v>2.5983667000000001</v>
      </c>
      <c r="W103" s="12">
        <v>-7.9</v>
      </c>
      <c r="X103" s="12">
        <v>10.4901099</v>
      </c>
      <c r="Y103" s="12">
        <v>3.1963102000000001</v>
      </c>
      <c r="Z103" s="12">
        <v>8.8910756000000006</v>
      </c>
      <c r="AA103" s="12">
        <v>53.4633301</v>
      </c>
      <c r="AB103" s="12">
        <v>14.445952399999999</v>
      </c>
      <c r="AC103" s="12">
        <v>22.5514413</v>
      </c>
      <c r="AD103" s="12">
        <v>59.287251500000004</v>
      </c>
      <c r="AE103" s="12">
        <v>51.180248400000004</v>
      </c>
      <c r="AF103" s="12">
        <v>2.3969057999999999</v>
      </c>
      <c r="AG103" s="22" t="s">
        <v>107</v>
      </c>
    </row>
    <row r="104" spans="1:33" s="11" customFormat="1" outlineLevel="1" x14ac:dyDescent="0.3">
      <c r="A104" s="11" t="s">
        <v>111</v>
      </c>
      <c r="B104" s="12">
        <v>1.4006327999999999</v>
      </c>
      <c r="C104" s="12">
        <v>123.8</v>
      </c>
      <c r="D104" s="12">
        <v>10.9982068</v>
      </c>
      <c r="E104" s="17">
        <v>1.9166666999999999</v>
      </c>
      <c r="F104" s="12">
        <v>88.556666699999994</v>
      </c>
      <c r="G104" s="12">
        <v>18.252576699999999</v>
      </c>
      <c r="H104" s="12">
        <v>9.9735432999999993</v>
      </c>
      <c r="I104" s="12">
        <v>-2.7082809999999999</v>
      </c>
      <c r="J104" s="12">
        <v>-4.9000000000000004</v>
      </c>
      <c r="K104" s="12">
        <v>-0.1</v>
      </c>
      <c r="L104" s="12">
        <v>0.9</v>
      </c>
      <c r="M104" s="12">
        <v>-14.5</v>
      </c>
      <c r="N104" s="12">
        <v>-14.6</v>
      </c>
      <c r="O104" s="12">
        <v>-9.8000000000000007</v>
      </c>
      <c r="P104" s="7">
        <v>4845.3999999999996</v>
      </c>
      <c r="Q104" s="7">
        <v>179.4</v>
      </c>
      <c r="R104" s="7">
        <v>3.6</v>
      </c>
      <c r="S104" s="12">
        <v>12.303207</v>
      </c>
      <c r="T104" s="12">
        <v>12</v>
      </c>
      <c r="U104" s="12">
        <v>178.0859605</v>
      </c>
      <c r="V104" s="12">
        <v>2.5372667</v>
      </c>
      <c r="W104" s="12">
        <v>-3.3</v>
      </c>
      <c r="X104" s="12">
        <v>4.2618178000000002</v>
      </c>
      <c r="Y104" s="12">
        <v>9.8604529999999997</v>
      </c>
      <c r="Z104" s="12">
        <v>1.5196582000000001</v>
      </c>
      <c r="AA104" s="12">
        <v>53.009046599999998</v>
      </c>
      <c r="AB104" s="12">
        <v>18.794189899999999</v>
      </c>
      <c r="AC104" s="12">
        <v>25.165225499999998</v>
      </c>
      <c r="AD104" s="12">
        <v>63.856646900000001</v>
      </c>
      <c r="AE104" s="12">
        <v>61.993317900000001</v>
      </c>
      <c r="AF104" s="12">
        <v>3.07172</v>
      </c>
      <c r="AG104" s="22" t="s">
        <v>107</v>
      </c>
    </row>
    <row r="105" spans="1:33" s="11" customFormat="1" x14ac:dyDescent="0.3">
      <c r="A105" s="11" t="s">
        <v>112</v>
      </c>
      <c r="B105" s="12">
        <v>1.3448477999999999</v>
      </c>
      <c r="C105" s="12">
        <v>124.9666667</v>
      </c>
      <c r="D105" s="12">
        <v>9.4023579000000002</v>
      </c>
      <c r="E105" s="17">
        <v>3</v>
      </c>
      <c r="F105" s="12">
        <v>81.173333299999996</v>
      </c>
      <c r="G105" s="7" t="s">
        <v>107</v>
      </c>
      <c r="H105" s="7" t="s">
        <v>107</v>
      </c>
      <c r="I105" s="7" t="s">
        <v>107</v>
      </c>
      <c r="J105" s="12">
        <v>-1.9</v>
      </c>
      <c r="K105" s="12">
        <v>1.9</v>
      </c>
      <c r="L105" s="12">
        <v>1</v>
      </c>
      <c r="M105" s="12">
        <v>0.9</v>
      </c>
      <c r="N105" s="12">
        <v>11.2</v>
      </c>
      <c r="O105" s="12">
        <v>18.600000000000001</v>
      </c>
      <c r="P105" s="7">
        <v>4725.5</v>
      </c>
      <c r="Q105" s="7">
        <v>176.3</v>
      </c>
      <c r="R105" s="7">
        <v>3.6</v>
      </c>
      <c r="S105" s="12">
        <v>11.7023797</v>
      </c>
      <c r="T105" s="12">
        <v>11</v>
      </c>
      <c r="U105" s="12">
        <v>181.11615599999999</v>
      </c>
      <c r="V105" s="12">
        <v>2.9449333000000002</v>
      </c>
      <c r="W105" s="12">
        <v>1.8</v>
      </c>
      <c r="X105" s="12">
        <v>11.5442281</v>
      </c>
      <c r="Y105" s="12">
        <v>21.466801700000001</v>
      </c>
      <c r="Z105" s="12">
        <v>-10.8833754</v>
      </c>
      <c r="AA105" s="12">
        <v>56.9778886</v>
      </c>
      <c r="AB105" s="12">
        <v>17.882967799999999</v>
      </c>
      <c r="AC105" s="12">
        <v>19.328310599999998</v>
      </c>
      <c r="AD105" s="12">
        <v>68.648230900000001</v>
      </c>
      <c r="AE105" s="12">
        <v>67.974876199999997</v>
      </c>
      <c r="AF105" s="12">
        <v>5.4452885999999996</v>
      </c>
      <c r="AG105" s="22" t="s">
        <v>107</v>
      </c>
    </row>
    <row r="106" spans="1:33" s="11" customFormat="1" x14ac:dyDescent="0.3">
      <c r="A106" s="11" t="s">
        <v>113</v>
      </c>
      <c r="B106" s="12">
        <v>0.20197219999999999</v>
      </c>
      <c r="C106" s="12">
        <v>126.9766667</v>
      </c>
      <c r="D106" s="12">
        <v>7.2136222999999999</v>
      </c>
      <c r="E106" s="17">
        <v>3.75</v>
      </c>
      <c r="F106" s="12">
        <v>78.316666699999999</v>
      </c>
      <c r="G106" s="7" t="s">
        <v>107</v>
      </c>
      <c r="H106" s="7" t="s">
        <v>107</v>
      </c>
      <c r="I106" s="7" t="s">
        <v>107</v>
      </c>
      <c r="J106" s="12">
        <v>6.1</v>
      </c>
      <c r="K106" s="12">
        <v>13.5</v>
      </c>
      <c r="L106" s="12">
        <v>-0.4</v>
      </c>
      <c r="M106" s="12">
        <v>17.899999999999999</v>
      </c>
      <c r="N106" s="12">
        <v>31</v>
      </c>
      <c r="O106" s="12">
        <v>44.4</v>
      </c>
      <c r="P106" s="7">
        <v>4821.2</v>
      </c>
      <c r="Q106" s="7">
        <v>168.6</v>
      </c>
      <c r="R106" s="7">
        <v>3.4</v>
      </c>
      <c r="S106" s="12">
        <v>17.123560600000001</v>
      </c>
      <c r="T106" s="12">
        <v>9.5</v>
      </c>
      <c r="U106" s="12">
        <v>183.0143625</v>
      </c>
      <c r="V106" s="12">
        <v>3.1801667</v>
      </c>
      <c r="W106" s="12">
        <v>10.199999999999999</v>
      </c>
      <c r="X106" s="12">
        <v>6.3255077999999996</v>
      </c>
      <c r="Y106" s="12">
        <v>24.288486500000001</v>
      </c>
      <c r="Z106" s="12">
        <v>1.2758666000000001</v>
      </c>
      <c r="AA106" s="12">
        <v>55.139350800000003</v>
      </c>
      <c r="AB106" s="12">
        <v>20.2134553</v>
      </c>
      <c r="AC106" s="12">
        <v>21.350421799999999</v>
      </c>
      <c r="AD106" s="12">
        <v>65.629080299999998</v>
      </c>
      <c r="AE106" s="12">
        <v>65.853223999999997</v>
      </c>
      <c r="AF106" s="12">
        <v>11.726196699999999</v>
      </c>
      <c r="AG106" s="22" t="s">
        <v>107</v>
      </c>
    </row>
    <row r="107" spans="1:33" s="11" customFormat="1" x14ac:dyDescent="0.3">
      <c r="A107" s="11" t="s">
        <v>114</v>
      </c>
      <c r="B107" s="12">
        <v>-0.19771859999999999</v>
      </c>
      <c r="C107" s="12">
        <v>127.6866667</v>
      </c>
      <c r="D107" s="12">
        <v>5.6746392999999999</v>
      </c>
      <c r="E107" s="17">
        <v>4.25</v>
      </c>
      <c r="F107" s="12">
        <v>86.66</v>
      </c>
      <c r="G107" s="7" t="s">
        <v>107</v>
      </c>
      <c r="H107" s="7" t="s">
        <v>107</v>
      </c>
      <c r="I107" s="7" t="s">
        <v>107</v>
      </c>
      <c r="J107" s="12">
        <v>6.2</v>
      </c>
      <c r="K107" s="12">
        <v>8.8000000000000007</v>
      </c>
      <c r="L107" s="12">
        <v>0.2</v>
      </c>
      <c r="M107" s="12">
        <v>14.4</v>
      </c>
      <c r="N107" s="12">
        <v>27.2</v>
      </c>
      <c r="O107" s="12">
        <v>23.7</v>
      </c>
      <c r="P107" s="7">
        <v>4830.5</v>
      </c>
      <c r="Q107" s="7">
        <v>168.1</v>
      </c>
      <c r="R107" s="7">
        <v>3.4</v>
      </c>
      <c r="S107" s="12">
        <v>17.968260399999998</v>
      </c>
      <c r="T107" s="12">
        <v>9.5</v>
      </c>
      <c r="U107" s="12">
        <v>183.73266100000001</v>
      </c>
      <c r="V107" s="12">
        <v>3.4296000000000002</v>
      </c>
      <c r="W107" s="12">
        <v>12.3</v>
      </c>
      <c r="X107" s="12">
        <v>-7.7830759</v>
      </c>
      <c r="Y107" s="12">
        <v>2.8310572000000001</v>
      </c>
      <c r="Z107" s="12">
        <v>3.1021386</v>
      </c>
      <c r="AA107" s="12">
        <v>53.546627800000003</v>
      </c>
      <c r="AB107" s="12">
        <v>15.518444499999999</v>
      </c>
      <c r="AC107" s="12">
        <v>25.465261999999999</v>
      </c>
      <c r="AD107" s="12">
        <v>64.709020699999996</v>
      </c>
      <c r="AE107" s="12">
        <v>62.279733100000001</v>
      </c>
      <c r="AF107" s="12">
        <v>17.088377699999999</v>
      </c>
      <c r="AG107" s="22" t="s">
        <v>107</v>
      </c>
    </row>
    <row r="108" spans="1:33" s="11" customFormat="1" x14ac:dyDescent="0.3">
      <c r="A108" s="11" t="s">
        <v>115</v>
      </c>
      <c r="B108" s="7" t="s">
        <v>107</v>
      </c>
      <c r="C108" s="12">
        <v>127.9933333</v>
      </c>
      <c r="D108" s="12">
        <v>3.3871836000000002</v>
      </c>
      <c r="E108" s="17">
        <v>4.5</v>
      </c>
      <c r="F108" s="12">
        <v>83.723333299999993</v>
      </c>
      <c r="G108" s="7" t="s">
        <v>107</v>
      </c>
      <c r="H108" s="7" t="s">
        <v>107</v>
      </c>
      <c r="I108" s="7" t="s">
        <v>107</v>
      </c>
      <c r="J108" s="12">
        <v>4.6016710999999999</v>
      </c>
      <c r="K108" s="7" t="s">
        <v>107</v>
      </c>
      <c r="L108" s="7" t="s">
        <v>107</v>
      </c>
      <c r="M108" s="7" t="s">
        <v>107</v>
      </c>
      <c r="N108" s="7" t="s">
        <v>107</v>
      </c>
      <c r="O108" s="7" t="s">
        <v>107</v>
      </c>
      <c r="P108" s="7" t="s">
        <v>107</v>
      </c>
      <c r="Q108" s="7" t="s">
        <v>107</v>
      </c>
      <c r="R108" s="7" t="s">
        <v>107</v>
      </c>
      <c r="S108" s="7" t="s">
        <v>107</v>
      </c>
      <c r="T108" s="12">
        <v>9.5</v>
      </c>
      <c r="U108" s="12">
        <v>186.83057740000001</v>
      </c>
      <c r="V108" s="12">
        <v>3.4438</v>
      </c>
      <c r="W108" s="12">
        <v>6.5</v>
      </c>
      <c r="X108" s="7" t="s">
        <v>107</v>
      </c>
      <c r="Y108" s="7" t="s">
        <v>107</v>
      </c>
      <c r="Z108" s="7" t="s">
        <v>107</v>
      </c>
      <c r="AA108" s="7" t="s">
        <v>107</v>
      </c>
      <c r="AB108" s="7" t="s">
        <v>107</v>
      </c>
      <c r="AC108" s="7" t="s">
        <v>107</v>
      </c>
      <c r="AD108" s="7" t="s">
        <v>107</v>
      </c>
      <c r="AE108" s="7" t="s">
        <v>107</v>
      </c>
      <c r="AF108" s="12">
        <v>20.7734676</v>
      </c>
      <c r="AG108" s="22" t="s">
        <v>107</v>
      </c>
    </row>
  </sheetData>
  <pageMargins left="0.7" right="0.7" top="0.75" bottom="0.75" header="0.3" footer="0.3"/>
  <pageSetup paperSize="9" orientation="portrait" horizontalDpi="90" verticalDpi="9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B933A-6C60-4617-BC1F-B851EEE653E6}">
  <sheetPr codeName="Tabelle7">
    <tabColor rgb="FF00B0F0"/>
  </sheetPr>
  <dimension ref="A1:AG108"/>
  <sheetViews>
    <sheetView workbookViewId="0">
      <pane xSplit="1" ySplit="12" topLeftCell="P13" activePane="bottomRight" state="frozen"/>
      <selection activeCell="AI1" sqref="AI1:AN1048576"/>
      <selection pane="topRight" activeCell="AI1" sqref="AI1:AN1048576"/>
      <selection pane="bottomLeft" activeCell="AI1" sqref="AI1:AN1048576"/>
      <selection pane="bottomRight" activeCell="AG1" sqref="AG1"/>
    </sheetView>
  </sheetViews>
  <sheetFormatPr defaultColWidth="9.109375" defaultRowHeight="14.4" outlineLevelRow="1" x14ac:dyDescent="0.3"/>
  <cols>
    <col min="2" max="2" width="11.5546875" bestFit="1" customWidth="1"/>
    <col min="4" max="4" width="12.44140625" customWidth="1"/>
    <col min="7" max="7" width="12.44140625" bestFit="1" customWidth="1"/>
    <col min="8" max="8" width="12.33203125" customWidth="1"/>
    <col min="18" max="18" width="11.109375" bestFit="1" customWidth="1"/>
    <col min="19" max="19" width="12.44140625" bestFit="1" customWidth="1"/>
    <col min="24" max="24" width="12.5546875" bestFit="1" customWidth="1"/>
    <col min="25" max="25" width="12.6640625" bestFit="1" customWidth="1"/>
    <col min="27" max="27" width="13.6640625" customWidth="1"/>
  </cols>
  <sheetData>
    <row r="1" spans="1:33" s="8" customFormat="1" x14ac:dyDescent="0.3">
      <c r="A1" s="8" t="s">
        <v>0</v>
      </c>
      <c r="B1" s="8" t="s">
        <v>1</v>
      </c>
      <c r="C1" s="8" t="s">
        <v>2</v>
      </c>
      <c r="D1" s="8" t="s">
        <v>3</v>
      </c>
      <c r="E1" s="14" t="s">
        <v>4</v>
      </c>
      <c r="F1" s="8" t="s">
        <v>5</v>
      </c>
      <c r="G1" s="8" t="s">
        <v>6</v>
      </c>
      <c r="H1" s="8" t="s">
        <v>254</v>
      </c>
      <c r="I1" s="8" t="s">
        <v>7</v>
      </c>
      <c r="J1" s="8" t="s">
        <v>230</v>
      </c>
      <c r="K1" s="8" t="s">
        <v>231</v>
      </c>
      <c r="L1" s="8" t="s">
        <v>232</v>
      </c>
      <c r="M1" s="8" t="s">
        <v>233</v>
      </c>
      <c r="N1" s="8" t="s">
        <v>234</v>
      </c>
      <c r="O1" s="8" t="s">
        <v>235</v>
      </c>
      <c r="P1" s="8" t="s">
        <v>8</v>
      </c>
      <c r="Q1" s="8" t="s">
        <v>9</v>
      </c>
      <c r="R1" s="8" t="s">
        <v>10</v>
      </c>
      <c r="S1" s="8" t="s">
        <v>11</v>
      </c>
      <c r="T1" s="14" t="s">
        <v>12</v>
      </c>
      <c r="U1" s="8" t="s">
        <v>13</v>
      </c>
      <c r="V1" s="8" t="s">
        <v>14</v>
      </c>
      <c r="W1" s="8" t="s">
        <v>15</v>
      </c>
      <c r="X1" s="8" t="s">
        <v>16</v>
      </c>
      <c r="Y1" s="8" t="s">
        <v>17</v>
      </c>
      <c r="Z1" s="8" t="s">
        <v>18</v>
      </c>
      <c r="AA1" s="9" t="s">
        <v>248</v>
      </c>
      <c r="AB1" s="8" t="s">
        <v>236</v>
      </c>
      <c r="AC1" s="8" t="s">
        <v>237</v>
      </c>
      <c r="AD1" s="8" t="s">
        <v>238</v>
      </c>
      <c r="AE1" s="8" t="s">
        <v>239</v>
      </c>
      <c r="AF1" s="14" t="s">
        <v>255</v>
      </c>
      <c r="AG1" s="14" t="s">
        <v>1317</v>
      </c>
    </row>
    <row r="2" spans="1:33" s="10" customFormat="1" outlineLevel="1" x14ac:dyDescent="0.3">
      <c r="A2" s="16" t="s">
        <v>1292</v>
      </c>
      <c r="B2" s="26"/>
      <c r="C2" s="26"/>
      <c r="D2" s="26" t="s">
        <v>198</v>
      </c>
      <c r="E2" s="26"/>
      <c r="F2" s="26"/>
      <c r="G2" s="26" t="s">
        <v>493</v>
      </c>
      <c r="H2" s="26" t="s">
        <v>498</v>
      </c>
      <c r="I2" s="26"/>
      <c r="J2" s="26" t="s">
        <v>501</v>
      </c>
      <c r="K2" s="26" t="s">
        <v>503</v>
      </c>
      <c r="L2" s="26" t="s">
        <v>505</v>
      </c>
      <c r="M2" s="26" t="s">
        <v>507</v>
      </c>
      <c r="N2" s="26" t="s">
        <v>509</v>
      </c>
      <c r="O2" s="26" t="s">
        <v>511</v>
      </c>
      <c r="P2" s="26"/>
      <c r="Q2" s="26"/>
      <c r="R2" s="26"/>
      <c r="S2" s="26" t="s">
        <v>533</v>
      </c>
      <c r="T2" s="26"/>
      <c r="U2" s="26"/>
      <c r="V2" s="26"/>
      <c r="W2" s="26" t="s">
        <v>519</v>
      </c>
      <c r="X2" s="26" t="s">
        <v>521</v>
      </c>
      <c r="Y2" s="26" t="s">
        <v>523</v>
      </c>
      <c r="Z2" s="26"/>
      <c r="AA2" s="26" t="s">
        <v>526</v>
      </c>
      <c r="AB2" s="26"/>
      <c r="AC2" s="26"/>
      <c r="AD2" s="26"/>
      <c r="AE2" s="26"/>
      <c r="AF2" s="26" t="s">
        <v>882</v>
      </c>
      <c r="AG2" s="26"/>
    </row>
    <row r="3" spans="1:33" outlineLevel="1" x14ac:dyDescent="0.3">
      <c r="A3" s="16" t="s">
        <v>1293</v>
      </c>
      <c r="B3" s="27" t="s">
        <v>123</v>
      </c>
      <c r="C3" s="27" t="s">
        <v>195</v>
      </c>
      <c r="D3" s="27" t="s">
        <v>195</v>
      </c>
      <c r="E3" s="27" t="s">
        <v>186</v>
      </c>
      <c r="F3" s="27" t="s">
        <v>125</v>
      </c>
      <c r="G3" s="27" t="s">
        <v>495</v>
      </c>
      <c r="H3" s="27" t="s">
        <v>495</v>
      </c>
      <c r="I3" s="27" t="s">
        <v>495</v>
      </c>
      <c r="J3" s="27" t="s">
        <v>123</v>
      </c>
      <c r="K3" s="27" t="s">
        <v>125</v>
      </c>
      <c r="L3" s="27" t="s">
        <v>125</v>
      </c>
      <c r="M3" s="27" t="s">
        <v>125</v>
      </c>
      <c r="N3" s="27" t="s">
        <v>125</v>
      </c>
      <c r="O3" s="27" t="s">
        <v>125</v>
      </c>
      <c r="P3" s="27" t="s">
        <v>1267</v>
      </c>
      <c r="Q3" s="27" t="s">
        <v>1267</v>
      </c>
      <c r="R3" s="27" t="s">
        <v>1267</v>
      </c>
      <c r="S3" s="27" t="s">
        <v>1279</v>
      </c>
      <c r="T3" s="27" t="s">
        <v>516</v>
      </c>
      <c r="U3" s="27" t="s">
        <v>195</v>
      </c>
      <c r="V3" s="27" t="s">
        <v>284</v>
      </c>
      <c r="W3" s="27" t="s">
        <v>1283</v>
      </c>
      <c r="X3" s="27" t="s">
        <v>207</v>
      </c>
      <c r="Y3" s="27" t="s">
        <v>207</v>
      </c>
      <c r="Z3" s="27" t="s">
        <v>203</v>
      </c>
      <c r="AA3" s="27" t="s">
        <v>125</v>
      </c>
      <c r="AB3" s="27" t="s">
        <v>125</v>
      </c>
      <c r="AC3" s="27" t="s">
        <v>125</v>
      </c>
      <c r="AD3" s="27" t="s">
        <v>125</v>
      </c>
      <c r="AE3" s="27" t="s">
        <v>125</v>
      </c>
      <c r="AF3" s="27" t="s">
        <v>125</v>
      </c>
      <c r="AG3" s="27" t="s">
        <v>125</v>
      </c>
    </row>
    <row r="4" spans="1:33" outlineLevel="1" x14ac:dyDescent="0.3">
      <c r="A4" s="16" t="s">
        <v>1288</v>
      </c>
      <c r="B4" s="2">
        <v>144396</v>
      </c>
      <c r="C4" s="2">
        <v>77811</v>
      </c>
      <c r="D4" s="2">
        <v>77812</v>
      </c>
      <c r="E4" s="2">
        <v>144399</v>
      </c>
      <c r="F4" s="27">
        <v>101874</v>
      </c>
      <c r="G4" s="2">
        <v>32791</v>
      </c>
      <c r="H4" s="2">
        <v>32790</v>
      </c>
      <c r="I4" s="2">
        <v>89164</v>
      </c>
      <c r="J4" s="2">
        <v>88636</v>
      </c>
      <c r="K4" s="27">
        <v>90867</v>
      </c>
      <c r="L4" s="27">
        <v>90911</v>
      </c>
      <c r="M4" s="27">
        <v>90933</v>
      </c>
      <c r="N4" s="27">
        <v>90977</v>
      </c>
      <c r="O4" s="27">
        <v>90999</v>
      </c>
      <c r="P4" s="2">
        <v>32646</v>
      </c>
      <c r="Q4" s="2">
        <v>32672</v>
      </c>
      <c r="R4" s="2">
        <v>32692</v>
      </c>
      <c r="S4" s="2">
        <v>32778</v>
      </c>
      <c r="T4" s="2">
        <v>763</v>
      </c>
      <c r="U4" s="2">
        <v>576</v>
      </c>
      <c r="V4" s="2">
        <v>969</v>
      </c>
      <c r="W4" s="2">
        <v>32213</v>
      </c>
      <c r="X4" s="2">
        <v>87258</v>
      </c>
      <c r="Y4" s="2">
        <v>87295</v>
      </c>
      <c r="Z4" s="2">
        <v>88728</v>
      </c>
      <c r="AA4" s="27">
        <v>90339</v>
      </c>
      <c r="AB4" s="27">
        <v>90383</v>
      </c>
      <c r="AC4" s="27">
        <v>90405</v>
      </c>
      <c r="AD4" s="27">
        <v>90493</v>
      </c>
      <c r="AE4" s="27">
        <v>90515</v>
      </c>
      <c r="AF4" s="27">
        <v>89613</v>
      </c>
      <c r="AG4" s="27">
        <v>144764</v>
      </c>
    </row>
    <row r="5" spans="1:33" outlineLevel="1" x14ac:dyDescent="0.3">
      <c r="A5" t="s">
        <v>1291</v>
      </c>
      <c r="B5" s="27" t="s">
        <v>221</v>
      </c>
      <c r="C5" s="27" t="s">
        <v>194</v>
      </c>
      <c r="D5" s="27" t="s">
        <v>199</v>
      </c>
      <c r="E5" s="27" t="s">
        <v>253</v>
      </c>
      <c r="F5" s="27" t="s">
        <v>189</v>
      </c>
      <c r="G5" s="27" t="s">
        <v>494</v>
      </c>
      <c r="H5" s="27" t="s">
        <v>499</v>
      </c>
      <c r="I5" s="27" t="s">
        <v>500</v>
      </c>
      <c r="J5" s="27" t="s">
        <v>502</v>
      </c>
      <c r="K5" s="27" t="s">
        <v>504</v>
      </c>
      <c r="L5" s="27" t="s">
        <v>506</v>
      </c>
      <c r="M5" s="27" t="s">
        <v>508</v>
      </c>
      <c r="N5" s="27" t="s">
        <v>510</v>
      </c>
      <c r="O5" s="27" t="s">
        <v>512</v>
      </c>
      <c r="P5" s="27" t="s">
        <v>513</v>
      </c>
      <c r="Q5" s="27" t="s">
        <v>514</v>
      </c>
      <c r="R5" s="27" t="s">
        <v>515</v>
      </c>
      <c r="S5" s="27" t="s">
        <v>534</v>
      </c>
      <c r="T5" s="27" t="s">
        <v>1296</v>
      </c>
      <c r="U5" s="27" t="s">
        <v>517</v>
      </c>
      <c r="V5" s="27" t="s">
        <v>518</v>
      </c>
      <c r="W5" s="27" t="s">
        <v>520</v>
      </c>
      <c r="X5" s="27" t="s">
        <v>522</v>
      </c>
      <c r="Y5" s="27" t="s">
        <v>524</v>
      </c>
      <c r="Z5" s="27" t="s">
        <v>525</v>
      </c>
      <c r="AA5" s="27" t="s">
        <v>527</v>
      </c>
      <c r="AB5" s="27" t="s">
        <v>528</v>
      </c>
      <c r="AC5" s="27" t="s">
        <v>529</v>
      </c>
      <c r="AD5" s="27" t="s">
        <v>530</v>
      </c>
      <c r="AE5" s="27" t="s">
        <v>531</v>
      </c>
      <c r="AF5" s="27" t="s">
        <v>883</v>
      </c>
      <c r="AG5" s="27" t="s">
        <v>532</v>
      </c>
    </row>
    <row r="6" spans="1:33" outlineLevel="1" x14ac:dyDescent="0.3">
      <c r="A6" t="s">
        <v>1289</v>
      </c>
      <c r="B6" s="27" t="s">
        <v>222</v>
      </c>
      <c r="C6" s="27" t="s">
        <v>196</v>
      </c>
      <c r="D6" s="27" t="s">
        <v>196</v>
      </c>
      <c r="E6" s="27" t="s">
        <v>187</v>
      </c>
      <c r="F6" s="27" t="s">
        <v>190</v>
      </c>
      <c r="G6" s="27" t="s">
        <v>496</v>
      </c>
      <c r="H6" s="27" t="s">
        <v>496</v>
      </c>
      <c r="I6" s="27" t="s">
        <v>496</v>
      </c>
      <c r="J6" s="27" t="s">
        <v>496</v>
      </c>
      <c r="K6" s="27" t="s">
        <v>496</v>
      </c>
      <c r="L6" s="27" t="s">
        <v>496</v>
      </c>
      <c r="M6" s="27" t="s">
        <v>496</v>
      </c>
      <c r="N6" s="27" t="s">
        <v>496</v>
      </c>
      <c r="O6" s="27" t="s">
        <v>496</v>
      </c>
      <c r="P6" s="27" t="s">
        <v>496</v>
      </c>
      <c r="Q6" s="27" t="s">
        <v>496</v>
      </c>
      <c r="R6" s="27" t="s">
        <v>496</v>
      </c>
      <c r="S6" s="27" t="s">
        <v>496</v>
      </c>
      <c r="T6" s="27" t="s">
        <v>496</v>
      </c>
      <c r="U6" s="27" t="s">
        <v>496</v>
      </c>
      <c r="V6" s="27" t="s">
        <v>496</v>
      </c>
      <c r="W6" s="27" t="s">
        <v>496</v>
      </c>
      <c r="X6" s="27" t="s">
        <v>496</v>
      </c>
      <c r="Y6" s="27" t="s">
        <v>496</v>
      </c>
      <c r="Z6" s="27" t="s">
        <v>496</v>
      </c>
      <c r="AA6" s="27" t="s">
        <v>496</v>
      </c>
      <c r="AB6" s="27" t="s">
        <v>496</v>
      </c>
      <c r="AC6" s="27" t="s">
        <v>496</v>
      </c>
      <c r="AD6" s="27" t="s">
        <v>496</v>
      </c>
      <c r="AE6" s="27" t="s">
        <v>496</v>
      </c>
      <c r="AF6" s="27" t="s">
        <v>496</v>
      </c>
      <c r="AG6" s="27" t="s">
        <v>496</v>
      </c>
    </row>
    <row r="7" spans="1:33" outlineLevel="1" x14ac:dyDescent="0.3">
      <c r="A7" t="s">
        <v>1290</v>
      </c>
      <c r="B7" s="27" t="s">
        <v>223</v>
      </c>
      <c r="C7" s="27" t="s">
        <v>197</v>
      </c>
      <c r="D7" s="27" t="s">
        <v>197</v>
      </c>
      <c r="E7" s="27" t="s">
        <v>188</v>
      </c>
      <c r="F7" s="27" t="s">
        <v>191</v>
      </c>
      <c r="G7" s="27" t="s">
        <v>497</v>
      </c>
      <c r="H7" s="27" t="s">
        <v>497</v>
      </c>
      <c r="I7" s="27" t="s">
        <v>497</v>
      </c>
      <c r="J7" s="27" t="s">
        <v>497</v>
      </c>
      <c r="K7" s="27" t="s">
        <v>497</v>
      </c>
      <c r="L7" s="27" t="s">
        <v>497</v>
      </c>
      <c r="M7" s="27" t="s">
        <v>497</v>
      </c>
      <c r="N7" s="27" t="s">
        <v>497</v>
      </c>
      <c r="O7" s="27" t="s">
        <v>497</v>
      </c>
      <c r="P7" s="27" t="s">
        <v>497</v>
      </c>
      <c r="Q7" s="27" t="s">
        <v>497</v>
      </c>
      <c r="R7" s="27" t="s">
        <v>497</v>
      </c>
      <c r="S7" s="27" t="s">
        <v>497</v>
      </c>
      <c r="T7" s="27" t="s">
        <v>497</v>
      </c>
      <c r="U7" s="27" t="s">
        <v>497</v>
      </c>
      <c r="V7" s="27" t="s">
        <v>497</v>
      </c>
      <c r="W7" s="27" t="s">
        <v>497</v>
      </c>
      <c r="X7" s="27" t="s">
        <v>497</v>
      </c>
      <c r="Y7" s="27" t="s">
        <v>497</v>
      </c>
      <c r="Z7" s="27" t="s">
        <v>497</v>
      </c>
      <c r="AA7" s="27" t="s">
        <v>497</v>
      </c>
      <c r="AB7" s="27" t="s">
        <v>497</v>
      </c>
      <c r="AC7" s="27" t="s">
        <v>497</v>
      </c>
      <c r="AD7" s="27" t="s">
        <v>497</v>
      </c>
      <c r="AE7" s="27" t="s">
        <v>497</v>
      </c>
      <c r="AF7" s="27" t="s">
        <v>497</v>
      </c>
      <c r="AG7" s="27" t="s">
        <v>497</v>
      </c>
    </row>
    <row r="8" spans="1:33" outlineLevel="1" x14ac:dyDescent="0.3">
      <c r="A8" s="16" t="s">
        <v>489</v>
      </c>
      <c r="B8" s="27" t="s">
        <v>120</v>
      </c>
      <c r="C8" s="27" t="s">
        <v>163</v>
      </c>
      <c r="D8" s="27" t="s">
        <v>163</v>
      </c>
      <c r="E8" s="27" t="s">
        <v>159</v>
      </c>
      <c r="F8" s="27"/>
      <c r="G8" s="27" t="s">
        <v>290</v>
      </c>
      <c r="H8" s="27" t="s">
        <v>293</v>
      </c>
      <c r="I8" s="27" t="s">
        <v>278</v>
      </c>
      <c r="J8" s="27" t="s">
        <v>120</v>
      </c>
      <c r="K8" s="27" t="s">
        <v>126</v>
      </c>
      <c r="L8" s="27" t="s">
        <v>129</v>
      </c>
      <c r="M8" s="27" t="s">
        <v>132</v>
      </c>
      <c r="N8" s="27" t="s">
        <v>135</v>
      </c>
      <c r="O8" s="27" t="s">
        <v>138</v>
      </c>
      <c r="P8" s="27" t="s">
        <v>141</v>
      </c>
      <c r="Q8" s="27" t="s">
        <v>146</v>
      </c>
      <c r="R8" s="27" t="s">
        <v>149</v>
      </c>
      <c r="S8" s="27" t="s">
        <v>154</v>
      </c>
      <c r="T8" s="27" t="s">
        <v>159</v>
      </c>
      <c r="U8" s="27" t="s">
        <v>163</v>
      </c>
      <c r="V8" s="27" t="s">
        <v>168</v>
      </c>
      <c r="W8" s="27" t="s">
        <v>217</v>
      </c>
      <c r="X8" s="27" t="s">
        <v>208</v>
      </c>
      <c r="Y8" s="27" t="s">
        <v>213</v>
      </c>
      <c r="Z8" s="27" t="s">
        <v>204</v>
      </c>
      <c r="AA8" s="27" t="s">
        <v>126</v>
      </c>
      <c r="AB8" s="27" t="s">
        <v>129</v>
      </c>
      <c r="AC8" s="27" t="s">
        <v>132</v>
      </c>
      <c r="AD8" s="27" t="s">
        <v>135</v>
      </c>
      <c r="AE8" s="27" t="s">
        <v>138</v>
      </c>
      <c r="AF8" s="27" t="s">
        <v>351</v>
      </c>
      <c r="AG8" s="27" t="s">
        <v>402</v>
      </c>
    </row>
    <row r="9" spans="1:33" outlineLevel="1" x14ac:dyDescent="0.3">
      <c r="A9" s="16" t="s">
        <v>490</v>
      </c>
      <c r="B9" s="27" t="s">
        <v>121</v>
      </c>
      <c r="C9" s="27" t="s">
        <v>164</v>
      </c>
      <c r="D9" s="27" t="s">
        <v>164</v>
      </c>
      <c r="E9" s="27" t="s">
        <v>160</v>
      </c>
      <c r="F9" s="27"/>
      <c r="G9" s="27" t="s">
        <v>291</v>
      </c>
      <c r="H9" s="27" t="s">
        <v>294</v>
      </c>
      <c r="I9" s="27" t="s">
        <v>279</v>
      </c>
      <c r="J9" s="27" t="s">
        <v>121</v>
      </c>
      <c r="K9" s="27" t="s">
        <v>127</v>
      </c>
      <c r="L9" s="27" t="s">
        <v>130</v>
      </c>
      <c r="M9" s="27" t="s">
        <v>133</v>
      </c>
      <c r="N9" s="27" t="s">
        <v>136</v>
      </c>
      <c r="O9" s="27" t="s">
        <v>139</v>
      </c>
      <c r="P9" s="27" t="s">
        <v>142</v>
      </c>
      <c r="Q9" s="27" t="s">
        <v>147</v>
      </c>
      <c r="R9" s="27" t="s">
        <v>150</v>
      </c>
      <c r="S9" s="27" t="s">
        <v>155</v>
      </c>
      <c r="T9" s="27" t="s">
        <v>160</v>
      </c>
      <c r="U9" s="27" t="s">
        <v>164</v>
      </c>
      <c r="V9" s="27" t="s">
        <v>169</v>
      </c>
      <c r="W9" s="27" t="s">
        <v>218</v>
      </c>
      <c r="X9" s="27" t="s">
        <v>209</v>
      </c>
      <c r="Y9" s="27" t="s">
        <v>214</v>
      </c>
      <c r="Z9" s="27" t="s">
        <v>205</v>
      </c>
      <c r="AA9" s="27" t="s">
        <v>127</v>
      </c>
      <c r="AB9" s="27" t="s">
        <v>130</v>
      </c>
      <c r="AC9" s="27" t="s">
        <v>133</v>
      </c>
      <c r="AD9" s="27" t="s">
        <v>136</v>
      </c>
      <c r="AE9" s="27" t="s">
        <v>139</v>
      </c>
      <c r="AF9" s="27" t="s">
        <v>352</v>
      </c>
      <c r="AG9" s="28" t="s">
        <v>403</v>
      </c>
    </row>
    <row r="10" spans="1:33" outlineLevel="1" x14ac:dyDescent="0.3">
      <c r="A10" s="16" t="s">
        <v>491</v>
      </c>
      <c r="B10" s="27" t="s">
        <v>224</v>
      </c>
      <c r="C10" s="27" t="s">
        <v>165</v>
      </c>
      <c r="D10" s="27" t="s">
        <v>200</v>
      </c>
      <c r="E10" s="27" t="s">
        <v>226</v>
      </c>
      <c r="F10" s="27"/>
      <c r="G10" s="27" t="s">
        <v>175</v>
      </c>
      <c r="H10" s="27" t="s">
        <v>175</v>
      </c>
      <c r="I10" s="27" t="s">
        <v>184</v>
      </c>
      <c r="J10" s="27" t="s">
        <v>122</v>
      </c>
      <c r="K10" s="27" t="s">
        <v>122</v>
      </c>
      <c r="L10" s="27" t="s">
        <v>122</v>
      </c>
      <c r="M10" s="27" t="s">
        <v>122</v>
      </c>
      <c r="N10" s="27" t="s">
        <v>122</v>
      </c>
      <c r="O10" s="27" t="s">
        <v>122</v>
      </c>
      <c r="P10" s="27" t="s">
        <v>143</v>
      </c>
      <c r="Q10" s="27" t="s">
        <v>143</v>
      </c>
      <c r="R10" s="27" t="s">
        <v>151</v>
      </c>
      <c r="S10" s="27" t="s">
        <v>156</v>
      </c>
      <c r="T10" s="27" t="s">
        <v>447</v>
      </c>
      <c r="U10" s="27" t="s">
        <v>165</v>
      </c>
      <c r="V10" s="27" t="s">
        <v>170</v>
      </c>
      <c r="W10" s="27" t="s">
        <v>219</v>
      </c>
      <c r="X10" s="27" t="s">
        <v>210</v>
      </c>
      <c r="Y10" s="27" t="s">
        <v>210</v>
      </c>
      <c r="Z10" s="27" t="s">
        <v>184</v>
      </c>
      <c r="AA10" s="27" t="s">
        <v>184</v>
      </c>
      <c r="AB10" s="27" t="s">
        <v>184</v>
      </c>
      <c r="AC10" s="27" t="s">
        <v>184</v>
      </c>
      <c r="AD10" s="27" t="s">
        <v>184</v>
      </c>
      <c r="AE10" s="27" t="s">
        <v>184</v>
      </c>
      <c r="AF10" s="27" t="s">
        <v>156</v>
      </c>
      <c r="AG10" s="27" t="s">
        <v>184</v>
      </c>
    </row>
    <row r="11" spans="1:33" ht="15.6" customHeight="1" outlineLevel="1" x14ac:dyDescent="0.3">
      <c r="A11" s="16" t="s">
        <v>492</v>
      </c>
      <c r="B11" s="27" t="s">
        <v>225</v>
      </c>
      <c r="C11" s="27" t="s">
        <v>166</v>
      </c>
      <c r="D11" s="27" t="s">
        <v>201</v>
      </c>
      <c r="E11" s="27" t="s">
        <v>227</v>
      </c>
      <c r="F11" s="27"/>
      <c r="G11" s="27" t="s">
        <v>176</v>
      </c>
      <c r="H11" s="27" t="s">
        <v>176</v>
      </c>
      <c r="I11" s="27" t="s">
        <v>185</v>
      </c>
      <c r="J11" s="27" t="s">
        <v>118</v>
      </c>
      <c r="K11" s="27" t="s">
        <v>118</v>
      </c>
      <c r="L11" s="27" t="s">
        <v>118</v>
      </c>
      <c r="M11" s="27" t="s">
        <v>118</v>
      </c>
      <c r="N11" s="27" t="s">
        <v>118</v>
      </c>
      <c r="O11" s="27" t="s">
        <v>118</v>
      </c>
      <c r="P11" s="27" t="s">
        <v>144</v>
      </c>
      <c r="Q11" s="27" t="s">
        <v>144</v>
      </c>
      <c r="R11" s="27" t="s">
        <v>152</v>
      </c>
      <c r="S11" s="27" t="s">
        <v>157</v>
      </c>
      <c r="T11" s="27" t="s">
        <v>448</v>
      </c>
      <c r="U11" s="27" t="s">
        <v>166</v>
      </c>
      <c r="V11" s="27" t="s">
        <v>171</v>
      </c>
      <c r="W11" s="27" t="s">
        <v>220</v>
      </c>
      <c r="X11" s="27" t="s">
        <v>211</v>
      </c>
      <c r="Y11" s="27" t="s">
        <v>211</v>
      </c>
      <c r="Z11" s="27" t="s">
        <v>185</v>
      </c>
      <c r="AA11" s="27" t="s">
        <v>185</v>
      </c>
      <c r="AB11" s="27" t="s">
        <v>185</v>
      </c>
      <c r="AC11" s="27" t="s">
        <v>185</v>
      </c>
      <c r="AD11" s="27" t="s">
        <v>185</v>
      </c>
      <c r="AE11" s="27" t="s">
        <v>185</v>
      </c>
      <c r="AF11" s="27" t="s">
        <v>157</v>
      </c>
      <c r="AG11" s="27" t="s">
        <v>185</v>
      </c>
    </row>
    <row r="12" spans="1:33" outlineLevel="1" x14ac:dyDescent="0.3">
      <c r="B12" s="4" t="str">
        <f>INDEX({"31/01/2024 @ 15:41","macro_id=DBGlobal","label_id=144396","time=Q","year_from=2000","year_to=2023","direction=V","opt_font=true","fontsize=8","opt_color=true","col_desc=Calculation:10;Footnote 1:9;ID:8;Label:7;Reporter:6:s;Reporter:5:long;Indicator:4:s;Indicator:3:l;Unit:2:s;Unit:1:long;","numberformat=0.00","auto_tr=1999|2015","com=true","comp=4"},1,1)</f>
        <v>31/01/2024 @ 15:41</v>
      </c>
      <c r="C12" s="4" t="str">
        <f>INDEX({"31/01/2024 @ 15:41","macro_id=DBGlobal","label_id=77811","time=Q","year_from=2000","year_to=2023","direction=V","opt_font=true","fontsize=8","opt_color=true","col_desc=Calculation:10;Footnote 1:9;ID:8;Label:7;Reporter:6:s;Reporter:5:long;Indicator:4:s;Indicator:3:l;Unit:2:s;Unit:1:long;","numberformat=0.00","auto_tr=1999|2015","com=true","comp=4"},1,1)</f>
        <v>31/01/2024 @ 15:41</v>
      </c>
      <c r="D12" s="6" t="str">
        <f>INDEX({"31/01/2024 @ 15:41","macro_id=DBGlobal","label_id=77812","calc=SubScal(L_77812,100)","time=Q","year_from=2000","year_to=2023","direction=V","opt_font=true","fontsize=8","opt_color=true","col_desc=Calculation:10;Footnote 1:9;ID:8;Label:7;Reporter:6:s;Reporter:5:long;Indicator:4:s;Indicator:3:l;Unit:2:s;Unit:1:long;","numberformat=0.00","auto_tr=1999|2015","com=true","comp=4"},1,1)</f>
        <v>31/01/2024 @ 15:41</v>
      </c>
      <c r="E12" s="4" t="str">
        <f>INDEX({"31/01/2024 @ 15:41","macro_id=DBGlobal","label_id=144399","time=Q","year_from=2000","year_to=2023","direction=V","opt_font=true","fontsize=8","opt_color=true","col_desc=Calculation:10;Footnote 1:9;ID:8;Label:7;Reporter:6:s;Reporter:5:long;Indicator:4:s;Indicator:3:l;Unit:2:s;Unit:1:long;","numberformat=0.00","auto_tr=1999|2015","com=true","comp=4"},1,1)</f>
        <v>31/01/2024 @ 15:41</v>
      </c>
      <c r="F12" s="4" t="str">
        <f>INDEX({"31/01/2024 @ 15:41","macro_id=DBGlobal","label_id=101874","time=Q","year_from=2000","year_to=2023","direction=V","opt_font=true","fontsize=8","opt_color=true","col_desc=Calculation:10;Footnote 1:9;ID:8;Label:7;Reporter:6:s;Reporter:5:long;Indicator:4:s;Indicator:3:l;Unit:2:s;Unit:1:long;","numberformat=0.00","auto_tr=1999|2015","com=true","comp=4"},1,1)</f>
        <v>31/01/2024 @ 15:41</v>
      </c>
      <c r="G12" s="5" t="str">
        <f>INDEX({"31/01/2024 @ 15:41","macro_id=DBGlobal","label_id=32791","calc=SubScal(CPPY=100(L_32791),100)","time=Q","year_from=2000","year_to=2023","direction=V","opt_font=true","fontsize=8","opt_color=true","col_desc=Calculation:10;Footnote 1:9;ID:8;Label:7;Reporter:6:s;Reporter:5:long;Indicator:4:s;Indicator:3:l;Unit:2:s;Unit:1:long;","numberformat=0.00","auto_tr=1999|2015","com=true","comp=4"},1,1)</f>
        <v>31/01/2024 @ 15:41</v>
      </c>
      <c r="H12" s="5" t="str">
        <f>INDEX({"31/01/2024 @ 15:41","macro_id=DBGlobal","label_id=32790","calc=SubScal(CPPY=100(L_32790),100)","time=Q","year_from=2000","year_to=2023","direction=V","opt_font=true","fontsize=8","opt_color=true","col_desc=Calculation:10;Footnote 1:9;ID:8;Label:7;Reporter:6:s;Reporter:5:long;Indicator:4:s;Indicator:3:l;Unit:2:s;Unit:1:long;","numberformat=0.00","auto_tr=1999|2015","com=true","comp=4"},1,1)</f>
        <v>31/01/2024 @ 15:41</v>
      </c>
      <c r="I12" s="1" t="str">
        <f>INDEX({"31/01/2024 @ 15:41","macro_id=DBGlobal","label_id=89164","time=Q","year_from=2000","year_to=2023","direction=V","opt_font=true","fontsize=8","opt_color=true","col_desc=Calculation:10;Footnote 1:9;ID:8;Label:7;Reporter:6:s;Reporter:5:long;Indicator:4:s;Indicator:3:l;Unit:2:s;Unit:1:long;","numberformat=0.00","auto_tr=1999|2015","com=true","comp=4"},1,1)</f>
        <v>31/01/2024 @ 15:41</v>
      </c>
      <c r="J12" s="5" t="str">
        <f>INDEX({"31/01/2024 @ 15:41","macro_id=DBGlobal","label_id=88636","calc=SubScal(CPPY=100(L_88636),100)","time=Q","year_from=2000","year_to=2023","direction=V","opt_font=true","fontsize=8","opt_color=true","col_desc=Calculation:10;Footnote 1:9;ID:8;Label:7;Reporter:6:s;Reporter:5:long;Indicator:4:s;Indicator:3:l;Unit:2:s;Unit:1:long;","numberformat=0.00","auto_tr=1999|2015","com=true","comp=4"},1,1)</f>
        <v>31/01/2024 @ 15:41</v>
      </c>
      <c r="K12" s="5" t="str">
        <f>INDEX({"31/01/2024 @ 15:41","macro_id=DBGlobal","label_id=90867","calc=SubScal(CPPY=100(L_90867),100)","time=Q","year_from=2000","year_to=2023","direction=V","opt_font=true","fontsize=8","opt_color=true","col_desc=Calculation:10;Footnote 1:9;ID:8;Label:7;Reporter:6:s;Reporter:5:long;Indicator:4:s;Indicator:3:l;Unit:2:s;Unit:1:long;","numberformat=0.00","auto_tr=1999|2015","com=true","comp=4"},1,1)</f>
        <v>31/01/2024 @ 15:41</v>
      </c>
      <c r="L12" s="5" t="str">
        <f>INDEX({"31/01/2024 @ 15:41","macro_id=DBGlobal","label_id=90911","calc=SubScal(CPPY=100(L_90911),100)","time=Q","year_from=2000","year_to=2023","direction=V","opt_font=true","fontsize=8","opt_color=true","col_desc=Calculation:10;Footnote 1:9;ID:8;Label:7;Reporter:6:s;Reporter:5:long;Indicator:4:s;Indicator:3:l;Unit:2:s;Unit:1:long;","numberformat=0.00","auto_tr=1999|2015","com=true","comp=4"},1,1)</f>
        <v>31/01/2024 @ 15:41</v>
      </c>
      <c r="M12" s="5" t="str">
        <f>INDEX({"31/01/2024 @ 15:41","macro_id=DBGlobal","label_id=90933","calc=SubScal(CPPY=100(L_90933),100)","time=Q","year_from=2000","year_to=2023","direction=V","opt_font=true","fontsize=8","opt_color=true","col_desc=Calculation:10;Footnote 1:9;ID:8;Label:7;Reporter:6:s;Reporter:5:long;Indicator:4:s;Indicator:3:l;Unit:2:s;Unit:1:long;","numberformat=0.00","auto_tr=1999|2015","com=true","comp=4"},1,1)</f>
        <v>31/01/2024 @ 15:41</v>
      </c>
      <c r="N12" s="5" t="str">
        <f>INDEX({"31/01/2024 @ 15:41","macro_id=DBGlobal","label_id=90977","calc=SubScal(CPPY=100(L_90977),100)","time=Q","year_from=2000","year_to=2023","direction=V","opt_font=true","fontsize=8","opt_color=true","col_desc=Calculation:10;Footnote 1:9;ID:8;Label:7;Reporter:6:s;Reporter:5:long;Indicator:4:s;Indicator:3:l;Unit:2:s;Unit:1:long;","numberformat=0.00","auto_tr=1999|2015","com=true","comp=4"},1,1)</f>
        <v>31/01/2024 @ 15:41</v>
      </c>
      <c r="O12" s="5" t="str">
        <f>INDEX({"31/01/2024 @ 15:41","macro_id=DBGlobal","label_id=90999","calc=SubScal(CPPY=100(L_90999),100)","time=Q","year_from=2000","year_to=2023","direction=V","opt_font=true","fontsize=8","opt_color=true","col_desc=Calculation:10;Footnote 1:9;ID:8;Label:7;Reporter:6:s;Reporter:5:long;Indicator:4:s;Indicator:3:l;Unit:2:s;Unit:1:long;","numberformat=0.00","auto_tr=1999|2015","com=true","comp=4"},1,1)</f>
        <v>31/01/2024 @ 15:41</v>
      </c>
      <c r="P12" s="1" t="str">
        <f>INDEX({"31/01/2024 @ 15:41","macro_id=DBGlobal","label_id=32646","time=Q","year_from=2000","year_to=2023","direction=V","opt_font=true","fontsize=8","opt_color=true","col_desc=Calculation:10;Footnote 1:9;ID:8;Label:7;Reporter:6:s;Reporter:5:long;Indicator:4:s;Indicator:3:l;Unit:2:s;Unit:1:long;","numberformat=0.00","auto_tr=1999|2015","com=true","comp=4"},1,1)</f>
        <v>31/01/2024 @ 15:41</v>
      </c>
      <c r="Q12" s="1" t="str">
        <f>INDEX({"31/01/2024 @ 15:41","macro_id=DBGlobal","label_id=32672","time=Q","year_from=2000","year_to=2023","direction=V","opt_font=true","fontsize=8","opt_color=true","col_desc=Calculation:10;Footnote 1:9;ID:8;Label:7;Reporter:6:s;Reporter:5:long;Indicator:4:s;Indicator:3:l;Unit:2:s;Unit:1:long;","numberformat=0.00","auto_tr=1999|2015","com=true","comp=4"},1,1)</f>
        <v>31/01/2024 @ 15:41</v>
      </c>
      <c r="R12" s="1" t="str">
        <f>INDEX({"31/01/2024 @ 15:41","macro_id=DBGlobal","label_id=32692","time=Q","year_from=2000","year_to=2023","direction=V","opt_font=true","fontsize=8","opt_color=true","col_desc=Calculation:10;Footnote 1:9;ID:8;Label:7;Reporter:6:s;Reporter:5:long;Indicator:4:s;Indicator:3:l;Unit:2:s;Unit:1:long;","numberformat=0.00","auto_tr=1999|2015","com=true","comp=4"},1,1)</f>
        <v>31/01/2024 @ 15:41</v>
      </c>
      <c r="S12" s="5" t="str">
        <f>INDEX({"31/01/2024 @ 15:41","macro_id=DBGlobal","label_id=32778","calc=SubScal(L_32778,100)","time=Q","year_from=2000","year_to=2023","direction=V","opt_font=true","fontsize=8","opt_color=true","col_desc=Calculation:10;Footnote 1:9;ID:8;Label:7;Reporter:6:s;Reporter:5:long;Indicator:4:s;Indicator:3:l;Unit:2:s;Unit:1:long;","numberformat=0.00","auto_tr=1999|2015","com=true","comp=4"},1,1)</f>
        <v>31/01/2024 @ 15:41</v>
      </c>
      <c r="T12" s="1" t="str">
        <f>INDEX({"31/01/2024 @ 15:41","macro_id=DBGlobal","label_id=763","time=Q","year_from=2000","year_to=2023","direction=V","opt_font=true","fontsize=8","opt_color=true","col_desc=Calculation:10;Footnote 1:9;ID:8;Label:7;Reporter:6:s;Reporter:5:long;Indicator:4:s;Indicator:3:l;Unit:2:s;Unit:1:long;","numberformat=0.00","auto_tr=1999|2015","com=true","comp=4"},1,1)</f>
        <v>31/01/2024 @ 15:41</v>
      </c>
      <c r="U12" s="1" t="str">
        <f>INDEX({"31/01/2024 @ 15:41","macro_id=DBGlobal","label_id=576","time=Q","year_from=2000","year_to=2023","direction=V","opt_font=true","fontsize=8","opt_color=true","col_desc=Calculation:10;Footnote 1:9;ID:8;Label:7;Reporter:6:s;Reporter:5:long;Indicator:4:s;Indicator:3:l;Unit:2:s;Unit:1:long;","numberformat=0.00","auto_tr=1999|2015","com=true","comp=4"},1,1)</f>
        <v>31/01/2024 @ 15:41</v>
      </c>
      <c r="V12" s="1" t="str">
        <f>INDEX({"31/01/2024 @ 15:41","macro_id=DBGlobal","label_id=969","time=Q","year_from=2000","year_to=2023","direction=V","opt_font=true","fontsize=8","opt_color=true","col_desc=Calculation:10;Footnote 1:9;ID:8;Label:7;Reporter:6:s;Reporter:5:long;Indicator:4:s;Indicator:3:l;Unit:2:s;Unit:1:long;","numberformat=0.00","auto_tr=1999|2015","com=true","comp=4"},1,1)</f>
        <v>31/01/2024 @ 15:41</v>
      </c>
      <c r="W12" s="5" t="str">
        <f>INDEX({"31/01/2024 @ 15:41","macro_id=DBGlobal","label_id=32213","calc=SubScal(L_32213,100)","time=Q","year_from=2000","year_to=2023","direction=V","opt_font=true","fontsize=8","opt_color=true","col_desc=Calculation:10;Footnote 1:9;ID:8;Label:7;Reporter:6:s;Reporter:5:long;Indicator:4:s;Indicator:3:l;Unit:2:s;Unit:1:long;","numberformat=0.00","auto_tr=1999|2015","com=true","comp=4"},1,1)</f>
        <v>31/01/2024 @ 15:41</v>
      </c>
      <c r="X12" s="6" t="str">
        <f>INDEX({"31/01/2024 @ 15:41","macro_id=DBGlobal","label_id=87258","calc=SubScal(CPPY=100(AddNull(L_87258,L_87332)),100)","time=Q","year_from=2000","year_to=2023","direction=V","opt_font=true","fontsize=8","opt_color=true","col_desc=Calculation:10;Footnote 1:9;ID:8;Label:7;Reporter:6:s;Reporter:5:long;Indicator:4:s;Indicator:3:l;Unit:2:s;Unit:1:long;","numberformat=0.00","auto_tr=1999|2015","com=true","comp=4"},1,1)</f>
        <v>31/01/2024 @ 15:41</v>
      </c>
      <c r="Y12" s="6" t="str">
        <f>INDEX({"31/01/2024 @ 15:41","macro_id=DBGlobal","label_id=87295","calc=SubScal(CPPY=100(AddNull(L_87295,L_87369)),100)","time=Q","year_from=2000","year_to=2023","direction=V","opt_font=true","fontsize=8","opt_color=true","col_desc=Calculation:10;Footnote 1:9;ID:8;Label:7;Reporter:6:s;Reporter:5:long;Indicator:4:s;Indicator:3:l;Unit:2:s;Unit:1:long;","numberformat=0.00","auto_tr=1999|2015","com=true","comp=4"},1,1)</f>
        <v>31/01/2024 @ 15:41</v>
      </c>
      <c r="Z12" s="1" t="str">
        <f>INDEX({"31/01/2024 @ 15:41","macro_id=DBGlobal","label_id=88728","time=Q","year_from=2000","year_to=2023","direction=V","opt_font=true","fontsize=8","opt_color=true","col_desc=Calculation:10;Footnote 1:9;ID:8;Label:7;Reporter:6:s;Reporter:5:long;Indicator:4:s;Indicator:3:l;Unit:2:s;Unit:1:long;","numberformat=0.00","auto_tr=1999|2015","com=true","comp=4"},1,1)</f>
        <v>31/01/2024 @ 15:41</v>
      </c>
      <c r="AA12" s="5" t="str">
        <f>INDEX({"31/01/2024 @ 15:41","macro_id=DBGlobal","label_id=90339","calc=AddNull(L_90339,L_90361)","time=Q","year_from=2000","year_to=2023","direction=V","opt_font=true","fontsize=8","opt_color=true","col_desc=Calculation:10;Footnote 1:9;ID:8;Label:7;Reporter:6:s;Reporter:5:long;Indicator:4:s;Indicator:3:l;Unit:2:s;Unit:1:long;","numberformat=0.00","auto_tr=1999|2015","com=true","comp=4"},1,1)</f>
        <v>31/01/2024 @ 15:41</v>
      </c>
      <c r="AB12" s="1" t="str">
        <f>INDEX({"31/01/2024 @ 15:41","macro_id=DBGlobal","label_id=90383","time=Q","year_from=2000","year_to=2023","direction=V","opt_font=true","fontsize=8","opt_color=true","col_desc=Calculation:10;Footnote 1:9;ID:8;Label:7;Reporter:6:s;Reporter:5:long;Indicator:4:s;Indicator:3:l;Unit:2:s;Unit:1:long;","numberformat=0.00","auto_tr=1999|2015","com=true","comp=4"},1,1)</f>
        <v>31/01/2024 @ 15:41</v>
      </c>
      <c r="AC12" s="1" t="str">
        <f>INDEX({"31/01/2024 @ 15:41","macro_id=DBGlobal","label_id=90405","time=Q","year_from=2000","year_to=2023","direction=V","opt_font=true","fontsize=8","opt_color=true","col_desc=Calculation:10;Footnote 1:9;ID:8;Label:7;Reporter:6:s;Reporter:5:long;Indicator:4:s;Indicator:3:l;Unit:2:s;Unit:1:long;","numberformat=0.00","auto_tr=1999|2015","com=true","comp=4"},1,1)</f>
        <v>31/01/2024 @ 15:41</v>
      </c>
      <c r="AD12" s="1" t="str">
        <f>INDEX({"31/01/2024 @ 15:41","macro_id=DBGlobal","label_id=90493","time=Q","year_from=2000","year_to=2023","direction=V","opt_font=true","fontsize=8","opt_color=true","col_desc=Calculation:10;Footnote 1:9;ID:8;Label:7;Reporter:6:s;Reporter:5:long;Indicator:4:s;Indicator:3:l;Unit:2:s;Unit:1:long;","numberformat=0.00","auto_tr=1999|2015","com=true","comp=4"},1,1)</f>
        <v>31/01/2024 @ 15:41</v>
      </c>
      <c r="AE12" s="1" t="str">
        <f>INDEX({"31/01/2024 @ 15:41","macro_id=DBGlobal","label_id=90515","time=Q","year_from=2000","year_to=2023","direction=V","opt_font=true","fontsize=8","opt_color=true","col_desc=Calculation:10;Footnote 1:9;ID:8;Label:7;Reporter:6:s;Reporter:5:long;Indicator:4:s;Indicator:3:l;Unit:2:s;Unit:1:long;","numberformat=0.00","auto_tr=1999|2015","com=true","comp=4"},1,1)</f>
        <v>31/01/2024 @ 15:41</v>
      </c>
      <c r="AF12" s="5" t="str">
        <f>INDEX({"31/01/2024 @ 15:41","macro_id=DBGlobal","label_id=89613","calc=SubScal(L_89613,100)","time=Q","year_from=2000","year_to=2023","direction=V","opt_font=true","fontsize=8","opt_color=true","col_desc=Calculation:10;Footnote 1:9;ID:8;Label:7;Reporter:6:s;Reporter:5:long;Indicator:4:s;Indicator:3:l;Unit:2:s;Unit:1:long;","numberformat=0.00","auto_tr=1999|2015","com=true","comp=4"},1,1)</f>
        <v>31/01/2024 @ 15:41</v>
      </c>
      <c r="AG12" s="4" t="str">
        <f>INDEX({"31/01/2024 @ 15:41","macro_id=DBGlobal","label_id=144764","time=Q","year_from=2000","year_to=2023","direction=V","opt_font=true","fontsize=8","opt_color=true","col_desc=Calculation:10;Footnote 1:9;ID:8;Label:7;Reporter:6:s;Reporter:5:long;Indicator:4:s;Indicator:3:l;Unit:2:s;Unit:1:long;","numberformat=0.00","auto_tr=1999|2015","com=true","comp=4"},1,1)</f>
        <v>31/01/2024 @ 15:41</v>
      </c>
    </row>
    <row r="13" spans="1:33" s="11" customFormat="1" x14ac:dyDescent="0.3">
      <c r="A13" s="11" t="s">
        <v>19</v>
      </c>
      <c r="B13" s="12">
        <v>4.8214176000000002</v>
      </c>
      <c r="C13" s="12">
        <v>73.989999999999995</v>
      </c>
      <c r="D13" s="12">
        <v>1.7557532</v>
      </c>
      <c r="E13" s="12">
        <v>3.25</v>
      </c>
      <c r="F13" s="13">
        <v>26.926666699999998</v>
      </c>
      <c r="G13" s="12">
        <v>3.8304808000000001</v>
      </c>
      <c r="H13" s="12">
        <v>14.2560074</v>
      </c>
      <c r="I13" s="12">
        <v>-1.0835246999999999</v>
      </c>
      <c r="J13" s="12">
        <v>8.9817848999999992</v>
      </c>
      <c r="K13" s="12">
        <v>1.3145046</v>
      </c>
      <c r="L13" s="12">
        <v>-4.6394888999999999</v>
      </c>
      <c r="M13" s="12">
        <v>25.234071700000001</v>
      </c>
      <c r="N13" s="12">
        <v>-5.9254122000000002</v>
      </c>
      <c r="O13" s="12">
        <v>-8.9722390999999995</v>
      </c>
      <c r="P13" s="7">
        <v>564.6</v>
      </c>
      <c r="Q13" s="7">
        <v>96.7</v>
      </c>
      <c r="R13" s="7">
        <v>14.6</v>
      </c>
      <c r="S13" s="12">
        <v>10.944046500000001</v>
      </c>
      <c r="T13" s="12">
        <v>4.58</v>
      </c>
      <c r="U13" s="12">
        <v>57.236666700000001</v>
      </c>
      <c r="V13" s="12">
        <v>1</v>
      </c>
      <c r="W13" s="7" t="s">
        <v>107</v>
      </c>
      <c r="X13" s="7" t="s">
        <v>107</v>
      </c>
      <c r="Y13" s="7" t="s">
        <v>107</v>
      </c>
      <c r="Z13" s="12">
        <v>-3.4012628999999999</v>
      </c>
      <c r="AA13" s="12">
        <v>56.895809399999997</v>
      </c>
      <c r="AB13" s="12">
        <v>19.352755500000001</v>
      </c>
      <c r="AC13" s="12">
        <v>26.880023000000001</v>
      </c>
      <c r="AD13" s="12">
        <v>57.857347900000001</v>
      </c>
      <c r="AE13" s="12">
        <v>59.098737100000001</v>
      </c>
      <c r="AF13" s="7" t="s">
        <v>107</v>
      </c>
      <c r="AG13" s="12">
        <v>5.2401321999999997</v>
      </c>
    </row>
    <row r="14" spans="1:33" s="11" customFormat="1" hidden="1" outlineLevel="1" x14ac:dyDescent="0.3">
      <c r="A14" s="11" t="s">
        <v>20</v>
      </c>
      <c r="B14" s="12">
        <v>4.3154814000000004</v>
      </c>
      <c r="C14" s="12">
        <v>74.493333300000003</v>
      </c>
      <c r="D14" s="12">
        <v>1.6742492</v>
      </c>
      <c r="E14" s="12">
        <v>3.9166666999999999</v>
      </c>
      <c r="F14" s="13">
        <v>26.766666699999998</v>
      </c>
      <c r="G14" s="12">
        <v>3.7742631000000002</v>
      </c>
      <c r="H14" s="12">
        <v>9.3605546999999998</v>
      </c>
      <c r="I14" s="12">
        <v>-0.60863500000000004</v>
      </c>
      <c r="J14" s="12">
        <v>11.014750100000001</v>
      </c>
      <c r="K14" s="12">
        <v>8.9615060999999994</v>
      </c>
      <c r="L14" s="12">
        <v>-3.2873275</v>
      </c>
      <c r="M14" s="12">
        <v>17.408985300000001</v>
      </c>
      <c r="N14" s="12">
        <v>-2.5364490000000002</v>
      </c>
      <c r="O14" s="12">
        <v>-4.0937038000000001</v>
      </c>
      <c r="P14" s="7">
        <v>568.4</v>
      </c>
      <c r="Q14" s="7">
        <v>85.5</v>
      </c>
      <c r="R14" s="7">
        <v>13.1</v>
      </c>
      <c r="S14" s="12">
        <v>10.474306</v>
      </c>
      <c r="T14" s="12">
        <v>5.14</v>
      </c>
      <c r="U14" s="12">
        <v>57.696666700000002</v>
      </c>
      <c r="V14" s="12">
        <v>1</v>
      </c>
      <c r="W14" s="7" t="s">
        <v>107</v>
      </c>
      <c r="X14" s="7" t="s">
        <v>107</v>
      </c>
      <c r="Y14" s="7" t="s">
        <v>107</v>
      </c>
      <c r="Z14" s="12">
        <v>-4.0512268000000002</v>
      </c>
      <c r="AA14" s="12">
        <v>53.001965400000003</v>
      </c>
      <c r="AB14" s="12">
        <v>21.0676472</v>
      </c>
      <c r="AC14" s="12">
        <v>26.564382200000001</v>
      </c>
      <c r="AD14" s="12">
        <v>61.579915</v>
      </c>
      <c r="AE14" s="12">
        <v>62.518227400000001</v>
      </c>
      <c r="AF14" s="7" t="s">
        <v>107</v>
      </c>
      <c r="AG14" s="12">
        <v>5.3000843</v>
      </c>
    </row>
    <row r="15" spans="1:33" s="11" customFormat="1" hidden="1" outlineLevel="1" x14ac:dyDescent="0.3">
      <c r="A15" s="11" t="s">
        <v>21</v>
      </c>
      <c r="B15" s="12">
        <v>3.5071058000000002</v>
      </c>
      <c r="C15" s="12">
        <v>74.819999999999993</v>
      </c>
      <c r="D15" s="12">
        <v>1.9670194000000001</v>
      </c>
      <c r="E15" s="17">
        <v>4.3333332999999996</v>
      </c>
      <c r="F15" s="13">
        <v>30.673333299999999</v>
      </c>
      <c r="G15" s="12">
        <v>0.57052919999999996</v>
      </c>
      <c r="H15" s="12">
        <v>12.1941272</v>
      </c>
      <c r="I15" s="12">
        <v>2.5321387</v>
      </c>
      <c r="J15" s="12">
        <v>10.032545600000001</v>
      </c>
      <c r="K15" s="12">
        <v>13.255986200000001</v>
      </c>
      <c r="L15" s="12">
        <v>-2.7368076000000001</v>
      </c>
      <c r="M15" s="12">
        <v>18.481788699999999</v>
      </c>
      <c r="N15" s="12">
        <v>-5.5850735</v>
      </c>
      <c r="O15" s="12">
        <v>-0.13088</v>
      </c>
      <c r="P15" s="7">
        <v>584.70000000000005</v>
      </c>
      <c r="Q15" s="7">
        <v>85.9</v>
      </c>
      <c r="R15" s="7">
        <v>12.7</v>
      </c>
      <c r="S15" s="12">
        <v>10.161936300000001</v>
      </c>
      <c r="T15" s="12">
        <v>5.48</v>
      </c>
      <c r="U15" s="12">
        <v>58.496666699999999</v>
      </c>
      <c r="V15" s="12">
        <v>1</v>
      </c>
      <c r="W15" s="7" t="s">
        <v>107</v>
      </c>
      <c r="X15" s="7" t="s">
        <v>107</v>
      </c>
      <c r="Y15" s="7" t="s">
        <v>107</v>
      </c>
      <c r="Z15" s="12">
        <v>-2.8437865000000002</v>
      </c>
      <c r="AA15" s="12">
        <v>52.720425900000002</v>
      </c>
      <c r="AB15" s="12">
        <v>16.900402499999998</v>
      </c>
      <c r="AC15" s="12">
        <v>29.236462800000002</v>
      </c>
      <c r="AD15" s="12">
        <v>66.867939199999995</v>
      </c>
      <c r="AE15" s="12">
        <v>68.685884999999999</v>
      </c>
      <c r="AF15" s="7" t="s">
        <v>107</v>
      </c>
      <c r="AG15" s="12">
        <v>5.283881</v>
      </c>
    </row>
    <row r="16" spans="1:33" s="11" customFormat="1" hidden="1" outlineLevel="1" x14ac:dyDescent="0.3">
      <c r="A16" s="11" t="s">
        <v>22</v>
      </c>
      <c r="B16" s="12">
        <v>2.8994336000000001</v>
      </c>
      <c r="C16" s="12">
        <v>75.3</v>
      </c>
      <c r="D16" s="12">
        <v>2.2218200000000001</v>
      </c>
      <c r="E16" s="17">
        <v>4.75</v>
      </c>
      <c r="F16" s="13">
        <v>29.7233333</v>
      </c>
      <c r="G16" s="12">
        <v>5.2207486999999997</v>
      </c>
      <c r="H16" s="12">
        <v>14.389451599999999</v>
      </c>
      <c r="I16" s="12">
        <v>-1.6981814</v>
      </c>
      <c r="J16" s="12">
        <v>10.2032007</v>
      </c>
      <c r="K16" s="12">
        <v>5.3805138000000001</v>
      </c>
      <c r="L16" s="12">
        <v>-2.7327289000000001</v>
      </c>
      <c r="M16" s="12">
        <v>27.0039993</v>
      </c>
      <c r="N16" s="12">
        <v>-13.0649335</v>
      </c>
      <c r="O16" s="12">
        <v>-8.1735889000000004</v>
      </c>
      <c r="P16" s="7">
        <v>572.20000000000005</v>
      </c>
      <c r="Q16" s="7">
        <v>92.7</v>
      </c>
      <c r="R16" s="7">
        <v>13.9</v>
      </c>
      <c r="S16" s="12">
        <v>10.0020834</v>
      </c>
      <c r="T16" s="12">
        <v>5.78</v>
      </c>
      <c r="U16" s="12">
        <v>59.466666699999998</v>
      </c>
      <c r="V16" s="12">
        <v>1</v>
      </c>
      <c r="W16" s="7" t="s">
        <v>107</v>
      </c>
      <c r="X16" s="7" t="s">
        <v>107</v>
      </c>
      <c r="Y16" s="7" t="s">
        <v>107</v>
      </c>
      <c r="Z16" s="12">
        <v>-10.586535</v>
      </c>
      <c r="AA16" s="12">
        <v>55.178851000000002</v>
      </c>
      <c r="AB16" s="12">
        <v>20.7816452</v>
      </c>
      <c r="AC16" s="12">
        <v>30.9225581</v>
      </c>
      <c r="AD16" s="12">
        <v>59.972299200000002</v>
      </c>
      <c r="AE16" s="12">
        <v>68.396964999999994</v>
      </c>
      <c r="AF16" s="7" t="s">
        <v>107</v>
      </c>
      <c r="AG16" s="12">
        <v>5.1137468000000004</v>
      </c>
    </row>
    <row r="17" spans="1:33" s="11" customFormat="1" hidden="1" outlineLevel="1" x14ac:dyDescent="0.3">
      <c r="A17" s="11" t="s">
        <v>23</v>
      </c>
      <c r="B17" s="12">
        <v>3.0047543999999999</v>
      </c>
      <c r="C17" s="12">
        <v>75.393333299999995</v>
      </c>
      <c r="D17" s="12">
        <v>1.8966527</v>
      </c>
      <c r="E17" s="17">
        <v>4.75</v>
      </c>
      <c r="F17" s="13">
        <v>25.873333299999999</v>
      </c>
      <c r="G17" s="12">
        <v>5.5926216999999996</v>
      </c>
      <c r="H17" s="12">
        <v>7.8058645000000002</v>
      </c>
      <c r="I17" s="12">
        <v>-0.31772260000000002</v>
      </c>
      <c r="J17" s="12">
        <v>7.1121368</v>
      </c>
      <c r="K17" s="12">
        <v>5.4863581999999997</v>
      </c>
      <c r="L17" s="12">
        <v>1.0847024999999999</v>
      </c>
      <c r="M17" s="12">
        <v>25.455871599999998</v>
      </c>
      <c r="N17" s="12">
        <v>6.9375051000000001</v>
      </c>
      <c r="O17" s="12">
        <v>13.9483748</v>
      </c>
      <c r="P17" s="7">
        <v>564</v>
      </c>
      <c r="Q17" s="7">
        <v>92.6</v>
      </c>
      <c r="R17" s="7">
        <v>14.1</v>
      </c>
      <c r="S17" s="12">
        <v>13.263717700000001</v>
      </c>
      <c r="T17" s="12">
        <v>5.67</v>
      </c>
      <c r="U17" s="12">
        <v>60.533333300000002</v>
      </c>
      <c r="V17" s="12">
        <v>1</v>
      </c>
      <c r="W17" s="12">
        <v>10.037453299999999</v>
      </c>
      <c r="X17" s="7" t="s">
        <v>107</v>
      </c>
      <c r="Y17" s="7" t="s">
        <v>107</v>
      </c>
      <c r="Z17" s="12">
        <v>-6.0303743000000001</v>
      </c>
      <c r="AA17" s="12">
        <v>56.567325400000001</v>
      </c>
      <c r="AB17" s="12">
        <v>18.1546673</v>
      </c>
      <c r="AC17" s="12">
        <v>30.482302900000001</v>
      </c>
      <c r="AD17" s="12">
        <v>57.984368000000003</v>
      </c>
      <c r="AE17" s="12">
        <v>61.663595299999997</v>
      </c>
      <c r="AF17" s="12">
        <v>73.958944299999999</v>
      </c>
      <c r="AG17" s="12">
        <v>4.4295916999999996</v>
      </c>
    </row>
    <row r="18" spans="1:33" s="11" customFormat="1" hidden="1" outlineLevel="1" x14ac:dyDescent="0.3">
      <c r="A18" s="11" t="s">
        <v>24</v>
      </c>
      <c r="B18" s="12">
        <v>2.2522867999999998</v>
      </c>
      <c r="C18" s="12">
        <v>76.483333299999998</v>
      </c>
      <c r="D18" s="12">
        <v>2.6713800000000001</v>
      </c>
      <c r="E18" s="17">
        <v>4.5833332999999996</v>
      </c>
      <c r="F18" s="13">
        <v>27.273333300000001</v>
      </c>
      <c r="G18" s="12">
        <v>7.2739868000000003</v>
      </c>
      <c r="H18" s="12">
        <v>9.8450158999999999</v>
      </c>
      <c r="I18" s="12">
        <v>0.23966109999999999</v>
      </c>
      <c r="J18" s="12">
        <v>5.2008365999999997</v>
      </c>
      <c r="K18" s="12">
        <v>5.3659222</v>
      </c>
      <c r="L18" s="12">
        <v>-1.2843799</v>
      </c>
      <c r="M18" s="12">
        <v>19.528286300000001</v>
      </c>
      <c r="N18" s="12">
        <v>8.5997267999999991</v>
      </c>
      <c r="O18" s="12">
        <v>17.9745192</v>
      </c>
      <c r="P18" s="7">
        <v>576.1</v>
      </c>
      <c r="Q18" s="7">
        <v>81.5</v>
      </c>
      <c r="R18" s="7">
        <v>12.4</v>
      </c>
      <c r="S18" s="12">
        <v>14.629300600000001</v>
      </c>
      <c r="T18" s="12">
        <v>5.25</v>
      </c>
      <c r="U18" s="12">
        <v>61.486666700000001</v>
      </c>
      <c r="V18" s="12">
        <v>1</v>
      </c>
      <c r="W18" s="12">
        <v>6.4586357999999997</v>
      </c>
      <c r="X18" s="7" t="s">
        <v>107</v>
      </c>
      <c r="Y18" s="7" t="s">
        <v>107</v>
      </c>
      <c r="Z18" s="12">
        <v>-1.6051721999999999</v>
      </c>
      <c r="AA18" s="12">
        <v>52.535949199999997</v>
      </c>
      <c r="AB18" s="12">
        <v>19.6800803</v>
      </c>
      <c r="AC18" s="12">
        <v>28.5085275</v>
      </c>
      <c r="AD18" s="12">
        <v>62.757775100000003</v>
      </c>
      <c r="AE18" s="12">
        <v>66.391706600000006</v>
      </c>
      <c r="AF18" s="12">
        <v>73.556701000000004</v>
      </c>
      <c r="AG18" s="12">
        <v>4.4338853</v>
      </c>
    </row>
    <row r="19" spans="1:33" s="11" customFormat="1" hidden="1" outlineLevel="1" x14ac:dyDescent="0.3">
      <c r="A19" s="11" t="s">
        <v>25</v>
      </c>
      <c r="B19" s="12">
        <v>1.8991327</v>
      </c>
      <c r="C19" s="12">
        <v>76.516666700000002</v>
      </c>
      <c r="D19" s="12">
        <v>2.2676647000000001</v>
      </c>
      <c r="E19" s="17">
        <v>4.1666667000000004</v>
      </c>
      <c r="F19" s="13">
        <v>25.303333299999998</v>
      </c>
      <c r="G19" s="12">
        <v>13.654147099999999</v>
      </c>
      <c r="H19" s="12">
        <v>13.4496547</v>
      </c>
      <c r="I19" s="12">
        <v>2.4633631999999999</v>
      </c>
      <c r="J19" s="12">
        <v>6.5072016000000001</v>
      </c>
      <c r="K19" s="12">
        <v>7.5414123999999996</v>
      </c>
      <c r="L19" s="12">
        <v>3.4709351000000002</v>
      </c>
      <c r="M19" s="12">
        <v>12.0986151</v>
      </c>
      <c r="N19" s="12">
        <v>2.6174583999999999</v>
      </c>
      <c r="O19" s="12">
        <v>10.430157299999999</v>
      </c>
      <c r="P19" s="7">
        <v>588</v>
      </c>
      <c r="Q19" s="7">
        <v>79.599999999999994</v>
      </c>
      <c r="R19" s="7">
        <v>11.9</v>
      </c>
      <c r="S19" s="12">
        <v>12.9100983</v>
      </c>
      <c r="T19" s="12">
        <v>4.7</v>
      </c>
      <c r="U19" s="12">
        <v>61.9</v>
      </c>
      <c r="V19" s="12">
        <v>1</v>
      </c>
      <c r="W19" s="12">
        <v>7.6689445999999997</v>
      </c>
      <c r="X19" s="7" t="s">
        <v>107</v>
      </c>
      <c r="Y19" s="7" t="s">
        <v>107</v>
      </c>
      <c r="Z19" s="12">
        <v>-4.3964189999999999</v>
      </c>
      <c r="AA19" s="12">
        <v>53.772024899999998</v>
      </c>
      <c r="AB19" s="12">
        <v>16.074585200000001</v>
      </c>
      <c r="AC19" s="12">
        <v>30.141985500000001</v>
      </c>
      <c r="AD19" s="12">
        <v>64.167189399999998</v>
      </c>
      <c r="AE19" s="12">
        <v>67.018304200000003</v>
      </c>
      <c r="AF19" s="12">
        <v>65.794935699999996</v>
      </c>
      <c r="AG19" s="12">
        <v>4.5025833000000004</v>
      </c>
    </row>
    <row r="20" spans="1:33" s="11" customFormat="1" hidden="1" outlineLevel="1" x14ac:dyDescent="0.3">
      <c r="A20" s="11" t="s">
        <v>26</v>
      </c>
      <c r="B20" s="12">
        <v>1.4300580000000001</v>
      </c>
      <c r="C20" s="12">
        <v>76.746666700000006</v>
      </c>
      <c r="D20" s="12">
        <v>1.9212041</v>
      </c>
      <c r="E20" s="17">
        <v>3.4166666999999999</v>
      </c>
      <c r="F20" s="13">
        <v>19.350000000000001</v>
      </c>
      <c r="G20" s="12">
        <v>9.7000638000000006</v>
      </c>
      <c r="H20" s="12">
        <v>7.0163715</v>
      </c>
      <c r="I20" s="12">
        <v>-2.5194318</v>
      </c>
      <c r="J20" s="12">
        <v>5.3628996000000004</v>
      </c>
      <c r="K20" s="12">
        <v>8.1482454999999998</v>
      </c>
      <c r="L20" s="12">
        <v>6.5248786000000001</v>
      </c>
      <c r="M20" s="12">
        <v>4.1894852</v>
      </c>
      <c r="N20" s="12">
        <v>7.4484285999999997</v>
      </c>
      <c r="O20" s="12">
        <v>7.9660770999999997</v>
      </c>
      <c r="P20" s="7">
        <v>582.70000000000005</v>
      </c>
      <c r="Q20" s="7">
        <v>78.5</v>
      </c>
      <c r="R20" s="7">
        <v>11.9</v>
      </c>
      <c r="S20" s="12">
        <v>11.365789299999999</v>
      </c>
      <c r="T20" s="12">
        <v>3.72</v>
      </c>
      <c r="U20" s="12">
        <v>62.08</v>
      </c>
      <c r="V20" s="12">
        <v>1</v>
      </c>
      <c r="W20" s="12">
        <v>11.041230000000001</v>
      </c>
      <c r="X20" s="7" t="s">
        <v>107</v>
      </c>
      <c r="Y20" s="7" t="s">
        <v>107</v>
      </c>
      <c r="Z20" s="12">
        <v>-8.5660681000000007</v>
      </c>
      <c r="AA20" s="12">
        <v>56.376306599999999</v>
      </c>
      <c r="AB20" s="12">
        <v>20.418118499999999</v>
      </c>
      <c r="AC20" s="12">
        <v>29.327258100000002</v>
      </c>
      <c r="AD20" s="12">
        <v>59.812382700000001</v>
      </c>
      <c r="AE20" s="12">
        <v>65.344411699999995</v>
      </c>
      <c r="AF20" s="12">
        <v>111.98988799999999</v>
      </c>
      <c r="AG20" s="12">
        <v>4.7716506000000001</v>
      </c>
    </row>
    <row r="21" spans="1:33" s="11" customFormat="1" hidden="1" outlineLevel="1" x14ac:dyDescent="0.3">
      <c r="A21" s="11" t="s">
        <v>27</v>
      </c>
      <c r="B21" s="12">
        <v>7.1740499999999999E-2</v>
      </c>
      <c r="C21" s="12">
        <v>77.180000000000007</v>
      </c>
      <c r="D21" s="12">
        <v>2.3697940000000002</v>
      </c>
      <c r="E21" s="17">
        <v>3.25</v>
      </c>
      <c r="F21" s="13">
        <v>21.1333333</v>
      </c>
      <c r="G21" s="12">
        <v>13.8635941</v>
      </c>
      <c r="H21" s="12">
        <v>19.058337999999999</v>
      </c>
      <c r="I21" s="12">
        <v>1.2462470999999999</v>
      </c>
      <c r="J21" s="12">
        <v>3.6300721</v>
      </c>
      <c r="K21" s="12">
        <v>7.1057071000000001</v>
      </c>
      <c r="L21" s="12">
        <v>-1.3886696999999999</v>
      </c>
      <c r="M21" s="12">
        <v>14.505814000000001</v>
      </c>
      <c r="N21" s="12">
        <v>2.6731004999999999</v>
      </c>
      <c r="O21" s="12">
        <v>18.348854800000002</v>
      </c>
      <c r="P21" s="7">
        <v>575</v>
      </c>
      <c r="Q21" s="7">
        <v>72.599999999999994</v>
      </c>
      <c r="R21" s="7">
        <v>11.2</v>
      </c>
      <c r="S21" s="12">
        <v>12.229502999999999</v>
      </c>
      <c r="T21" s="12">
        <v>3.67</v>
      </c>
      <c r="U21" s="12">
        <v>63.186666700000004</v>
      </c>
      <c r="V21" s="12">
        <v>1</v>
      </c>
      <c r="W21" s="12">
        <v>1.0891762</v>
      </c>
      <c r="X21" s="7" t="s">
        <v>107</v>
      </c>
      <c r="Y21" s="7" t="s">
        <v>107</v>
      </c>
      <c r="Z21" s="12">
        <v>-12.388829100000001</v>
      </c>
      <c r="AA21" s="12">
        <v>56.086784100000003</v>
      </c>
      <c r="AB21" s="12">
        <v>17.685379300000001</v>
      </c>
      <c r="AC21" s="12">
        <v>31.722653399999999</v>
      </c>
      <c r="AD21" s="12">
        <v>56.194414500000001</v>
      </c>
      <c r="AE21" s="12">
        <v>64.651900499999996</v>
      </c>
      <c r="AF21" s="12">
        <v>109.0357384</v>
      </c>
      <c r="AG21" s="12">
        <v>4.2505049000000001</v>
      </c>
    </row>
    <row r="22" spans="1:33" s="11" customFormat="1" hidden="1" outlineLevel="1" x14ac:dyDescent="0.3">
      <c r="A22" s="11" t="s">
        <v>28</v>
      </c>
      <c r="B22" s="12">
        <v>1.2490021</v>
      </c>
      <c r="C22" s="12">
        <v>77.933333300000001</v>
      </c>
      <c r="D22" s="12">
        <v>1.8958379000000001</v>
      </c>
      <c r="E22" s="17">
        <v>3.25</v>
      </c>
      <c r="F22" s="13">
        <v>25.053333299999998</v>
      </c>
      <c r="G22" s="12">
        <v>13.6745237</v>
      </c>
      <c r="H22" s="12">
        <v>17.219817200000001</v>
      </c>
      <c r="I22" s="12">
        <v>1.3385554</v>
      </c>
      <c r="J22" s="12">
        <v>7.9520537999999998</v>
      </c>
      <c r="K22" s="12">
        <v>9.9186774999999994</v>
      </c>
      <c r="L22" s="12">
        <v>3.0490208999999999</v>
      </c>
      <c r="M22" s="12">
        <v>27.087070499999999</v>
      </c>
      <c r="N22" s="12">
        <v>3.5725517</v>
      </c>
      <c r="O22" s="12">
        <v>14.8438575</v>
      </c>
      <c r="P22" s="7">
        <v>581.20000000000005</v>
      </c>
      <c r="Q22" s="7">
        <v>60.6</v>
      </c>
      <c r="R22" s="7">
        <v>9.4</v>
      </c>
      <c r="S22" s="12">
        <v>10.1546732</v>
      </c>
      <c r="T22" s="12">
        <v>3.67</v>
      </c>
      <c r="U22" s="12">
        <v>64.05</v>
      </c>
      <c r="V22" s="12">
        <v>1</v>
      </c>
      <c r="W22" s="12">
        <v>11.520109</v>
      </c>
      <c r="X22" s="7" t="s">
        <v>107</v>
      </c>
      <c r="Y22" s="7" t="s">
        <v>107</v>
      </c>
      <c r="Z22" s="12">
        <v>-9.7714540999999997</v>
      </c>
      <c r="AA22" s="12">
        <v>53.527341300000003</v>
      </c>
      <c r="AB22" s="12">
        <v>18.7348173</v>
      </c>
      <c r="AC22" s="12">
        <v>32.749987599999997</v>
      </c>
      <c r="AD22" s="12">
        <v>60.7505825</v>
      </c>
      <c r="AE22" s="12">
        <v>67.413613600000005</v>
      </c>
      <c r="AF22" s="12">
        <v>101.09890110000001</v>
      </c>
      <c r="AG22" s="12">
        <v>5.2974714000000001</v>
      </c>
    </row>
    <row r="23" spans="1:33" s="11" customFormat="1" hidden="1" outlineLevel="1" x14ac:dyDescent="0.3">
      <c r="A23" s="11" t="s">
        <v>29</v>
      </c>
      <c r="B23" s="12">
        <v>1.6677649999999999</v>
      </c>
      <c r="C23" s="12">
        <v>77.973333299999993</v>
      </c>
      <c r="D23" s="12">
        <v>1.9037246000000001</v>
      </c>
      <c r="E23" s="17">
        <v>3.25</v>
      </c>
      <c r="F23" s="13">
        <v>26.93</v>
      </c>
      <c r="G23" s="12">
        <v>16.523235799999998</v>
      </c>
      <c r="H23" s="12">
        <v>16.549182999999999</v>
      </c>
      <c r="I23" s="12">
        <v>2.5567031</v>
      </c>
      <c r="J23" s="12">
        <v>8.3584882999999994</v>
      </c>
      <c r="K23" s="12">
        <v>14.079178499999999</v>
      </c>
      <c r="L23" s="12">
        <v>5.1131738000000002</v>
      </c>
      <c r="M23" s="12">
        <v>18.476785199999998</v>
      </c>
      <c r="N23" s="12">
        <v>1.3837520999999999</v>
      </c>
      <c r="O23" s="12">
        <v>10.1710297</v>
      </c>
      <c r="P23" s="7">
        <v>597.4</v>
      </c>
      <c r="Q23" s="7">
        <v>60.1</v>
      </c>
      <c r="R23" s="7">
        <v>9.1</v>
      </c>
      <c r="S23" s="12">
        <v>10.427735500000001</v>
      </c>
      <c r="T23" s="12">
        <v>3.67</v>
      </c>
      <c r="U23" s="12">
        <v>63.683333300000001</v>
      </c>
      <c r="V23" s="12">
        <v>1</v>
      </c>
      <c r="W23" s="12">
        <v>11.988716399999999</v>
      </c>
      <c r="X23" s="7" t="s">
        <v>107</v>
      </c>
      <c r="Y23" s="7" t="s">
        <v>107</v>
      </c>
      <c r="Z23" s="12">
        <v>-7.8068043999999999</v>
      </c>
      <c r="AA23" s="12">
        <v>56.161401300000001</v>
      </c>
      <c r="AB23" s="12">
        <v>15.8313082</v>
      </c>
      <c r="AC23" s="12">
        <v>31.925880899999999</v>
      </c>
      <c r="AD23" s="12">
        <v>58.8142973</v>
      </c>
      <c r="AE23" s="12">
        <v>64.616241400000007</v>
      </c>
      <c r="AF23" s="12">
        <v>89.6845268</v>
      </c>
      <c r="AG23" s="12">
        <v>5.4163576999999998</v>
      </c>
    </row>
    <row r="24" spans="1:33" s="11" customFormat="1" hidden="1" outlineLevel="1" x14ac:dyDescent="0.3">
      <c r="A24" s="11" t="s">
        <v>30</v>
      </c>
      <c r="B24" s="12">
        <v>1.208337</v>
      </c>
      <c r="C24" s="12">
        <v>78.4033333</v>
      </c>
      <c r="D24" s="12">
        <v>2.158617</v>
      </c>
      <c r="E24" s="17">
        <v>3.0833333000000001</v>
      </c>
      <c r="F24" s="13">
        <v>26.736666700000001</v>
      </c>
      <c r="G24" s="12">
        <v>18.179173899999999</v>
      </c>
      <c r="H24" s="12">
        <v>16.422104300000001</v>
      </c>
      <c r="I24" s="12">
        <v>-3.2347101999999999</v>
      </c>
      <c r="J24" s="12">
        <v>6.8628292000000002</v>
      </c>
      <c r="K24" s="12">
        <v>6.5621581999999998</v>
      </c>
      <c r="L24" s="12">
        <v>5.2008874</v>
      </c>
      <c r="M24" s="12">
        <v>34.1655716</v>
      </c>
      <c r="N24" s="12">
        <v>3.6271099000000002</v>
      </c>
      <c r="O24" s="12">
        <v>10.715005</v>
      </c>
      <c r="P24" s="7">
        <v>588.6</v>
      </c>
      <c r="Q24" s="7">
        <v>75.3</v>
      </c>
      <c r="R24" s="7">
        <v>11.3</v>
      </c>
      <c r="S24" s="12">
        <v>10.7601634</v>
      </c>
      <c r="T24" s="12">
        <v>3.42</v>
      </c>
      <c r="U24" s="12">
        <v>63.906666700000002</v>
      </c>
      <c r="V24" s="12">
        <v>1</v>
      </c>
      <c r="W24" s="12">
        <v>8.9993704999999995</v>
      </c>
      <c r="X24" s="7" t="s">
        <v>107</v>
      </c>
      <c r="Y24" s="7" t="s">
        <v>107</v>
      </c>
      <c r="Z24" s="12">
        <v>-12.3480703</v>
      </c>
      <c r="AA24" s="12">
        <v>56.021500099999997</v>
      </c>
      <c r="AB24" s="12">
        <v>20.294416699999999</v>
      </c>
      <c r="AC24" s="12">
        <v>35.1314706</v>
      </c>
      <c r="AD24" s="12">
        <v>55.905282999999997</v>
      </c>
      <c r="AE24" s="12">
        <v>64.674834099999998</v>
      </c>
      <c r="AF24" s="12">
        <v>41.516184000000003</v>
      </c>
      <c r="AG24" s="12">
        <v>5.6618003999999997</v>
      </c>
    </row>
    <row r="25" spans="1:33" s="11" customFormat="1" hidden="1" outlineLevel="1" x14ac:dyDescent="0.3">
      <c r="A25" s="11" t="s">
        <v>31</v>
      </c>
      <c r="B25" s="12">
        <v>1.0748135000000001</v>
      </c>
      <c r="C25" s="12">
        <v>78.856666700000005</v>
      </c>
      <c r="D25" s="12">
        <v>2.1724109</v>
      </c>
      <c r="E25" s="17">
        <v>2.6666666999999999</v>
      </c>
      <c r="F25" s="13">
        <v>31.52</v>
      </c>
      <c r="G25" s="12">
        <v>11.4248409</v>
      </c>
      <c r="H25" s="12">
        <v>15.613675799999999</v>
      </c>
      <c r="I25" s="12">
        <v>2.5417827000000002</v>
      </c>
      <c r="J25" s="12">
        <v>9.9889746000000006</v>
      </c>
      <c r="K25" s="12">
        <v>7.7432901999999997</v>
      </c>
      <c r="L25" s="12">
        <v>10.657705200000001</v>
      </c>
      <c r="M25" s="12">
        <v>32.863670999999997</v>
      </c>
      <c r="N25" s="12">
        <v>7.8478180000000002</v>
      </c>
      <c r="O25" s="12">
        <v>13.4198214</v>
      </c>
      <c r="P25" s="7">
        <v>576.79999999999995</v>
      </c>
      <c r="Q25" s="7">
        <v>68.7</v>
      </c>
      <c r="R25" s="7">
        <v>10.6</v>
      </c>
      <c r="S25" s="12">
        <v>10.6949983</v>
      </c>
      <c r="T25" s="12">
        <v>3.16</v>
      </c>
      <c r="U25" s="12">
        <v>64.643333299999995</v>
      </c>
      <c r="V25" s="12">
        <v>1</v>
      </c>
      <c r="W25" s="12">
        <v>14.6127945</v>
      </c>
      <c r="X25" s="7" t="s">
        <v>107</v>
      </c>
      <c r="Y25" s="7" t="s">
        <v>107</v>
      </c>
      <c r="Z25" s="12">
        <v>-12.8183446</v>
      </c>
      <c r="AA25" s="12">
        <v>54.342419399999997</v>
      </c>
      <c r="AB25" s="12">
        <v>17.722841200000001</v>
      </c>
      <c r="AC25" s="12">
        <v>37.738758500000003</v>
      </c>
      <c r="AD25" s="12">
        <v>52.681058499999999</v>
      </c>
      <c r="AE25" s="12">
        <v>63.564464800000003</v>
      </c>
      <c r="AF25" s="12">
        <v>42.016128999999999</v>
      </c>
      <c r="AG25" s="12">
        <v>5.0009148999999997</v>
      </c>
    </row>
    <row r="26" spans="1:33" s="11" customFormat="1" hidden="1" outlineLevel="1" x14ac:dyDescent="0.3">
      <c r="A26" s="11" t="s">
        <v>32</v>
      </c>
      <c r="B26" s="12">
        <v>0.33264589999999999</v>
      </c>
      <c r="C26" s="12">
        <v>79.37</v>
      </c>
      <c r="D26" s="12">
        <v>1.843456</v>
      </c>
      <c r="E26" s="17">
        <v>2.3333333000000001</v>
      </c>
      <c r="F26" s="13">
        <v>26.17</v>
      </c>
      <c r="G26" s="12">
        <v>10.6092885</v>
      </c>
      <c r="H26" s="12">
        <v>10.9834496</v>
      </c>
      <c r="I26" s="12">
        <v>1.4576347000000001</v>
      </c>
      <c r="J26" s="12">
        <v>5.8171970000000002</v>
      </c>
      <c r="K26" s="12">
        <v>11.073377799999999</v>
      </c>
      <c r="L26" s="12">
        <v>2.7164902</v>
      </c>
      <c r="M26" s="12">
        <v>9.6742670999999998</v>
      </c>
      <c r="N26" s="12">
        <v>9.0605452999999994</v>
      </c>
      <c r="O26" s="12">
        <v>9.2656924000000007</v>
      </c>
      <c r="P26" s="7">
        <v>589.1</v>
      </c>
      <c r="Q26" s="7">
        <v>70.7</v>
      </c>
      <c r="R26" s="7">
        <v>10.7</v>
      </c>
      <c r="S26" s="12">
        <v>8.8470571000000007</v>
      </c>
      <c r="T26" s="12">
        <v>2.72</v>
      </c>
      <c r="U26" s="12">
        <v>64.540000000000006</v>
      </c>
      <c r="V26" s="12">
        <v>1</v>
      </c>
      <c r="W26" s="12">
        <v>8.0684597</v>
      </c>
      <c r="X26" s="7" t="s">
        <v>107</v>
      </c>
      <c r="Y26" s="7" t="s">
        <v>107</v>
      </c>
      <c r="Z26" s="12">
        <v>-8.1377152000000006</v>
      </c>
      <c r="AA26" s="12">
        <v>54.397496099999998</v>
      </c>
      <c r="AB26" s="12">
        <v>18.9134809</v>
      </c>
      <c r="AC26" s="12">
        <v>32.832550900000001</v>
      </c>
      <c r="AD26" s="12">
        <v>57.733065099999997</v>
      </c>
      <c r="AE26" s="12">
        <v>64.882629100000003</v>
      </c>
      <c r="AF26" s="12">
        <v>45.266578099999997</v>
      </c>
      <c r="AG26" s="12">
        <v>5.2685146999999999</v>
      </c>
    </row>
    <row r="27" spans="1:33" s="11" customFormat="1" hidden="1" outlineLevel="1" x14ac:dyDescent="0.3">
      <c r="A27" s="11" t="s">
        <v>33</v>
      </c>
      <c r="B27" s="12">
        <v>0.71308099999999996</v>
      </c>
      <c r="C27" s="12">
        <v>79.47</v>
      </c>
      <c r="D27" s="12">
        <v>1.9194597</v>
      </c>
      <c r="E27" s="17">
        <v>2</v>
      </c>
      <c r="F27" s="13">
        <v>28.45</v>
      </c>
      <c r="G27" s="12">
        <v>3.0428359999999999</v>
      </c>
      <c r="H27" s="12">
        <v>16.536082499999999</v>
      </c>
      <c r="I27" s="12">
        <v>6.8241708000000001</v>
      </c>
      <c r="J27" s="12">
        <v>6.8195113999999997</v>
      </c>
      <c r="K27" s="12">
        <v>10.434679600000001</v>
      </c>
      <c r="L27" s="12">
        <v>-1.3323005000000001</v>
      </c>
      <c r="M27" s="12">
        <v>21.622550700000001</v>
      </c>
      <c r="N27" s="12">
        <v>10.5415435</v>
      </c>
      <c r="O27" s="12">
        <v>14.231402900000001</v>
      </c>
      <c r="P27" s="7">
        <v>608.6</v>
      </c>
      <c r="Q27" s="7">
        <v>63.7</v>
      </c>
      <c r="R27" s="7">
        <v>9.5</v>
      </c>
      <c r="S27" s="12">
        <v>9.8883077999999998</v>
      </c>
      <c r="T27" s="12">
        <v>2.57</v>
      </c>
      <c r="U27" s="12">
        <v>64.496666700000006</v>
      </c>
      <c r="V27" s="12">
        <v>1</v>
      </c>
      <c r="W27" s="12">
        <v>11.083123499999999</v>
      </c>
      <c r="X27" s="7" t="s">
        <v>107</v>
      </c>
      <c r="Y27" s="7" t="s">
        <v>107</v>
      </c>
      <c r="Z27" s="12">
        <v>-10.999545700000001</v>
      </c>
      <c r="AA27" s="12">
        <v>56.437982699999999</v>
      </c>
      <c r="AB27" s="12">
        <v>14.9613812</v>
      </c>
      <c r="AC27" s="12">
        <v>35.029532000000003</v>
      </c>
      <c r="AD27" s="12">
        <v>59.422989600000001</v>
      </c>
      <c r="AE27" s="12">
        <v>65.479327600000005</v>
      </c>
      <c r="AF27" s="12">
        <v>45.881731799999997</v>
      </c>
      <c r="AG27" s="12">
        <v>5.3782993000000001</v>
      </c>
    </row>
    <row r="28" spans="1:33" s="11" customFormat="1" hidden="1" outlineLevel="1" x14ac:dyDescent="0.3">
      <c r="A28" s="11" t="s">
        <v>34</v>
      </c>
      <c r="B28" s="12">
        <v>1.3127310999999999</v>
      </c>
      <c r="C28" s="12">
        <v>79.913333300000005</v>
      </c>
      <c r="D28" s="12">
        <v>1.9259385</v>
      </c>
      <c r="E28" s="17">
        <v>2</v>
      </c>
      <c r="F28" s="13">
        <v>29.39</v>
      </c>
      <c r="G28" s="12">
        <v>11.321683500000001</v>
      </c>
      <c r="H28" s="12">
        <v>10.981496399999999</v>
      </c>
      <c r="I28" s="12">
        <v>-3.3485738999999999</v>
      </c>
      <c r="J28" s="12">
        <v>8.0838082999999994</v>
      </c>
      <c r="K28" s="12">
        <v>9.3169117999999997</v>
      </c>
      <c r="L28" s="12">
        <v>3.7722587000000001</v>
      </c>
      <c r="M28" s="12">
        <v>10.685602400000001</v>
      </c>
      <c r="N28" s="12">
        <v>12.887783600000001</v>
      </c>
      <c r="O28" s="12">
        <v>19.077072300000001</v>
      </c>
      <c r="P28" s="7">
        <v>602.5</v>
      </c>
      <c r="Q28" s="7">
        <v>61.7</v>
      </c>
      <c r="R28" s="7">
        <v>9.3000000000000007</v>
      </c>
      <c r="S28" s="12">
        <v>9.4471550999999998</v>
      </c>
      <c r="T28" s="12">
        <v>2.57</v>
      </c>
      <c r="U28" s="12">
        <v>64.680000000000007</v>
      </c>
      <c r="V28" s="12">
        <v>1</v>
      </c>
      <c r="W28" s="12">
        <v>10.565819899999999</v>
      </c>
      <c r="X28" s="7" t="s">
        <v>107</v>
      </c>
      <c r="Y28" s="7" t="s">
        <v>107</v>
      </c>
      <c r="Z28" s="12">
        <v>-13.2201176</v>
      </c>
      <c r="AA28" s="12">
        <v>55.815371200000001</v>
      </c>
      <c r="AB28" s="12">
        <v>19.682124999999999</v>
      </c>
      <c r="AC28" s="12">
        <v>35.436533900000001</v>
      </c>
      <c r="AD28" s="12">
        <v>58.362725900000001</v>
      </c>
      <c r="AE28" s="12">
        <v>68.251687399999994</v>
      </c>
      <c r="AF28" s="12">
        <v>48.019742399999998</v>
      </c>
      <c r="AG28" s="12">
        <v>5.6001554999999996</v>
      </c>
    </row>
    <row r="29" spans="1:33" s="11" customFormat="1" hidden="1" outlineLevel="1" x14ac:dyDescent="0.3">
      <c r="A29" s="11" t="s">
        <v>35</v>
      </c>
      <c r="B29" s="12">
        <v>2.4350660999999998</v>
      </c>
      <c r="C29" s="12">
        <v>80.113333299999994</v>
      </c>
      <c r="D29" s="12">
        <v>1.5936086</v>
      </c>
      <c r="E29" s="17">
        <v>2</v>
      </c>
      <c r="F29" s="13">
        <v>31.923333299999999</v>
      </c>
      <c r="G29" s="12">
        <v>4.3503734999999999</v>
      </c>
      <c r="H29" s="12">
        <v>14.5952576</v>
      </c>
      <c r="I29" s="12">
        <v>5.5697628999999997</v>
      </c>
      <c r="J29" s="12">
        <v>10.273227199999999</v>
      </c>
      <c r="K29" s="12">
        <v>11.2735246</v>
      </c>
      <c r="L29" s="12">
        <v>-1.8799710999999999</v>
      </c>
      <c r="M29" s="12">
        <v>13.3371549</v>
      </c>
      <c r="N29" s="12">
        <v>-3.6729612</v>
      </c>
      <c r="O29" s="12">
        <v>0.48128009999999999</v>
      </c>
      <c r="P29" s="7">
        <v>589.29999999999995</v>
      </c>
      <c r="Q29" s="7">
        <v>66.3</v>
      </c>
      <c r="R29" s="7">
        <v>10.1</v>
      </c>
      <c r="S29" s="12">
        <v>6.5448550000000001</v>
      </c>
      <c r="T29" s="12">
        <v>2.57</v>
      </c>
      <c r="U29" s="12">
        <v>65.063333299999996</v>
      </c>
      <c r="V29" s="12">
        <v>1</v>
      </c>
      <c r="W29" s="12">
        <v>9.5182138999999992</v>
      </c>
      <c r="X29" s="7" t="s">
        <v>107</v>
      </c>
      <c r="Y29" s="7" t="s">
        <v>107</v>
      </c>
      <c r="Z29" s="12">
        <v>-9.2106974000000008</v>
      </c>
      <c r="AA29" s="12">
        <v>53.539074999999997</v>
      </c>
      <c r="AB29" s="12">
        <v>16.4362186</v>
      </c>
      <c r="AC29" s="12">
        <v>37.787698800000001</v>
      </c>
      <c r="AD29" s="12">
        <v>44.1680031</v>
      </c>
      <c r="AE29" s="12">
        <v>55.181829999999998</v>
      </c>
      <c r="AF29" s="12">
        <v>53.730834799999997</v>
      </c>
      <c r="AG29" s="12">
        <v>4.9163896999999999</v>
      </c>
    </row>
    <row r="30" spans="1:33" s="11" customFormat="1" hidden="1" outlineLevel="1" x14ac:dyDescent="0.3">
      <c r="A30" s="11" t="s">
        <v>36</v>
      </c>
      <c r="B30" s="12">
        <v>2.9592486</v>
      </c>
      <c r="C30" s="12">
        <v>81.069999999999993</v>
      </c>
      <c r="D30" s="12">
        <v>2.1418672000000001</v>
      </c>
      <c r="E30" s="17">
        <v>2</v>
      </c>
      <c r="F30" s="13">
        <v>35.446666700000002</v>
      </c>
      <c r="G30" s="12">
        <v>6.4586543000000001</v>
      </c>
      <c r="H30" s="12">
        <v>1.3803303</v>
      </c>
      <c r="I30" s="12">
        <v>-0.27124019999999999</v>
      </c>
      <c r="J30" s="12">
        <v>4.0667469000000001</v>
      </c>
      <c r="K30" s="12">
        <v>6.1257916999999997</v>
      </c>
      <c r="L30" s="12">
        <v>4.3456666999999998</v>
      </c>
      <c r="M30" s="12">
        <v>19.582219599999998</v>
      </c>
      <c r="N30" s="12">
        <v>13.012974</v>
      </c>
      <c r="O30" s="12">
        <v>24.074987700000001</v>
      </c>
      <c r="P30" s="7">
        <v>595.20000000000005</v>
      </c>
      <c r="Q30" s="7">
        <v>66.2</v>
      </c>
      <c r="R30" s="7">
        <v>10</v>
      </c>
      <c r="S30" s="12">
        <v>7.2713840999999997</v>
      </c>
      <c r="T30" s="12">
        <v>2.39</v>
      </c>
      <c r="U30" s="12">
        <v>66.606666700000005</v>
      </c>
      <c r="V30" s="12">
        <v>1</v>
      </c>
      <c r="W30" s="12">
        <v>10.6334842</v>
      </c>
      <c r="X30" s="7" t="s">
        <v>107</v>
      </c>
      <c r="Y30" s="7" t="s">
        <v>107</v>
      </c>
      <c r="Z30" s="12">
        <v>-14.7012185</v>
      </c>
      <c r="AA30" s="12">
        <v>56.0882991</v>
      </c>
      <c r="AB30" s="12">
        <v>18.577866799999999</v>
      </c>
      <c r="AC30" s="12">
        <v>37.677349399999997</v>
      </c>
      <c r="AD30" s="12">
        <v>62.948589599999998</v>
      </c>
      <c r="AE30" s="12">
        <v>75.842931100000001</v>
      </c>
      <c r="AF30" s="12">
        <v>52.267181800000003</v>
      </c>
      <c r="AG30" s="12">
        <v>5.0513934999999996</v>
      </c>
    </row>
    <row r="31" spans="1:33" s="11" customFormat="1" hidden="1" outlineLevel="1" x14ac:dyDescent="0.3">
      <c r="A31" s="11" t="s">
        <v>37</v>
      </c>
      <c r="B31" s="12">
        <v>2.4141233999999998</v>
      </c>
      <c r="C31" s="12">
        <v>81.156666700000002</v>
      </c>
      <c r="D31" s="12">
        <v>2.1223942</v>
      </c>
      <c r="E31" s="17">
        <v>2</v>
      </c>
      <c r="F31" s="13">
        <v>41.386666699999999</v>
      </c>
      <c r="G31" s="12">
        <v>10.020068800000001</v>
      </c>
      <c r="H31" s="12">
        <v>8.1387119999999999</v>
      </c>
      <c r="I31" s="12">
        <v>5.9777386000000003</v>
      </c>
      <c r="J31" s="12">
        <v>6.7857608999999997</v>
      </c>
      <c r="K31" s="12">
        <v>4.3060917999999999</v>
      </c>
      <c r="L31" s="12">
        <v>3.7839535</v>
      </c>
      <c r="M31" s="12">
        <v>2.6191822</v>
      </c>
      <c r="N31" s="12">
        <v>29.8776671</v>
      </c>
      <c r="O31" s="12">
        <v>18.6210339</v>
      </c>
      <c r="P31" s="7">
        <v>596.5</v>
      </c>
      <c r="Q31" s="7">
        <v>66</v>
      </c>
      <c r="R31" s="7">
        <v>10</v>
      </c>
      <c r="S31" s="12">
        <v>9.1667436999999996</v>
      </c>
      <c r="T31" s="12">
        <v>2.36</v>
      </c>
      <c r="U31" s="12">
        <v>67.013333299999999</v>
      </c>
      <c r="V31" s="12">
        <v>1</v>
      </c>
      <c r="W31" s="12">
        <v>11.224489800000001</v>
      </c>
      <c r="X31" s="7" t="s">
        <v>107</v>
      </c>
      <c r="Y31" s="7" t="s">
        <v>107</v>
      </c>
      <c r="Z31" s="12">
        <v>-2.1500640999999998</v>
      </c>
      <c r="AA31" s="12">
        <v>54.063901399999999</v>
      </c>
      <c r="AB31" s="12">
        <v>14.7741832</v>
      </c>
      <c r="AC31" s="12">
        <v>32.615310700000002</v>
      </c>
      <c r="AD31" s="12">
        <v>68.633888499999998</v>
      </c>
      <c r="AE31" s="12">
        <v>69.426649600000005</v>
      </c>
      <c r="AF31" s="12">
        <v>51.131017</v>
      </c>
      <c r="AG31" s="12">
        <v>5.1137816000000003</v>
      </c>
    </row>
    <row r="32" spans="1:33" s="11" customFormat="1" hidden="1" outlineLevel="1" x14ac:dyDescent="0.3">
      <c r="A32" s="11" t="s">
        <v>38</v>
      </c>
      <c r="B32" s="12">
        <v>2.308249</v>
      </c>
      <c r="C32" s="12">
        <v>81.663333300000005</v>
      </c>
      <c r="D32" s="12">
        <v>2.1898724000000001</v>
      </c>
      <c r="E32" s="17">
        <v>2</v>
      </c>
      <c r="F32" s="13">
        <v>44.163333299999998</v>
      </c>
      <c r="G32" s="12">
        <v>12.889675</v>
      </c>
      <c r="H32" s="12">
        <v>18.883653500000001</v>
      </c>
      <c r="I32" s="12">
        <v>-1.4438751999999999</v>
      </c>
      <c r="J32" s="12">
        <v>6.4715784999999997</v>
      </c>
      <c r="K32" s="12">
        <v>11.4020446</v>
      </c>
      <c r="L32" s="12">
        <v>3.1045383000000002</v>
      </c>
      <c r="M32" s="12">
        <v>-5.5481816000000004</v>
      </c>
      <c r="N32" s="12">
        <v>26.038109899999998</v>
      </c>
      <c r="O32" s="12">
        <v>19.234098899999999</v>
      </c>
      <c r="P32" s="7">
        <v>601</v>
      </c>
      <c r="Q32" s="7">
        <v>56</v>
      </c>
      <c r="R32" s="7">
        <v>8.5</v>
      </c>
      <c r="S32" s="12">
        <v>8.0989243000000002</v>
      </c>
      <c r="T32" s="12">
        <v>2.36</v>
      </c>
      <c r="U32" s="12">
        <v>67.526666700000007</v>
      </c>
      <c r="V32" s="12">
        <v>1</v>
      </c>
      <c r="W32" s="12">
        <v>10.1827676</v>
      </c>
      <c r="X32" s="7" t="s">
        <v>107</v>
      </c>
      <c r="Y32" s="7" t="s">
        <v>107</v>
      </c>
      <c r="Z32" s="12">
        <v>-16.449309100000001</v>
      </c>
      <c r="AA32" s="12">
        <v>57.809346400000003</v>
      </c>
      <c r="AB32" s="12">
        <v>19.612637800000002</v>
      </c>
      <c r="AC32" s="12">
        <v>31.020027899999999</v>
      </c>
      <c r="AD32" s="12">
        <v>67.159602500000005</v>
      </c>
      <c r="AE32" s="12">
        <v>74.208197499999997</v>
      </c>
      <c r="AF32" s="12">
        <v>52.301561499999998</v>
      </c>
      <c r="AG32" s="12">
        <v>5.1127589000000002</v>
      </c>
    </row>
    <row r="33" spans="1:33" s="11" customFormat="1" hidden="1" outlineLevel="1" x14ac:dyDescent="0.3">
      <c r="A33" s="11" t="s">
        <v>39</v>
      </c>
      <c r="B33" s="12">
        <v>1.1277817999999999</v>
      </c>
      <c r="C33" s="12">
        <v>81.773333300000004</v>
      </c>
      <c r="D33" s="12">
        <v>2.0720646</v>
      </c>
      <c r="E33" s="17">
        <v>2</v>
      </c>
      <c r="F33" s="13">
        <v>47.696666700000002</v>
      </c>
      <c r="G33" s="12">
        <v>15.3284672</v>
      </c>
      <c r="H33" s="12">
        <v>-4.2216673</v>
      </c>
      <c r="I33" s="12">
        <v>-0.63970939999999998</v>
      </c>
      <c r="J33" s="12">
        <v>4.4282263999999998</v>
      </c>
      <c r="K33" s="12">
        <v>7.3234811000000004</v>
      </c>
      <c r="L33" s="12">
        <v>3.0508475000000002</v>
      </c>
      <c r="M33" s="12">
        <v>-20.821040199999999</v>
      </c>
      <c r="N33" s="12">
        <v>42.646847600000001</v>
      </c>
      <c r="O33" s="12">
        <v>24.353072900000001</v>
      </c>
      <c r="P33" s="7">
        <v>594.5</v>
      </c>
      <c r="Q33" s="7">
        <v>62.2</v>
      </c>
      <c r="R33" s="7">
        <v>9.5</v>
      </c>
      <c r="S33" s="12">
        <v>10.0585684</v>
      </c>
      <c r="T33" s="12">
        <v>2.35</v>
      </c>
      <c r="U33" s="12">
        <v>68.006666699999997</v>
      </c>
      <c r="V33" s="12">
        <v>1</v>
      </c>
      <c r="W33" s="12">
        <v>9.2274679000000006</v>
      </c>
      <c r="X33" s="7" t="s">
        <v>107</v>
      </c>
      <c r="Y33" s="7" t="s">
        <v>107</v>
      </c>
      <c r="Z33" s="12">
        <v>-10.9856263</v>
      </c>
      <c r="AA33" s="12">
        <v>54.5806349</v>
      </c>
      <c r="AB33" s="12">
        <v>16.628494700000001</v>
      </c>
      <c r="AC33" s="12">
        <v>28.257779200000002</v>
      </c>
      <c r="AD33" s="12">
        <v>61.029063299999997</v>
      </c>
      <c r="AE33" s="12">
        <v>63.422050200000001</v>
      </c>
      <c r="AF33" s="12">
        <v>50.967789600000003</v>
      </c>
      <c r="AG33" s="12">
        <v>4.4175857000000001</v>
      </c>
    </row>
    <row r="34" spans="1:33" s="11" customFormat="1" hidden="1" outlineLevel="1" x14ac:dyDescent="0.3">
      <c r="A34" s="11" t="s">
        <v>40</v>
      </c>
      <c r="B34" s="12">
        <v>2.2042253999999999</v>
      </c>
      <c r="C34" s="12">
        <v>82.71</v>
      </c>
      <c r="D34" s="12">
        <v>2.0229431</v>
      </c>
      <c r="E34" s="17">
        <v>2</v>
      </c>
      <c r="F34" s="13">
        <v>51.626666700000001</v>
      </c>
      <c r="G34" s="12">
        <v>11.1566759</v>
      </c>
      <c r="H34" s="12">
        <v>27.400923899999999</v>
      </c>
      <c r="I34" s="12">
        <v>4.4363330000000003</v>
      </c>
      <c r="J34" s="12">
        <v>10.983227599999999</v>
      </c>
      <c r="K34" s="12">
        <v>9.0698632000000003</v>
      </c>
      <c r="L34" s="12">
        <v>-3.4626367999999998</v>
      </c>
      <c r="M34" s="12">
        <v>-1.8379004999999999</v>
      </c>
      <c r="N34" s="12">
        <v>17.673433200000002</v>
      </c>
      <c r="O34" s="12">
        <v>5.6991385000000001</v>
      </c>
      <c r="P34" s="7">
        <v>609.1</v>
      </c>
      <c r="Q34" s="7">
        <v>54</v>
      </c>
      <c r="R34" s="7">
        <v>8.1</v>
      </c>
      <c r="S34" s="12">
        <v>11.778472900000001</v>
      </c>
      <c r="T34" s="12">
        <v>2.2999999999999998</v>
      </c>
      <c r="U34" s="12">
        <v>68.98</v>
      </c>
      <c r="V34" s="12">
        <v>1</v>
      </c>
      <c r="W34" s="12">
        <v>11.912065500000001</v>
      </c>
      <c r="X34" s="7" t="s">
        <v>107</v>
      </c>
      <c r="Y34" s="7" t="s">
        <v>107</v>
      </c>
      <c r="Z34" s="12">
        <v>-8.7041976999999999</v>
      </c>
      <c r="AA34" s="12">
        <v>53.267583899999998</v>
      </c>
      <c r="AB34" s="12">
        <v>17.046890399999999</v>
      </c>
      <c r="AC34" s="12">
        <v>32.2090411</v>
      </c>
      <c r="AD34" s="12">
        <v>64.151340700000006</v>
      </c>
      <c r="AE34" s="12">
        <v>68.657868899999997</v>
      </c>
      <c r="AF34" s="12">
        <v>56.7269814</v>
      </c>
      <c r="AG34" s="12">
        <v>4.5727434000000002</v>
      </c>
    </row>
    <row r="35" spans="1:33" s="11" customFormat="1" hidden="1" outlineLevel="1" x14ac:dyDescent="0.3">
      <c r="A35" s="11" t="s">
        <v>41</v>
      </c>
      <c r="B35" s="12">
        <v>2.0830310000000001</v>
      </c>
      <c r="C35" s="12">
        <v>83.016666700000002</v>
      </c>
      <c r="D35" s="12">
        <v>2.2918634999999998</v>
      </c>
      <c r="E35" s="17">
        <v>2</v>
      </c>
      <c r="F35" s="13">
        <v>61.47</v>
      </c>
      <c r="G35" s="12">
        <v>16.8078176</v>
      </c>
      <c r="H35" s="12">
        <v>12.750872599999999</v>
      </c>
      <c r="I35" s="12">
        <v>4.7131569999999998</v>
      </c>
      <c r="J35" s="12">
        <v>10.7382714</v>
      </c>
      <c r="K35" s="12">
        <v>10.7552311</v>
      </c>
      <c r="L35" s="12">
        <v>6.2329803000000004</v>
      </c>
      <c r="M35" s="12">
        <v>28.2500918</v>
      </c>
      <c r="N35" s="12">
        <v>10.768421999999999</v>
      </c>
      <c r="O35" s="12">
        <v>18.700023399999999</v>
      </c>
      <c r="P35" s="7">
        <v>611.4</v>
      </c>
      <c r="Q35" s="7">
        <v>46</v>
      </c>
      <c r="R35" s="7">
        <v>7</v>
      </c>
      <c r="S35" s="12">
        <v>10.8905479</v>
      </c>
      <c r="T35" s="12">
        <v>2.2799999999999998</v>
      </c>
      <c r="U35" s="12">
        <v>69.913333300000005</v>
      </c>
      <c r="V35" s="12">
        <v>1</v>
      </c>
      <c r="W35" s="12">
        <v>11.264016399999999</v>
      </c>
      <c r="X35" s="7" t="s">
        <v>107</v>
      </c>
      <c r="Y35" s="7" t="s">
        <v>107</v>
      </c>
      <c r="Z35" s="12">
        <v>-8.6739952000000002</v>
      </c>
      <c r="AA35" s="12">
        <v>53.081415300000003</v>
      </c>
      <c r="AB35" s="12">
        <v>14.517348</v>
      </c>
      <c r="AC35" s="12">
        <v>37.406389599999997</v>
      </c>
      <c r="AD35" s="12">
        <v>66.691858499999995</v>
      </c>
      <c r="AE35" s="12">
        <v>71.865338399999999</v>
      </c>
      <c r="AF35" s="12">
        <v>63.946596399999997</v>
      </c>
      <c r="AG35" s="12">
        <v>4.6714801000000001</v>
      </c>
    </row>
    <row r="36" spans="1:33" s="11" customFormat="1" hidden="1" outlineLevel="1" x14ac:dyDescent="0.3">
      <c r="A36" s="11" t="s">
        <v>42</v>
      </c>
      <c r="B36" s="12">
        <v>2.0666498999999998</v>
      </c>
      <c r="C36" s="12">
        <v>83.51</v>
      </c>
      <c r="D36" s="12">
        <v>2.2613167999999999</v>
      </c>
      <c r="E36" s="17">
        <v>2.0833333000000001</v>
      </c>
      <c r="F36" s="13">
        <v>56.88</v>
      </c>
      <c r="G36" s="12">
        <v>16.039953000000001</v>
      </c>
      <c r="H36" s="12">
        <v>8.2520325000000003</v>
      </c>
      <c r="I36" s="12">
        <v>-3.9270963000000001</v>
      </c>
      <c r="J36" s="12">
        <v>11.5588523</v>
      </c>
      <c r="K36" s="12">
        <v>11.9159097</v>
      </c>
      <c r="L36" s="12">
        <v>6.3724952999999998</v>
      </c>
      <c r="M36" s="12">
        <v>26.428705300000001</v>
      </c>
      <c r="N36" s="12">
        <v>17.215765099999999</v>
      </c>
      <c r="O36" s="12">
        <v>20.252840200000001</v>
      </c>
      <c r="P36" s="7">
        <v>614.6</v>
      </c>
      <c r="Q36" s="7">
        <v>46.5</v>
      </c>
      <c r="R36" s="7">
        <v>7</v>
      </c>
      <c r="S36" s="12">
        <v>12.795919100000001</v>
      </c>
      <c r="T36" s="12">
        <v>2.4900000000000002</v>
      </c>
      <c r="U36" s="12">
        <v>70.27</v>
      </c>
      <c r="V36" s="12">
        <v>1</v>
      </c>
      <c r="W36" s="12">
        <v>11.516587700000001</v>
      </c>
      <c r="X36" s="7" t="s">
        <v>107</v>
      </c>
      <c r="Y36" s="7" t="s">
        <v>107</v>
      </c>
      <c r="Z36" s="12">
        <v>-11.0568413</v>
      </c>
      <c r="AA36" s="12">
        <v>56.4249656</v>
      </c>
      <c r="AB36" s="12">
        <v>19.0978824</v>
      </c>
      <c r="AC36" s="12">
        <v>34.799711500000001</v>
      </c>
      <c r="AD36" s="12">
        <v>69.0946043</v>
      </c>
      <c r="AE36" s="12">
        <v>76.811119099999999</v>
      </c>
      <c r="AF36" s="12">
        <v>69.995194100000006</v>
      </c>
      <c r="AG36" s="12">
        <v>4.6996906000000003</v>
      </c>
    </row>
    <row r="37" spans="1:33" s="11" customFormat="1" hidden="1" outlineLevel="1" x14ac:dyDescent="0.3">
      <c r="A37" s="11" t="s">
        <v>43</v>
      </c>
      <c r="B37" s="12">
        <v>3.8191847000000001</v>
      </c>
      <c r="C37" s="12">
        <v>83.573333300000002</v>
      </c>
      <c r="D37" s="12">
        <v>2.2012065999999999</v>
      </c>
      <c r="E37" s="17">
        <v>2.3333333000000001</v>
      </c>
      <c r="F37" s="13">
        <v>61.753333300000001</v>
      </c>
      <c r="G37" s="12">
        <v>15.603700099999999</v>
      </c>
      <c r="H37" s="12">
        <v>21.417929000000001</v>
      </c>
      <c r="I37" s="12">
        <v>0.92957089999999998</v>
      </c>
      <c r="J37" s="12">
        <v>10.6993633</v>
      </c>
      <c r="K37" s="12">
        <v>13.9126887</v>
      </c>
      <c r="L37" s="12">
        <v>7.5943936000000001</v>
      </c>
      <c r="M37" s="12">
        <v>46.321728899999997</v>
      </c>
      <c r="N37" s="12">
        <v>15.5650642</v>
      </c>
      <c r="O37" s="12">
        <v>27.792506599999999</v>
      </c>
      <c r="P37" s="7">
        <v>634.70000000000005</v>
      </c>
      <c r="Q37" s="7">
        <v>43.7</v>
      </c>
      <c r="R37" s="7">
        <v>6.4</v>
      </c>
      <c r="S37" s="12">
        <v>15.6790029</v>
      </c>
      <c r="T37" s="12">
        <v>2.77</v>
      </c>
      <c r="U37" s="12">
        <v>71</v>
      </c>
      <c r="V37" s="12">
        <v>1</v>
      </c>
      <c r="W37" s="12">
        <v>13.015717</v>
      </c>
      <c r="X37" s="7" t="s">
        <v>107</v>
      </c>
      <c r="Y37" s="7" t="s">
        <v>107</v>
      </c>
      <c r="Z37" s="12">
        <v>-15.3825796</v>
      </c>
      <c r="AA37" s="12">
        <v>54.629660299999998</v>
      </c>
      <c r="AB37" s="12">
        <v>15.968110100000001</v>
      </c>
      <c r="AC37" s="12">
        <v>37.576499400000003</v>
      </c>
      <c r="AD37" s="12">
        <v>60.087994999999999</v>
      </c>
      <c r="AE37" s="12">
        <v>70.154487399999994</v>
      </c>
      <c r="AF37" s="12">
        <v>74.132615599999994</v>
      </c>
      <c r="AG37" s="12">
        <v>3.8426106999999998</v>
      </c>
    </row>
    <row r="38" spans="1:33" s="11" customFormat="1" hidden="1" outlineLevel="1" x14ac:dyDescent="0.3">
      <c r="A38" s="11" t="s">
        <v>44</v>
      </c>
      <c r="B38" s="12">
        <v>2.9723983</v>
      </c>
      <c r="C38" s="12">
        <v>84.693333300000006</v>
      </c>
      <c r="D38" s="12">
        <v>2.3979365000000001</v>
      </c>
      <c r="E38" s="17">
        <v>2.5833333000000001</v>
      </c>
      <c r="F38" s="13">
        <v>69.533333299999995</v>
      </c>
      <c r="G38" s="12">
        <v>11.577691</v>
      </c>
      <c r="H38" s="12">
        <v>16.116412199999999</v>
      </c>
      <c r="I38" s="12">
        <v>5.6107573999999998</v>
      </c>
      <c r="J38" s="12">
        <v>9.0232227999999992</v>
      </c>
      <c r="K38" s="12">
        <v>13.706900600000001</v>
      </c>
      <c r="L38" s="12">
        <v>5.5096758000000001</v>
      </c>
      <c r="M38" s="12">
        <v>27.772623800000002</v>
      </c>
      <c r="N38" s="12">
        <v>14.0225265</v>
      </c>
      <c r="O38" s="12">
        <v>24.4221526</v>
      </c>
      <c r="P38" s="7">
        <v>650</v>
      </c>
      <c r="Q38" s="7">
        <v>42.8</v>
      </c>
      <c r="R38" s="7">
        <v>6.2</v>
      </c>
      <c r="S38" s="12">
        <v>14.956537900000001</v>
      </c>
      <c r="T38" s="12">
        <v>2.95</v>
      </c>
      <c r="U38" s="12">
        <v>72.0433333</v>
      </c>
      <c r="V38" s="12">
        <v>1</v>
      </c>
      <c r="W38" s="12">
        <v>10.644129599999999</v>
      </c>
      <c r="X38" s="7" t="s">
        <v>107</v>
      </c>
      <c r="Y38" s="7" t="s">
        <v>107</v>
      </c>
      <c r="Z38" s="12">
        <v>-13.5062771</v>
      </c>
      <c r="AA38" s="12">
        <v>53.796037400000003</v>
      </c>
      <c r="AB38" s="12">
        <v>16.409829200000001</v>
      </c>
      <c r="AC38" s="12">
        <v>37.356458600000003</v>
      </c>
      <c r="AD38" s="12">
        <v>65.993336099999993</v>
      </c>
      <c r="AE38" s="12">
        <v>74.748616600000005</v>
      </c>
      <c r="AF38" s="12">
        <v>72.521620600000006</v>
      </c>
      <c r="AG38" s="12">
        <v>3.6591027999999999</v>
      </c>
    </row>
    <row r="39" spans="1:33" s="11" customFormat="1" hidden="1" outlineLevel="1" x14ac:dyDescent="0.3">
      <c r="A39" s="11" t="s">
        <v>45</v>
      </c>
      <c r="B39" s="12">
        <v>3.3099788999999999</v>
      </c>
      <c r="C39" s="12">
        <v>84.873333299999999</v>
      </c>
      <c r="D39" s="12">
        <v>2.2364986</v>
      </c>
      <c r="E39" s="17">
        <v>2.9166666999999999</v>
      </c>
      <c r="F39" s="13">
        <v>69.62</v>
      </c>
      <c r="G39" s="12">
        <v>21.472392599999999</v>
      </c>
      <c r="H39" s="12">
        <v>28.605978499999999</v>
      </c>
      <c r="I39" s="12">
        <v>6.8668056999999996</v>
      </c>
      <c r="J39" s="12">
        <v>9.7918137000000005</v>
      </c>
      <c r="K39" s="12">
        <v>14.1438054</v>
      </c>
      <c r="L39" s="12">
        <v>5.5966961</v>
      </c>
      <c r="M39" s="12">
        <v>20.602763299999999</v>
      </c>
      <c r="N39" s="12">
        <v>8.3412434999999991</v>
      </c>
      <c r="O39" s="12">
        <v>17.9286165</v>
      </c>
      <c r="P39" s="7">
        <v>649.6</v>
      </c>
      <c r="Q39" s="7">
        <v>37</v>
      </c>
      <c r="R39" s="7">
        <v>5.4</v>
      </c>
      <c r="S39" s="12">
        <v>16.477535499999998</v>
      </c>
      <c r="T39" s="12">
        <v>3.33</v>
      </c>
      <c r="U39" s="12">
        <v>73.010000000000005</v>
      </c>
      <c r="V39" s="12">
        <v>1</v>
      </c>
      <c r="W39" s="12">
        <v>8.4287676999999999</v>
      </c>
      <c r="X39" s="7" t="s">
        <v>107</v>
      </c>
      <c r="Y39" s="7" t="s">
        <v>107</v>
      </c>
      <c r="Z39" s="12">
        <v>-13.7107601</v>
      </c>
      <c r="AA39" s="12">
        <v>53.332000399999998</v>
      </c>
      <c r="AB39" s="12">
        <v>13.556514</v>
      </c>
      <c r="AC39" s="12">
        <v>40.623839599999997</v>
      </c>
      <c r="AD39" s="12">
        <v>64.791910700000003</v>
      </c>
      <c r="AE39" s="12">
        <v>73.226884499999997</v>
      </c>
      <c r="AF39" s="12">
        <v>68.065293600000004</v>
      </c>
      <c r="AG39" s="12">
        <v>3.8698788999999998</v>
      </c>
    </row>
    <row r="40" spans="1:33" s="11" customFormat="1" hidden="1" outlineLevel="1" x14ac:dyDescent="0.3">
      <c r="A40" s="11" t="s">
        <v>46</v>
      </c>
      <c r="B40" s="12">
        <v>3.7478780999999999</v>
      </c>
      <c r="C40" s="12">
        <v>85.166666699999993</v>
      </c>
      <c r="D40" s="12">
        <v>1.9837944000000001</v>
      </c>
      <c r="E40" s="17">
        <v>3.3333333000000001</v>
      </c>
      <c r="F40" s="13">
        <v>59.68</v>
      </c>
      <c r="G40" s="12">
        <v>24.0421941</v>
      </c>
      <c r="H40" s="12">
        <v>31.8907247</v>
      </c>
      <c r="I40" s="12">
        <v>-1.7644823000000001</v>
      </c>
      <c r="J40" s="12">
        <v>9.6567105000000009</v>
      </c>
      <c r="K40" s="12">
        <v>10.400368200000001</v>
      </c>
      <c r="L40" s="12">
        <v>1.5645907999999999</v>
      </c>
      <c r="M40" s="12">
        <v>35.502037799999997</v>
      </c>
      <c r="N40" s="12">
        <v>2.1807202000000001</v>
      </c>
      <c r="O40" s="12">
        <v>15.009234299999999</v>
      </c>
      <c r="P40" s="7">
        <v>650.70000000000005</v>
      </c>
      <c r="Q40" s="7">
        <v>38.6</v>
      </c>
      <c r="R40" s="7">
        <v>5.6</v>
      </c>
      <c r="S40" s="12">
        <v>17.518380400000002</v>
      </c>
      <c r="T40" s="12">
        <v>3.76</v>
      </c>
      <c r="U40" s="12">
        <v>73.433333300000001</v>
      </c>
      <c r="V40" s="12">
        <v>1</v>
      </c>
      <c r="W40" s="12">
        <v>7.8623035000000003</v>
      </c>
      <c r="X40" s="7" t="s">
        <v>107</v>
      </c>
      <c r="Y40" s="7" t="s">
        <v>107</v>
      </c>
      <c r="Z40" s="12">
        <v>-17.7534068</v>
      </c>
      <c r="AA40" s="12">
        <v>54.812964800000003</v>
      </c>
      <c r="AB40" s="12">
        <v>17.365220699999998</v>
      </c>
      <c r="AC40" s="12">
        <v>43.191812800000001</v>
      </c>
      <c r="AD40" s="12">
        <v>61.938758900000003</v>
      </c>
      <c r="AE40" s="12">
        <v>74.909061300000005</v>
      </c>
      <c r="AF40" s="12">
        <v>63.150620400000001</v>
      </c>
      <c r="AG40" s="12">
        <v>4.6289676999999996</v>
      </c>
    </row>
    <row r="41" spans="1:33" s="11" customFormat="1" hidden="1" outlineLevel="1" x14ac:dyDescent="0.3">
      <c r="A41" s="11" t="s">
        <v>47</v>
      </c>
      <c r="B41" s="12">
        <v>3.5234725999999998</v>
      </c>
      <c r="C41" s="12">
        <v>85.39</v>
      </c>
      <c r="D41" s="12">
        <v>2.1737397000000001</v>
      </c>
      <c r="E41" s="17">
        <v>3.5833333000000001</v>
      </c>
      <c r="F41" s="13">
        <v>57.763333299999999</v>
      </c>
      <c r="G41" s="12">
        <v>22.383659699999999</v>
      </c>
      <c r="H41" s="12">
        <v>23.5300133</v>
      </c>
      <c r="I41" s="12">
        <v>1.2296739999999999</v>
      </c>
      <c r="J41" s="12">
        <v>9.5079756999999994</v>
      </c>
      <c r="K41" s="12">
        <v>13.8207378</v>
      </c>
      <c r="L41" s="12">
        <v>5.0245913</v>
      </c>
      <c r="M41" s="12">
        <v>20.445285200000001</v>
      </c>
      <c r="N41" s="12">
        <v>15.459337</v>
      </c>
      <c r="O41" s="12">
        <v>22.284417000000001</v>
      </c>
      <c r="P41" s="7">
        <v>647</v>
      </c>
      <c r="Q41" s="7">
        <v>36.299999999999997</v>
      </c>
      <c r="R41" s="7">
        <v>5.3</v>
      </c>
      <c r="S41" s="12">
        <v>20.144476600000001</v>
      </c>
      <c r="T41" s="12">
        <v>4</v>
      </c>
      <c r="U41" s="12">
        <v>74.606666700000005</v>
      </c>
      <c r="V41" s="12">
        <v>1</v>
      </c>
      <c r="W41" s="12">
        <v>6.2581486000000002</v>
      </c>
      <c r="X41" s="7" t="s">
        <v>107</v>
      </c>
      <c r="Y41" s="7" t="s">
        <v>107</v>
      </c>
      <c r="Z41" s="12">
        <v>-20.386700099999999</v>
      </c>
      <c r="AA41" s="12">
        <v>54.636895600000003</v>
      </c>
      <c r="AB41" s="12">
        <v>15.384407899999999</v>
      </c>
      <c r="AC41" s="12">
        <v>40.719467100000003</v>
      </c>
      <c r="AD41" s="12">
        <v>60.434700499999998</v>
      </c>
      <c r="AE41" s="12">
        <v>72.556157799999994</v>
      </c>
      <c r="AF41" s="12">
        <v>59.237297699999999</v>
      </c>
      <c r="AG41" s="12">
        <v>3.6759281000000001</v>
      </c>
    </row>
    <row r="42" spans="1:33" s="11" customFormat="1" hidden="1" outlineLevel="1" x14ac:dyDescent="0.3">
      <c r="A42" s="11" t="s">
        <v>48</v>
      </c>
      <c r="B42" s="12">
        <v>3.1678283999999999</v>
      </c>
      <c r="C42" s="12">
        <v>86.5</v>
      </c>
      <c r="D42" s="12">
        <v>2.1331864</v>
      </c>
      <c r="E42" s="17">
        <v>3.8333333000000001</v>
      </c>
      <c r="F42" s="13">
        <v>68.583333300000007</v>
      </c>
      <c r="G42" s="12">
        <v>31.022075300000001</v>
      </c>
      <c r="H42" s="12">
        <v>22.705234600000001</v>
      </c>
      <c r="I42" s="12">
        <v>3.5426378999999999</v>
      </c>
      <c r="J42" s="12">
        <v>9.2784552999999992</v>
      </c>
      <c r="K42" s="12">
        <v>9.7855395000000005</v>
      </c>
      <c r="L42" s="12">
        <v>4.5794392999999998</v>
      </c>
      <c r="M42" s="12">
        <v>20.937293700000001</v>
      </c>
      <c r="N42" s="12">
        <v>15.162309</v>
      </c>
      <c r="O42" s="12">
        <v>18.378796000000001</v>
      </c>
      <c r="P42" s="7">
        <v>658.6</v>
      </c>
      <c r="Q42" s="7">
        <v>35</v>
      </c>
      <c r="R42" s="7">
        <v>5</v>
      </c>
      <c r="S42" s="12">
        <v>21.1660708</v>
      </c>
      <c r="T42" s="12">
        <v>4.71</v>
      </c>
      <c r="U42" s="12">
        <v>76.256666699999997</v>
      </c>
      <c r="V42" s="12">
        <v>1</v>
      </c>
      <c r="W42" s="12">
        <v>9.5788604999999993</v>
      </c>
      <c r="X42" s="7" t="s">
        <v>107</v>
      </c>
      <c r="Y42" s="7" t="s">
        <v>107</v>
      </c>
      <c r="Z42" s="12">
        <v>-14.010295299999999</v>
      </c>
      <c r="AA42" s="12">
        <v>52.046911399999999</v>
      </c>
      <c r="AB42" s="12">
        <v>15.9625097</v>
      </c>
      <c r="AC42" s="12">
        <v>40.889665899999997</v>
      </c>
      <c r="AD42" s="12">
        <v>65.520590499999997</v>
      </c>
      <c r="AE42" s="12">
        <v>75.075271999999998</v>
      </c>
      <c r="AF42" s="12">
        <v>53.467009099999999</v>
      </c>
      <c r="AG42" s="12">
        <v>3.1448727000000001</v>
      </c>
    </row>
    <row r="43" spans="1:33" s="11" customFormat="1" hidden="1" outlineLevel="1" x14ac:dyDescent="0.3">
      <c r="A43" s="11" t="s">
        <v>49</v>
      </c>
      <c r="B43" s="12">
        <v>3.1476855000000001</v>
      </c>
      <c r="C43" s="12">
        <v>86.6</v>
      </c>
      <c r="D43" s="12">
        <v>2.0344042999999998</v>
      </c>
      <c r="E43" s="17">
        <v>4</v>
      </c>
      <c r="F43" s="13">
        <v>74.953333299999997</v>
      </c>
      <c r="G43" s="12">
        <v>23.2323232</v>
      </c>
      <c r="H43" s="12">
        <v>20.422747099999999</v>
      </c>
      <c r="I43" s="12">
        <v>6.1726628999999997</v>
      </c>
      <c r="J43" s="12">
        <v>6.7130001999999998</v>
      </c>
      <c r="K43" s="12">
        <v>5.4412362999999999</v>
      </c>
      <c r="L43" s="12">
        <v>6.6891436000000004</v>
      </c>
      <c r="M43" s="12">
        <v>11.1058349</v>
      </c>
      <c r="N43" s="12">
        <v>8.9876976000000006</v>
      </c>
      <c r="O43" s="12">
        <v>10.616335400000001</v>
      </c>
      <c r="P43" s="7">
        <v>662.1</v>
      </c>
      <c r="Q43" s="7">
        <v>28.7</v>
      </c>
      <c r="R43" s="7">
        <v>4.2</v>
      </c>
      <c r="S43" s="12">
        <v>20.183955999999998</v>
      </c>
      <c r="T43" s="12">
        <v>4.92</v>
      </c>
      <c r="U43" s="12">
        <v>77.923333299999996</v>
      </c>
      <c r="V43" s="12">
        <v>1</v>
      </c>
      <c r="W43" s="12">
        <v>6.3371355999999999</v>
      </c>
      <c r="X43" s="7" t="s">
        <v>107</v>
      </c>
      <c r="Y43" s="7" t="s">
        <v>107</v>
      </c>
      <c r="Z43" s="12">
        <v>-14.8296498</v>
      </c>
      <c r="AA43" s="12">
        <v>50.294447300000002</v>
      </c>
      <c r="AB43" s="12">
        <v>13.9904156</v>
      </c>
      <c r="AC43" s="12">
        <v>41.623155199999999</v>
      </c>
      <c r="AD43" s="12">
        <v>62.782824300000001</v>
      </c>
      <c r="AE43" s="12">
        <v>69.947309399999995</v>
      </c>
      <c r="AF43" s="12">
        <v>43.912826199999998</v>
      </c>
      <c r="AG43" s="12">
        <v>3.3040064</v>
      </c>
    </row>
    <row r="44" spans="1:33" s="11" customFormat="1" hidden="1" outlineLevel="1" x14ac:dyDescent="0.3">
      <c r="A44" s="11" t="s">
        <v>50</v>
      </c>
      <c r="B44" s="12">
        <v>2.7223932</v>
      </c>
      <c r="C44" s="12">
        <v>87.72</v>
      </c>
      <c r="D44" s="12">
        <v>2.998043</v>
      </c>
      <c r="E44" s="17">
        <v>4</v>
      </c>
      <c r="F44" s="13">
        <v>88.56</v>
      </c>
      <c r="G44" s="12">
        <v>14.409143500000001</v>
      </c>
      <c r="H44" s="12">
        <v>19.631290499999999</v>
      </c>
      <c r="I44" s="12">
        <v>-2.2829499999999999E-2</v>
      </c>
      <c r="J44" s="12">
        <v>5.1777229</v>
      </c>
      <c r="K44" s="12">
        <v>5.3696615999999997</v>
      </c>
      <c r="L44" s="12">
        <v>7.7835207999999998</v>
      </c>
      <c r="M44" s="12">
        <v>-2.5155856999999999</v>
      </c>
      <c r="N44" s="12">
        <v>11.3312174</v>
      </c>
      <c r="O44" s="12">
        <v>2.8688777999999999</v>
      </c>
      <c r="P44" s="7">
        <v>653.79999999999995</v>
      </c>
      <c r="Q44" s="7">
        <v>28.1</v>
      </c>
      <c r="R44" s="7">
        <v>4.0999999999999996</v>
      </c>
      <c r="S44" s="12">
        <v>20.149862800000001</v>
      </c>
      <c r="T44" s="12">
        <v>7.03</v>
      </c>
      <c r="U44" s="12">
        <v>80.226666699999996</v>
      </c>
      <c r="V44" s="12">
        <v>1</v>
      </c>
      <c r="W44" s="12">
        <v>3.5460992999999998</v>
      </c>
      <c r="X44" s="7" t="s">
        <v>107</v>
      </c>
      <c r="Y44" s="7" t="s">
        <v>107</v>
      </c>
      <c r="Z44" s="12">
        <v>-13.8803278</v>
      </c>
      <c r="AA44" s="12">
        <v>52.875373799999998</v>
      </c>
      <c r="AB44" s="12">
        <v>18.1060658</v>
      </c>
      <c r="AC44" s="12">
        <v>37.029427200000001</v>
      </c>
      <c r="AD44" s="12">
        <v>61.509485699999999</v>
      </c>
      <c r="AE44" s="12">
        <v>68.314955600000005</v>
      </c>
      <c r="AF44" s="12">
        <v>33.960992699999998</v>
      </c>
      <c r="AG44" s="12">
        <v>3.7649455000000001</v>
      </c>
    </row>
    <row r="45" spans="1:33" s="11" customFormat="1" hidden="1" outlineLevel="1" x14ac:dyDescent="0.3">
      <c r="A45" s="11" t="s">
        <v>51</v>
      </c>
      <c r="B45" s="12">
        <v>1.9060995000000001</v>
      </c>
      <c r="C45" s="12">
        <v>88.42</v>
      </c>
      <c r="D45" s="12">
        <v>3.5484249000000001</v>
      </c>
      <c r="E45" s="17">
        <v>4</v>
      </c>
      <c r="F45" s="13">
        <v>96.936666700000004</v>
      </c>
      <c r="G45" s="12">
        <v>22.771851300000002</v>
      </c>
      <c r="H45" s="12">
        <v>6.7549669000000003</v>
      </c>
      <c r="I45" s="12">
        <v>-3.5260026999999998</v>
      </c>
      <c r="J45" s="12">
        <v>-4.4971481999999998</v>
      </c>
      <c r="K45" s="12">
        <v>-0.27140779999999998</v>
      </c>
      <c r="L45" s="12">
        <v>3.5185420000000001</v>
      </c>
      <c r="M45" s="12">
        <v>-14.256373099999999</v>
      </c>
      <c r="N45" s="12">
        <v>4.9083226</v>
      </c>
      <c r="O45" s="12">
        <v>-1.6037132000000001</v>
      </c>
      <c r="P45" s="7">
        <v>656.5</v>
      </c>
      <c r="Q45" s="7">
        <v>28.7</v>
      </c>
      <c r="R45" s="7">
        <v>4.2</v>
      </c>
      <c r="S45" s="12">
        <v>19.524378599999999</v>
      </c>
      <c r="T45" s="12">
        <v>5.83</v>
      </c>
      <c r="U45" s="12">
        <v>83.066666699999999</v>
      </c>
      <c r="V45" s="12">
        <v>1</v>
      </c>
      <c r="W45" s="12">
        <v>1.1451941999999999</v>
      </c>
      <c r="X45" s="7" t="s">
        <v>107</v>
      </c>
      <c r="Y45" s="7" t="s">
        <v>107</v>
      </c>
      <c r="Z45" s="12">
        <v>-15.329777399999999</v>
      </c>
      <c r="AA45" s="12">
        <v>55.574930700000003</v>
      </c>
      <c r="AB45" s="12">
        <v>17.791568399999999</v>
      </c>
      <c r="AC45" s="12">
        <v>33.808595799999999</v>
      </c>
      <c r="AD45" s="12">
        <v>64.955380000000005</v>
      </c>
      <c r="AE45" s="12">
        <v>71.145758499999999</v>
      </c>
      <c r="AF45" s="12">
        <v>27.250586800000001</v>
      </c>
      <c r="AG45" s="12">
        <v>4.2754586999999997</v>
      </c>
    </row>
    <row r="46" spans="1:33" s="11" customFormat="1" hidden="1" outlineLevel="1" x14ac:dyDescent="0.3">
      <c r="A46" s="11" t="s">
        <v>52</v>
      </c>
      <c r="B46" s="12">
        <v>1.9101475000000001</v>
      </c>
      <c r="C46" s="12">
        <v>89.906666700000002</v>
      </c>
      <c r="D46" s="12">
        <v>3.9383430000000001</v>
      </c>
      <c r="E46" s="17">
        <v>4</v>
      </c>
      <c r="F46" s="13">
        <v>121.3966667</v>
      </c>
      <c r="G46" s="12">
        <v>20.997550700000001</v>
      </c>
      <c r="H46" s="12">
        <v>9.8781140999999995</v>
      </c>
      <c r="I46" s="12">
        <v>0.2379172</v>
      </c>
      <c r="J46" s="12">
        <v>-1.7613688999999999</v>
      </c>
      <c r="K46" s="12">
        <v>-1.2884456</v>
      </c>
      <c r="L46" s="12">
        <v>5.4959785999999999</v>
      </c>
      <c r="M46" s="12">
        <v>-17.667285199999998</v>
      </c>
      <c r="N46" s="12">
        <v>-2.5668823999999999</v>
      </c>
      <c r="O46" s="12">
        <v>-9.8867732000000004</v>
      </c>
      <c r="P46" s="7">
        <v>656.6</v>
      </c>
      <c r="Q46" s="7">
        <v>27.3</v>
      </c>
      <c r="R46" s="7">
        <v>4</v>
      </c>
      <c r="S46" s="12">
        <v>15.2177077</v>
      </c>
      <c r="T46" s="12">
        <v>5.93</v>
      </c>
      <c r="U46" s="12">
        <v>85.003333299999994</v>
      </c>
      <c r="V46" s="12">
        <v>1</v>
      </c>
      <c r="W46" s="12">
        <v>-2.4114545000000001</v>
      </c>
      <c r="X46" s="7" t="s">
        <v>107</v>
      </c>
      <c r="Y46" s="7" t="s">
        <v>107</v>
      </c>
      <c r="Z46" s="12">
        <v>-9.1790722999999996</v>
      </c>
      <c r="AA46" s="12">
        <v>51.947522300000003</v>
      </c>
      <c r="AB46" s="12">
        <v>17.9004373</v>
      </c>
      <c r="AC46" s="12">
        <v>31.164888000000001</v>
      </c>
      <c r="AD46" s="12">
        <v>64.527677699999998</v>
      </c>
      <c r="AE46" s="12">
        <v>67.754288200000005</v>
      </c>
      <c r="AF46" s="12">
        <v>20.082705799999999</v>
      </c>
      <c r="AG46" s="12">
        <v>3.9974485999999998</v>
      </c>
    </row>
    <row r="47" spans="1:33" s="11" customFormat="1" hidden="1" outlineLevel="1" x14ac:dyDescent="0.3">
      <c r="A47" s="11" t="s">
        <v>53</v>
      </c>
      <c r="B47" s="12">
        <v>0.87131639999999999</v>
      </c>
      <c r="C47" s="12">
        <v>90.323333300000002</v>
      </c>
      <c r="D47" s="12">
        <v>4.2994611000000003</v>
      </c>
      <c r="E47" s="17">
        <v>4.25</v>
      </c>
      <c r="F47" s="13">
        <v>114.3966667</v>
      </c>
      <c r="G47" s="12">
        <v>17.071535000000001</v>
      </c>
      <c r="H47" s="12">
        <v>-1.8552063999999999</v>
      </c>
      <c r="I47" s="12">
        <v>2.3595000000000001E-3</v>
      </c>
      <c r="J47" s="12">
        <v>-2.1834883</v>
      </c>
      <c r="K47" s="12">
        <v>-5.6001234000000002</v>
      </c>
      <c r="L47" s="12">
        <v>5.6503603</v>
      </c>
      <c r="M47" s="12">
        <v>-16.780639000000001</v>
      </c>
      <c r="N47" s="12">
        <v>6.2770054999999996</v>
      </c>
      <c r="O47" s="12">
        <v>-3.1135807999999998</v>
      </c>
      <c r="P47" s="7">
        <v>660.5</v>
      </c>
      <c r="Q47" s="7">
        <v>43.9</v>
      </c>
      <c r="R47" s="7">
        <v>6.2</v>
      </c>
      <c r="S47" s="12">
        <v>14.8001486</v>
      </c>
      <c r="T47" s="12">
        <v>5.89</v>
      </c>
      <c r="U47" s="12">
        <v>86.526666700000007</v>
      </c>
      <c r="V47" s="12">
        <v>1</v>
      </c>
      <c r="W47" s="12">
        <v>-2.2646006999999999</v>
      </c>
      <c r="X47" s="7" t="s">
        <v>107</v>
      </c>
      <c r="Y47" s="7" t="s">
        <v>107</v>
      </c>
      <c r="Z47" s="12">
        <v>-6.8662843999999996</v>
      </c>
      <c r="AA47" s="12">
        <v>51.799155300000002</v>
      </c>
      <c r="AB47" s="12">
        <v>16.184139099999999</v>
      </c>
      <c r="AC47" s="12">
        <v>33.137490900000003</v>
      </c>
      <c r="AD47" s="12">
        <v>69.481607299999993</v>
      </c>
      <c r="AE47" s="12">
        <v>72.931266399999998</v>
      </c>
      <c r="AF47" s="12">
        <v>15.6674165</v>
      </c>
      <c r="AG47" s="12">
        <v>4.1882044</v>
      </c>
    </row>
    <row r="48" spans="1:33" s="11" customFormat="1" hidden="1" outlineLevel="1" x14ac:dyDescent="0.3">
      <c r="A48" s="11" t="s">
        <v>54</v>
      </c>
      <c r="B48" s="12">
        <v>-1.9881508000000001</v>
      </c>
      <c r="C48" s="12">
        <v>90.23</v>
      </c>
      <c r="D48" s="12">
        <v>2.8613770999999999</v>
      </c>
      <c r="E48" s="17">
        <v>3.1666666999999999</v>
      </c>
      <c r="F48" s="13">
        <v>54.66</v>
      </c>
      <c r="G48" s="12">
        <v>14.6161622</v>
      </c>
      <c r="H48" s="12">
        <v>-3.9388350000000001</v>
      </c>
      <c r="I48" s="12">
        <v>-7.6960905000000004</v>
      </c>
      <c r="J48" s="12">
        <v>-11.7974482</v>
      </c>
      <c r="K48" s="12">
        <v>-11.1522693</v>
      </c>
      <c r="L48" s="12">
        <v>3.7799718000000002</v>
      </c>
      <c r="M48" s="12">
        <v>-29.799169800000001</v>
      </c>
      <c r="N48" s="12">
        <v>-4.2894125000000001</v>
      </c>
      <c r="O48" s="12">
        <v>-9.5133740000000007</v>
      </c>
      <c r="P48" s="7">
        <v>652.6</v>
      </c>
      <c r="Q48" s="7">
        <v>53.5</v>
      </c>
      <c r="R48" s="7">
        <v>7.6</v>
      </c>
      <c r="S48" s="12">
        <v>6.9018576999999999</v>
      </c>
      <c r="T48" s="12">
        <v>7.02</v>
      </c>
      <c r="U48" s="12">
        <v>87.19</v>
      </c>
      <c r="V48" s="12">
        <v>1</v>
      </c>
      <c r="W48" s="12">
        <v>-16.362252600000001</v>
      </c>
      <c r="X48" s="7" t="s">
        <v>107</v>
      </c>
      <c r="Y48" s="7" t="s">
        <v>107</v>
      </c>
      <c r="Z48" s="12">
        <v>-3.5505285999999998</v>
      </c>
      <c r="AA48" s="12">
        <v>54.192279300000003</v>
      </c>
      <c r="AB48" s="12">
        <v>21.989181200000001</v>
      </c>
      <c r="AC48" s="12">
        <v>28.495205299999999</v>
      </c>
      <c r="AD48" s="12">
        <v>66.572412099999994</v>
      </c>
      <c r="AE48" s="12">
        <v>69.498401799999996</v>
      </c>
      <c r="AF48" s="12">
        <v>10.8496939</v>
      </c>
      <c r="AG48" s="12">
        <v>4.5095407999999999</v>
      </c>
    </row>
    <row r="49" spans="1:33" s="11" customFormat="1" hidden="1" outlineLevel="1" x14ac:dyDescent="0.3">
      <c r="A49" s="11" t="s">
        <v>55</v>
      </c>
      <c r="B49" s="12">
        <v>-5.4359460999999998</v>
      </c>
      <c r="C49" s="12">
        <v>89.88</v>
      </c>
      <c r="D49" s="12">
        <v>1.6512100999999999</v>
      </c>
      <c r="E49" s="17">
        <v>1.8333333000000001</v>
      </c>
      <c r="F49" s="13">
        <v>44.433333300000001</v>
      </c>
      <c r="G49" s="12">
        <v>11.1695046</v>
      </c>
      <c r="H49" s="12">
        <v>-5.7847394999999997</v>
      </c>
      <c r="I49" s="12">
        <v>-10.7565799</v>
      </c>
      <c r="J49" s="12">
        <v>-12.075188000000001</v>
      </c>
      <c r="K49" s="12">
        <v>-8.7244615999999997</v>
      </c>
      <c r="L49" s="12">
        <v>1.5772098999999999</v>
      </c>
      <c r="M49" s="12">
        <v>-42.060025400000001</v>
      </c>
      <c r="N49" s="12">
        <v>-20.832883800000001</v>
      </c>
      <c r="O49" s="12">
        <v>-29.854582099999998</v>
      </c>
      <c r="P49" s="7">
        <v>612.1</v>
      </c>
      <c r="Q49" s="7">
        <v>79</v>
      </c>
      <c r="R49" s="7">
        <v>11.4</v>
      </c>
      <c r="S49" s="12">
        <v>-1.5375011000000001</v>
      </c>
      <c r="T49" s="12">
        <v>6.36</v>
      </c>
      <c r="U49" s="12">
        <v>86.136666700000006</v>
      </c>
      <c r="V49" s="12">
        <v>1</v>
      </c>
      <c r="W49" s="12">
        <v>-23.736352499999999</v>
      </c>
      <c r="X49" s="12">
        <v>-21.3422819</v>
      </c>
      <c r="Y49" s="12">
        <v>-30.352508700000001</v>
      </c>
      <c r="Z49" s="12">
        <v>-1.0886875</v>
      </c>
      <c r="AA49" s="12">
        <v>57.897327500000003</v>
      </c>
      <c r="AB49" s="12">
        <v>20.548976499999998</v>
      </c>
      <c r="AC49" s="12">
        <v>21.912731300000001</v>
      </c>
      <c r="AD49" s="12">
        <v>57.688855400000001</v>
      </c>
      <c r="AE49" s="12">
        <v>55.948692700000002</v>
      </c>
      <c r="AF49" s="12">
        <v>5.9469655000000001</v>
      </c>
      <c r="AG49" s="12">
        <v>5.8838514000000002</v>
      </c>
    </row>
    <row r="50" spans="1:33" s="11" customFormat="1" hidden="1" outlineLevel="1" x14ac:dyDescent="0.3">
      <c r="A50" s="11" t="s">
        <v>56</v>
      </c>
      <c r="B50" s="12">
        <v>-5.8020649999999998</v>
      </c>
      <c r="C50" s="12">
        <v>90.723333299999993</v>
      </c>
      <c r="D50" s="12">
        <v>0.90834930000000003</v>
      </c>
      <c r="E50" s="17">
        <v>1.0833333000000001</v>
      </c>
      <c r="F50" s="13">
        <v>58.696666700000002</v>
      </c>
      <c r="G50" s="12">
        <v>1.9261440000000001</v>
      </c>
      <c r="H50" s="12">
        <v>-10.769793399999999</v>
      </c>
      <c r="I50" s="12">
        <v>-5.4771738000000001</v>
      </c>
      <c r="J50" s="12">
        <v>-17.5300087</v>
      </c>
      <c r="K50" s="12">
        <v>-16.424880399999999</v>
      </c>
      <c r="L50" s="12">
        <v>-1.8953833</v>
      </c>
      <c r="M50" s="12">
        <v>-49.347033500000002</v>
      </c>
      <c r="N50" s="12">
        <v>-22.012043500000001</v>
      </c>
      <c r="O50" s="12">
        <v>-33.550621900000003</v>
      </c>
      <c r="P50" s="7">
        <v>592.6</v>
      </c>
      <c r="Q50" s="7">
        <v>92.2</v>
      </c>
      <c r="R50" s="7">
        <v>13.5</v>
      </c>
      <c r="S50" s="12">
        <v>-4.4299761999999996</v>
      </c>
      <c r="T50" s="12">
        <v>5.65</v>
      </c>
      <c r="U50" s="12">
        <v>85.2</v>
      </c>
      <c r="V50" s="12">
        <v>1</v>
      </c>
      <c r="W50" s="12">
        <v>-31.081081099999999</v>
      </c>
      <c r="X50" s="12">
        <v>-25.135192100000001</v>
      </c>
      <c r="Y50" s="12">
        <v>-35.827035000000002</v>
      </c>
      <c r="Z50" s="12">
        <v>1.0505308</v>
      </c>
      <c r="AA50" s="12">
        <v>52.484962799999998</v>
      </c>
      <c r="AB50" s="12">
        <v>21.096543499999999</v>
      </c>
      <c r="AC50" s="12">
        <v>19.1008122</v>
      </c>
      <c r="AD50" s="12">
        <v>59.095822800000001</v>
      </c>
      <c r="AE50" s="12">
        <v>53.189012400000003</v>
      </c>
      <c r="AF50" s="12">
        <v>1.609294</v>
      </c>
      <c r="AG50" s="12">
        <v>6.3805999</v>
      </c>
    </row>
    <row r="51" spans="1:33" s="11" customFormat="1" hidden="1" outlineLevel="1" x14ac:dyDescent="0.3">
      <c r="A51" s="11" t="s">
        <v>57</v>
      </c>
      <c r="B51" s="12">
        <v>-4.1677857999999999</v>
      </c>
      <c r="C51" s="12">
        <v>90.663333300000005</v>
      </c>
      <c r="D51" s="12">
        <v>0.37642540000000002</v>
      </c>
      <c r="E51" s="17">
        <v>1</v>
      </c>
      <c r="F51" s="13">
        <v>68.2</v>
      </c>
      <c r="G51" s="12">
        <v>-6.2058429999999998</v>
      </c>
      <c r="H51" s="12">
        <v>-2.7240326000000001</v>
      </c>
      <c r="I51" s="12">
        <v>1.5783864999999999</v>
      </c>
      <c r="J51" s="12">
        <v>-19.381903600000001</v>
      </c>
      <c r="K51" s="12">
        <v>-18.0217356</v>
      </c>
      <c r="L51" s="12">
        <v>-6.1019382999999996</v>
      </c>
      <c r="M51" s="12">
        <v>-45.990884000000001</v>
      </c>
      <c r="N51" s="12">
        <v>-23.035708700000001</v>
      </c>
      <c r="O51" s="12">
        <v>-34.6518297</v>
      </c>
      <c r="P51" s="7">
        <v>598.1</v>
      </c>
      <c r="Q51" s="7">
        <v>102.3</v>
      </c>
      <c r="R51" s="7">
        <v>14.6</v>
      </c>
      <c r="S51" s="12">
        <v>-5.9308578000000001</v>
      </c>
      <c r="T51" s="12">
        <v>4.72</v>
      </c>
      <c r="U51" s="12">
        <v>85.716666700000005</v>
      </c>
      <c r="V51" s="12">
        <v>1</v>
      </c>
      <c r="W51" s="12">
        <v>-27.032520399999999</v>
      </c>
      <c r="X51" s="12">
        <v>-24.440520299999999</v>
      </c>
      <c r="Y51" s="12">
        <v>-36.5136368</v>
      </c>
      <c r="Z51" s="12">
        <v>5.4696275999999999</v>
      </c>
      <c r="AA51" s="12">
        <v>51.023935000000002</v>
      </c>
      <c r="AB51" s="12">
        <v>18.557562099999998</v>
      </c>
      <c r="AC51" s="12">
        <v>22.002361799999999</v>
      </c>
      <c r="AD51" s="12">
        <v>64.085947200000007</v>
      </c>
      <c r="AE51" s="12">
        <v>56.519485000000003</v>
      </c>
      <c r="AF51" s="12">
        <v>-1.6172823000000001</v>
      </c>
      <c r="AG51" s="12">
        <v>6.3254055999999999</v>
      </c>
    </row>
    <row r="52" spans="1:33" s="11" customFormat="1" hidden="1" outlineLevel="1" x14ac:dyDescent="0.3">
      <c r="A52" s="11" t="s">
        <v>58</v>
      </c>
      <c r="B52" s="12">
        <v>-1.8288317999999999</v>
      </c>
      <c r="C52" s="12">
        <v>91.146666699999997</v>
      </c>
      <c r="D52" s="12">
        <v>1.0159222999999999</v>
      </c>
      <c r="E52" s="17">
        <v>1</v>
      </c>
      <c r="F52" s="13">
        <v>74.63</v>
      </c>
      <c r="G52" s="12">
        <v>-8.7885863000000004</v>
      </c>
      <c r="H52" s="12">
        <v>21.573242499999999</v>
      </c>
      <c r="I52" s="12">
        <v>5.6883232000000001</v>
      </c>
      <c r="J52" s="12">
        <v>-8.8657132000000001</v>
      </c>
      <c r="K52" s="12">
        <v>-14.179315900000001</v>
      </c>
      <c r="L52" s="12">
        <v>-5.5631059</v>
      </c>
      <c r="M52" s="12">
        <v>-29.598849300000001</v>
      </c>
      <c r="N52" s="12">
        <v>-15.0643659</v>
      </c>
      <c r="O52" s="12">
        <v>-23.956605400000001</v>
      </c>
      <c r="P52" s="7">
        <v>580.5</v>
      </c>
      <c r="Q52" s="7">
        <v>106.7</v>
      </c>
      <c r="R52" s="7">
        <v>15.5</v>
      </c>
      <c r="S52" s="12">
        <v>-6.5374511000000002</v>
      </c>
      <c r="T52" s="12">
        <v>2.83</v>
      </c>
      <c r="U52" s="12">
        <v>85.413333300000005</v>
      </c>
      <c r="V52" s="12">
        <v>1</v>
      </c>
      <c r="W52" s="12">
        <v>-12.556869900000001</v>
      </c>
      <c r="X52" s="12">
        <v>-16.831024899999999</v>
      </c>
      <c r="Y52" s="12">
        <v>-26.191402799999999</v>
      </c>
      <c r="Z52" s="12">
        <v>4.7296170999999996</v>
      </c>
      <c r="AA52" s="12">
        <v>52.064691799999999</v>
      </c>
      <c r="AB52" s="12">
        <v>21.864058199999999</v>
      </c>
      <c r="AC52" s="12">
        <v>21.097093300000001</v>
      </c>
      <c r="AD52" s="12">
        <v>62.574334499999999</v>
      </c>
      <c r="AE52" s="12">
        <v>57.972544900000003</v>
      </c>
      <c r="AF52" s="12">
        <v>-2.8329897000000002</v>
      </c>
      <c r="AG52" s="12">
        <v>7.2396493</v>
      </c>
    </row>
    <row r="53" spans="1:33" s="11" customFormat="1" hidden="1" outlineLevel="1" x14ac:dyDescent="0.3">
      <c r="A53" s="11" t="s">
        <v>59</v>
      </c>
      <c r="B53" s="12">
        <v>1.1991562</v>
      </c>
      <c r="C53" s="12">
        <v>91.416666699999993</v>
      </c>
      <c r="D53" s="12">
        <v>1.709687</v>
      </c>
      <c r="E53" s="17">
        <v>1</v>
      </c>
      <c r="F53" s="13">
        <v>76.25</v>
      </c>
      <c r="G53" s="12">
        <v>-7.1099905000000003</v>
      </c>
      <c r="H53" s="12">
        <v>1.8436214</v>
      </c>
      <c r="I53" s="12">
        <v>-7.1460973000000001</v>
      </c>
      <c r="J53" s="12">
        <v>-1.8837499</v>
      </c>
      <c r="K53" s="12">
        <v>-8.6811857000000003</v>
      </c>
      <c r="L53" s="12">
        <v>4.3452093999999999</v>
      </c>
      <c r="M53" s="12">
        <v>-6.7728599000000003</v>
      </c>
      <c r="N53" s="12">
        <v>5.0967566</v>
      </c>
      <c r="O53" s="12">
        <v>2.4858547</v>
      </c>
      <c r="P53" s="7">
        <v>553.6</v>
      </c>
      <c r="Q53" s="7">
        <v>136.9</v>
      </c>
      <c r="R53" s="7">
        <v>19.8</v>
      </c>
      <c r="S53" s="12">
        <v>-2.3233305</v>
      </c>
      <c r="T53" s="12">
        <v>1.56</v>
      </c>
      <c r="U53" s="12">
        <v>86.15</v>
      </c>
      <c r="V53" s="12">
        <v>1</v>
      </c>
      <c r="W53" s="12">
        <v>6.9459172000000002</v>
      </c>
      <c r="X53" s="12">
        <v>8.2112026</v>
      </c>
      <c r="Y53" s="12">
        <v>6.8571133</v>
      </c>
      <c r="Z53" s="12">
        <v>-1.1189403</v>
      </c>
      <c r="AA53" s="12">
        <v>57.120391900000001</v>
      </c>
      <c r="AB53" s="12">
        <v>20.963498399999999</v>
      </c>
      <c r="AC53" s="12">
        <v>20.0985877</v>
      </c>
      <c r="AD53" s="12">
        <v>65.2009556</v>
      </c>
      <c r="AE53" s="12">
        <v>62.442918900000002</v>
      </c>
      <c r="AF53" s="12">
        <v>-3.2974657000000001</v>
      </c>
      <c r="AG53" s="12">
        <v>6.8556621</v>
      </c>
    </row>
    <row r="54" spans="1:33" s="11" customFormat="1" hidden="1" outlineLevel="1" x14ac:dyDescent="0.3">
      <c r="A54" s="11" t="s">
        <v>60</v>
      </c>
      <c r="B54" s="12">
        <v>2.6157658000000001</v>
      </c>
      <c r="C54" s="12">
        <v>92.57</v>
      </c>
      <c r="D54" s="12">
        <v>2.0354926</v>
      </c>
      <c r="E54" s="17">
        <v>1</v>
      </c>
      <c r="F54" s="13">
        <v>78.510000000000005</v>
      </c>
      <c r="G54" s="12">
        <v>-10.7306211</v>
      </c>
      <c r="H54" s="12">
        <v>-1.6461749000000001</v>
      </c>
      <c r="I54" s="12">
        <v>-1.1841423</v>
      </c>
      <c r="J54" s="12">
        <v>1.7172111000000001</v>
      </c>
      <c r="K54" s="12">
        <v>-2.4274068</v>
      </c>
      <c r="L54" s="12">
        <v>-0.69077169999999999</v>
      </c>
      <c r="M54" s="12">
        <v>9.2919774999999998</v>
      </c>
      <c r="N54" s="12">
        <v>19.9748217</v>
      </c>
      <c r="O54" s="12">
        <v>22.273825899999999</v>
      </c>
      <c r="P54" s="7">
        <v>558.79999999999995</v>
      </c>
      <c r="Q54" s="7">
        <v>127.7</v>
      </c>
      <c r="R54" s="7">
        <v>18.600000000000001</v>
      </c>
      <c r="S54" s="12">
        <v>1.1993095</v>
      </c>
      <c r="T54" s="12">
        <v>1.17</v>
      </c>
      <c r="U54" s="12">
        <v>87.6533333</v>
      </c>
      <c r="V54" s="12">
        <v>1</v>
      </c>
      <c r="W54" s="12">
        <v>23.193277299999998</v>
      </c>
      <c r="X54" s="12">
        <v>25.445591</v>
      </c>
      <c r="Y54" s="12">
        <v>29.324091899999999</v>
      </c>
      <c r="Z54" s="12">
        <v>0.47201989999999999</v>
      </c>
      <c r="AA54" s="12">
        <v>52.143188500000001</v>
      </c>
      <c r="AB54" s="12">
        <v>19.9858121</v>
      </c>
      <c r="AC54" s="12">
        <v>19.7102398</v>
      </c>
      <c r="AD54" s="12">
        <v>72.972088099999993</v>
      </c>
      <c r="AE54" s="12">
        <v>67.708930199999998</v>
      </c>
      <c r="AF54" s="12">
        <v>-3.2968481999999999</v>
      </c>
      <c r="AG54" s="12">
        <v>6.6704656</v>
      </c>
    </row>
    <row r="55" spans="1:33" s="11" customFormat="1" hidden="1" outlineLevel="1" x14ac:dyDescent="0.3">
      <c r="A55" s="11" t="s">
        <v>61</v>
      </c>
      <c r="B55" s="12">
        <v>2.4618717000000001</v>
      </c>
      <c r="C55" s="12">
        <v>92.583333300000007</v>
      </c>
      <c r="D55" s="12">
        <v>2.1177248999999998</v>
      </c>
      <c r="E55" s="17">
        <v>1</v>
      </c>
      <c r="F55" s="13">
        <v>76.819999999999993</v>
      </c>
      <c r="G55" s="12">
        <v>-5.6324646999999999</v>
      </c>
      <c r="H55" s="12">
        <v>7.5242082999999997</v>
      </c>
      <c r="I55" s="12">
        <v>6.6472088999999999</v>
      </c>
      <c r="J55" s="12">
        <v>5.5306249000000003</v>
      </c>
      <c r="K55" s="12">
        <v>0.94193870000000002</v>
      </c>
      <c r="L55" s="12">
        <v>0.99388379999999998</v>
      </c>
      <c r="M55" s="12">
        <v>22.976346100000001</v>
      </c>
      <c r="N55" s="12">
        <v>29.336609299999999</v>
      </c>
      <c r="O55" s="12">
        <v>27.765323200000001</v>
      </c>
      <c r="P55" s="7">
        <v>578.20000000000005</v>
      </c>
      <c r="Q55" s="7">
        <v>105.9</v>
      </c>
      <c r="R55" s="7">
        <v>15.5</v>
      </c>
      <c r="S55" s="12">
        <v>0.88540200000000002</v>
      </c>
      <c r="T55" s="12">
        <v>0.94</v>
      </c>
      <c r="U55" s="12">
        <v>88.39</v>
      </c>
      <c r="V55" s="12">
        <v>1</v>
      </c>
      <c r="W55" s="12">
        <v>28.133704900000001</v>
      </c>
      <c r="X55" s="12">
        <v>33.191011199999998</v>
      </c>
      <c r="Y55" s="12">
        <v>32.013453599999998</v>
      </c>
      <c r="Z55" s="12">
        <v>5.5296995000000004</v>
      </c>
      <c r="AA55" s="12">
        <v>49.0257948</v>
      </c>
      <c r="AB55" s="12">
        <v>17.054508200000001</v>
      </c>
      <c r="AC55" s="12">
        <v>25.037469399999999</v>
      </c>
      <c r="AD55" s="12">
        <v>77.923273100000003</v>
      </c>
      <c r="AE55" s="12">
        <v>68.115484699999996</v>
      </c>
      <c r="AF55" s="12">
        <v>-3.2784493000000001</v>
      </c>
      <c r="AG55" s="12">
        <v>6.8441296999999999</v>
      </c>
    </row>
    <row r="56" spans="1:33" s="11" customFormat="1" hidden="1" outlineLevel="1" x14ac:dyDescent="0.3">
      <c r="A56" s="11" t="s">
        <v>62</v>
      </c>
      <c r="B56" s="12">
        <v>2.3931737000000002</v>
      </c>
      <c r="C56" s="12">
        <v>93.383333300000004</v>
      </c>
      <c r="D56" s="12">
        <v>2.4539203000000001</v>
      </c>
      <c r="E56" s="17">
        <v>1</v>
      </c>
      <c r="F56" s="13">
        <v>86.466666700000005</v>
      </c>
      <c r="G56" s="12">
        <v>-9.6012740999999995</v>
      </c>
      <c r="H56" s="12">
        <v>-16.231913599999999</v>
      </c>
      <c r="I56" s="12">
        <v>1.3841965000000001</v>
      </c>
      <c r="J56" s="12">
        <v>4.2357066999999997</v>
      </c>
      <c r="K56" s="12">
        <v>5.9239693999999998</v>
      </c>
      <c r="L56" s="12">
        <v>-5.9387892000000004</v>
      </c>
      <c r="M56" s="12">
        <v>3.0987513999999998</v>
      </c>
      <c r="N56" s="12">
        <v>40.220896500000002</v>
      </c>
      <c r="O56" s="12">
        <v>32.018672799999997</v>
      </c>
      <c r="P56" s="7">
        <v>592.9</v>
      </c>
      <c r="Q56" s="7">
        <v>93.2</v>
      </c>
      <c r="R56" s="7">
        <v>13.6</v>
      </c>
      <c r="S56" s="12">
        <v>3.8820986</v>
      </c>
      <c r="T56" s="12">
        <v>0.92</v>
      </c>
      <c r="U56" s="12">
        <v>89.66</v>
      </c>
      <c r="V56" s="12">
        <v>1</v>
      </c>
      <c r="W56" s="12">
        <v>35.744016600000002</v>
      </c>
      <c r="X56" s="12">
        <v>45.1771916</v>
      </c>
      <c r="Y56" s="12">
        <v>42.833860600000001</v>
      </c>
      <c r="Z56" s="12">
        <v>1.8203822000000001</v>
      </c>
      <c r="AA56" s="12">
        <v>52.042256999999999</v>
      </c>
      <c r="AB56" s="12">
        <v>20.407442899999999</v>
      </c>
      <c r="AC56" s="12">
        <v>21.259644000000002</v>
      </c>
      <c r="AD56" s="12">
        <v>82.423982699999996</v>
      </c>
      <c r="AE56" s="12">
        <v>75.1298472</v>
      </c>
      <c r="AF56" s="12">
        <v>-3.3399161999999998</v>
      </c>
      <c r="AG56" s="12">
        <v>6.6609683000000004</v>
      </c>
    </row>
    <row r="57" spans="1:33" s="11" customFormat="1" hidden="1" outlineLevel="1" x14ac:dyDescent="0.3">
      <c r="A57" s="11" t="s">
        <v>63</v>
      </c>
      <c r="B57" s="12">
        <v>3.2110127999999998</v>
      </c>
      <c r="C57" s="12">
        <v>94.073333300000002</v>
      </c>
      <c r="D57" s="12">
        <v>2.9061075000000001</v>
      </c>
      <c r="E57" s="17">
        <v>1</v>
      </c>
      <c r="F57" s="13">
        <v>104.96</v>
      </c>
      <c r="G57" s="12">
        <v>-5.7270814999999997</v>
      </c>
      <c r="H57" s="12">
        <v>7.7501211999999997</v>
      </c>
      <c r="I57" s="12">
        <v>-1.4842694000000001</v>
      </c>
      <c r="J57" s="12">
        <v>7.2613177999999996</v>
      </c>
      <c r="K57" s="12">
        <v>1.6183221000000001</v>
      </c>
      <c r="L57" s="12">
        <v>1.5688084</v>
      </c>
      <c r="M57" s="12">
        <v>26.046693600000001</v>
      </c>
      <c r="N57" s="12">
        <v>40.447786999999998</v>
      </c>
      <c r="O57" s="12">
        <v>36.148067699999999</v>
      </c>
      <c r="P57" s="7">
        <v>591.29999999999995</v>
      </c>
      <c r="Q57" s="7">
        <v>99.3</v>
      </c>
      <c r="R57" s="7">
        <v>14.4</v>
      </c>
      <c r="S57" s="12">
        <v>4.4873750000000001</v>
      </c>
      <c r="T57" s="12">
        <v>1</v>
      </c>
      <c r="U57" s="12">
        <v>90.666666699999993</v>
      </c>
      <c r="V57" s="12">
        <v>1</v>
      </c>
      <c r="W57" s="12">
        <v>31.482399699999998</v>
      </c>
      <c r="X57" s="12">
        <v>46.052875700000001</v>
      </c>
      <c r="Y57" s="12">
        <v>46.140062</v>
      </c>
      <c r="Z57" s="12">
        <v>-3.2574412000000001</v>
      </c>
      <c r="AA57" s="12">
        <v>53.7385035</v>
      </c>
      <c r="AB57" s="12">
        <v>19.462482399999999</v>
      </c>
      <c r="AC57" s="12">
        <v>24.108775699999999</v>
      </c>
      <c r="AD57" s="12">
        <v>83.460998200000006</v>
      </c>
      <c r="AE57" s="12">
        <v>79.975615599999998</v>
      </c>
      <c r="AF57" s="12">
        <v>-3.1242809</v>
      </c>
      <c r="AG57" s="12">
        <v>6.0219579999999997</v>
      </c>
    </row>
    <row r="58" spans="1:33" s="11" customFormat="1" hidden="1" outlineLevel="1" x14ac:dyDescent="0.3">
      <c r="A58" s="11" t="s">
        <v>64</v>
      </c>
      <c r="B58" s="12">
        <v>2.1036085</v>
      </c>
      <c r="C58" s="12">
        <v>95.516666700000002</v>
      </c>
      <c r="D58" s="12">
        <v>3.1831767000000002</v>
      </c>
      <c r="E58" s="17">
        <v>1.25</v>
      </c>
      <c r="F58" s="13">
        <v>117.36</v>
      </c>
      <c r="G58" s="12">
        <v>1.5371132000000001</v>
      </c>
      <c r="H58" s="12">
        <v>15.278838800000001</v>
      </c>
      <c r="I58" s="12">
        <v>3.6476614999999999</v>
      </c>
      <c r="J58" s="12">
        <v>7.7324124999999997</v>
      </c>
      <c r="K58" s="12">
        <v>2.9008636999999999</v>
      </c>
      <c r="L58" s="12">
        <v>0.46734049999999999</v>
      </c>
      <c r="M58" s="12">
        <v>41.743503799999999</v>
      </c>
      <c r="N58" s="12">
        <v>29.0696048</v>
      </c>
      <c r="O58" s="12">
        <v>30.0802294</v>
      </c>
      <c r="P58" s="7">
        <v>602.6</v>
      </c>
      <c r="Q58" s="7">
        <v>92.1</v>
      </c>
      <c r="R58" s="7">
        <v>13.3</v>
      </c>
      <c r="S58" s="12">
        <v>4.2056988000000004</v>
      </c>
      <c r="T58" s="12">
        <v>1.25</v>
      </c>
      <c r="U58" s="12">
        <v>92.283333299999995</v>
      </c>
      <c r="V58" s="12">
        <v>1</v>
      </c>
      <c r="W58" s="12">
        <v>25.602546700000001</v>
      </c>
      <c r="X58" s="12">
        <v>35.333707199999999</v>
      </c>
      <c r="Y58" s="12">
        <v>36.625564199999999</v>
      </c>
      <c r="Z58" s="12">
        <v>-0.36998389999999998</v>
      </c>
      <c r="AA58" s="12">
        <v>49.558865400000002</v>
      </c>
      <c r="AB58" s="12">
        <v>18.245422600000001</v>
      </c>
      <c r="AC58" s="12">
        <v>25.585807800000001</v>
      </c>
      <c r="AD58" s="12">
        <v>85.843373499999998</v>
      </c>
      <c r="AE58" s="12">
        <v>80.409828300000001</v>
      </c>
      <c r="AF58" s="12">
        <v>-2.7710349999999999</v>
      </c>
      <c r="AG58" s="12">
        <v>6.0153622000000002</v>
      </c>
    </row>
    <row r="59" spans="1:33" s="11" customFormat="1" hidden="1" outlineLevel="1" x14ac:dyDescent="0.3">
      <c r="A59" s="11" t="s">
        <v>65</v>
      </c>
      <c r="B59" s="12">
        <v>1.8176159000000001</v>
      </c>
      <c r="C59" s="12">
        <v>95.433333300000001</v>
      </c>
      <c r="D59" s="12">
        <v>3.0783078000000001</v>
      </c>
      <c r="E59" s="17">
        <v>1.5</v>
      </c>
      <c r="F59" s="13">
        <v>113.34</v>
      </c>
      <c r="G59" s="12">
        <v>6.9538329000000001</v>
      </c>
      <c r="H59" s="12">
        <v>-0.78495800000000004</v>
      </c>
      <c r="I59" s="12">
        <v>3.3258239000000001</v>
      </c>
      <c r="J59" s="12">
        <v>9.4229942999999992</v>
      </c>
      <c r="K59" s="12">
        <v>4.5423125999999998</v>
      </c>
      <c r="L59" s="12">
        <v>5.5134999000000002</v>
      </c>
      <c r="M59" s="12">
        <v>25.0918229</v>
      </c>
      <c r="N59" s="12">
        <v>23.5878926</v>
      </c>
      <c r="O59" s="12">
        <v>31.665795599999999</v>
      </c>
      <c r="P59" s="7">
        <v>627.79999999999995</v>
      </c>
      <c r="Q59" s="7">
        <v>77</v>
      </c>
      <c r="R59" s="7">
        <v>10.9</v>
      </c>
      <c r="S59" s="12">
        <v>6.5837332999999996</v>
      </c>
      <c r="T59" s="12">
        <v>1.5</v>
      </c>
      <c r="U59" s="12">
        <v>93.166666699999993</v>
      </c>
      <c r="V59" s="12">
        <v>1</v>
      </c>
      <c r="W59" s="12">
        <v>19.565217400000002</v>
      </c>
      <c r="X59" s="12">
        <v>30.922895199999999</v>
      </c>
      <c r="Y59" s="12">
        <v>37.772630800000002</v>
      </c>
      <c r="Z59" s="12">
        <v>4.4731402999999998</v>
      </c>
      <c r="AA59" s="12">
        <v>47.262930500000003</v>
      </c>
      <c r="AB59" s="12">
        <v>16.303969200000001</v>
      </c>
      <c r="AC59" s="12">
        <v>27.512367300000001</v>
      </c>
      <c r="AD59" s="12">
        <v>90.110783400000003</v>
      </c>
      <c r="AE59" s="12">
        <v>82.890122399999996</v>
      </c>
      <c r="AF59" s="12">
        <v>-2.5898490999999999</v>
      </c>
      <c r="AG59" s="12">
        <v>5.9865805999999999</v>
      </c>
    </row>
    <row r="60" spans="1:33" s="11" customFormat="1" hidden="1" outlineLevel="1" x14ac:dyDescent="0.3">
      <c r="A60" s="11" t="s">
        <v>66</v>
      </c>
      <c r="B60" s="12">
        <v>0.47384009999999999</v>
      </c>
      <c r="C60" s="12">
        <v>96.41</v>
      </c>
      <c r="D60" s="12">
        <v>3.2411208999999999</v>
      </c>
      <c r="E60" s="17">
        <v>1.25</v>
      </c>
      <c r="F60" s="13">
        <v>109.3966667</v>
      </c>
      <c r="G60" s="12">
        <v>16.9508589</v>
      </c>
      <c r="H60" s="12">
        <v>9.3905850999999991</v>
      </c>
      <c r="I60" s="12">
        <v>-1.3714573000000001</v>
      </c>
      <c r="J60" s="12">
        <v>4.7559475999999998</v>
      </c>
      <c r="K60" s="12">
        <v>2.8987443000000002</v>
      </c>
      <c r="L60" s="12">
        <v>2.3765809999999998</v>
      </c>
      <c r="M60" s="12">
        <v>24.617417199999998</v>
      </c>
      <c r="N60" s="12">
        <v>9.8545391999999996</v>
      </c>
      <c r="O60" s="12">
        <v>14.216787800000001</v>
      </c>
      <c r="P60" s="7">
        <v>614.5</v>
      </c>
      <c r="Q60" s="7">
        <v>79</v>
      </c>
      <c r="R60" s="7">
        <v>11.4</v>
      </c>
      <c r="S60" s="12">
        <v>6.2949042999999998</v>
      </c>
      <c r="T60" s="12">
        <v>1</v>
      </c>
      <c r="U60" s="12">
        <v>93.61</v>
      </c>
      <c r="V60" s="12">
        <v>1</v>
      </c>
      <c r="W60" s="12">
        <v>6.4775776</v>
      </c>
      <c r="X60" s="12">
        <v>16.077819600000002</v>
      </c>
      <c r="Y60" s="12">
        <v>17.340089899999999</v>
      </c>
      <c r="Z60" s="12">
        <v>3.7675139999999998</v>
      </c>
      <c r="AA60" s="12">
        <v>50.855734599999998</v>
      </c>
      <c r="AB60" s="12">
        <v>19.565515000000001</v>
      </c>
      <c r="AC60" s="12">
        <v>24.891607</v>
      </c>
      <c r="AD60" s="12">
        <v>86.593491900000004</v>
      </c>
      <c r="AE60" s="12">
        <v>79.786408699999996</v>
      </c>
      <c r="AF60" s="12">
        <v>-2.4958931</v>
      </c>
      <c r="AG60" s="12">
        <v>6.1604695999999999</v>
      </c>
    </row>
    <row r="61" spans="1:33" s="11" customFormat="1" hidden="1" outlineLevel="1" x14ac:dyDescent="0.3">
      <c r="A61" s="11" t="s">
        <v>67</v>
      </c>
      <c r="B61" s="12">
        <v>3.7986600000000002E-2</v>
      </c>
      <c r="C61" s="12">
        <v>96.803333300000006</v>
      </c>
      <c r="D61" s="12">
        <v>2.9019914</v>
      </c>
      <c r="E61" s="17">
        <v>1</v>
      </c>
      <c r="F61" s="13">
        <v>118.49</v>
      </c>
      <c r="G61" s="12">
        <v>16.4039444</v>
      </c>
      <c r="H61" s="12">
        <v>10.830270799999999</v>
      </c>
      <c r="I61" s="12">
        <v>-3.4039334000000001</v>
      </c>
      <c r="J61" s="12">
        <v>4.1649254999999998</v>
      </c>
      <c r="K61" s="12">
        <v>2.5657741999999999</v>
      </c>
      <c r="L61" s="12">
        <v>2.7825099</v>
      </c>
      <c r="M61" s="12">
        <v>7.1709436999999996</v>
      </c>
      <c r="N61" s="12">
        <v>10.180341</v>
      </c>
      <c r="O61" s="12">
        <v>8.7116930999999997</v>
      </c>
      <c r="P61" s="7">
        <v>604.5</v>
      </c>
      <c r="Q61" s="7">
        <v>77.400000000000006</v>
      </c>
      <c r="R61" s="7">
        <v>11.3</v>
      </c>
      <c r="S61" s="12">
        <v>6.8682635999999997</v>
      </c>
      <c r="T61" s="12">
        <v>1</v>
      </c>
      <c r="U61" s="12">
        <v>94.836666699999995</v>
      </c>
      <c r="V61" s="12">
        <v>1</v>
      </c>
      <c r="W61" s="12">
        <v>2.1493213</v>
      </c>
      <c r="X61" s="12">
        <v>12.706024299999999</v>
      </c>
      <c r="Y61" s="12">
        <v>11.893951899999999</v>
      </c>
      <c r="Z61" s="12">
        <v>-1.0053194000000001</v>
      </c>
      <c r="AA61" s="12">
        <v>53.167244199999999</v>
      </c>
      <c r="AB61" s="12">
        <v>18.788736499999999</v>
      </c>
      <c r="AC61" s="12">
        <v>24.283831899999999</v>
      </c>
      <c r="AD61" s="12">
        <v>86.601434800000007</v>
      </c>
      <c r="AE61" s="12">
        <v>82.389829700000007</v>
      </c>
      <c r="AF61" s="12">
        <v>-2.5361558999999998</v>
      </c>
      <c r="AG61" s="12">
        <v>6.2885464000000004</v>
      </c>
    </row>
    <row r="62" spans="1:33" s="11" customFormat="1" hidden="1" outlineLevel="1" x14ac:dyDescent="0.3">
      <c r="A62" s="11" t="s">
        <v>68</v>
      </c>
      <c r="B62" s="12">
        <v>-0.91019320000000004</v>
      </c>
      <c r="C62" s="12">
        <v>97.993333300000003</v>
      </c>
      <c r="D62" s="12">
        <v>2.5929156999999998</v>
      </c>
      <c r="E62" s="17">
        <v>1</v>
      </c>
      <c r="F62" s="13">
        <v>108.41666669999999</v>
      </c>
      <c r="G62" s="12">
        <v>16.6589204</v>
      </c>
      <c r="H62" s="12">
        <v>10.4644858</v>
      </c>
      <c r="I62" s="12">
        <v>1.6840717000000001</v>
      </c>
      <c r="J62" s="12">
        <v>3.2597993000000001</v>
      </c>
      <c r="K62" s="12">
        <v>2.9468114000000001</v>
      </c>
      <c r="L62" s="12">
        <v>2.5313716999999998</v>
      </c>
      <c r="M62" s="12">
        <v>18.9828504</v>
      </c>
      <c r="N62" s="12">
        <v>3.9998916000000002</v>
      </c>
      <c r="O62" s="12">
        <v>9.0161491999999992</v>
      </c>
      <c r="P62" s="7">
        <v>614</v>
      </c>
      <c r="Q62" s="7">
        <v>68.8</v>
      </c>
      <c r="R62" s="7">
        <v>10.1</v>
      </c>
      <c r="S62" s="12">
        <v>4.9914243000000003</v>
      </c>
      <c r="T62" s="12">
        <v>1</v>
      </c>
      <c r="U62" s="12">
        <v>96.22</v>
      </c>
      <c r="V62" s="12">
        <v>1</v>
      </c>
      <c r="W62" s="12">
        <v>1.1947863999999999</v>
      </c>
      <c r="X62" s="12">
        <v>6.1721231999999997</v>
      </c>
      <c r="Y62" s="12">
        <v>11.951039700000001</v>
      </c>
      <c r="Z62" s="12">
        <v>-3.788062</v>
      </c>
      <c r="AA62" s="12">
        <v>49.290975000000003</v>
      </c>
      <c r="AB62" s="12">
        <v>18.157634399999999</v>
      </c>
      <c r="AC62" s="12">
        <v>30.238540199999999</v>
      </c>
      <c r="AD62" s="12">
        <v>84.489392100000003</v>
      </c>
      <c r="AE62" s="12">
        <v>83.451687399999997</v>
      </c>
      <c r="AF62" s="12">
        <v>-2.4502790999999999</v>
      </c>
      <c r="AG62" s="12">
        <v>6.9767311999999997</v>
      </c>
    </row>
    <row r="63" spans="1:33" s="11" customFormat="1" hidden="1" outlineLevel="1" x14ac:dyDescent="0.3">
      <c r="A63" s="11" t="s">
        <v>69</v>
      </c>
      <c r="B63" s="12">
        <v>-1.0352741000000001</v>
      </c>
      <c r="C63" s="12">
        <v>97.9566667</v>
      </c>
      <c r="D63" s="12">
        <v>2.6440796999999998</v>
      </c>
      <c r="E63" s="17">
        <v>0.75</v>
      </c>
      <c r="F63" s="13">
        <v>109.61333329999999</v>
      </c>
      <c r="G63" s="12">
        <v>15.928191999999999</v>
      </c>
      <c r="H63" s="12">
        <v>9.5185525999999996</v>
      </c>
      <c r="I63" s="12">
        <v>1.3381201</v>
      </c>
      <c r="J63" s="12">
        <v>2.342022</v>
      </c>
      <c r="K63" s="12">
        <v>7.4147539</v>
      </c>
      <c r="L63" s="12">
        <v>1.3272748999999999</v>
      </c>
      <c r="M63" s="12">
        <v>20.568691099999999</v>
      </c>
      <c r="N63" s="12">
        <v>1.6267868999999999</v>
      </c>
      <c r="O63" s="12">
        <v>10.2472496</v>
      </c>
      <c r="P63" s="7">
        <v>625.79999999999995</v>
      </c>
      <c r="Q63" s="7">
        <v>65.900000000000006</v>
      </c>
      <c r="R63" s="7">
        <v>9.5</v>
      </c>
      <c r="S63" s="12">
        <v>5.7390122000000003</v>
      </c>
      <c r="T63" s="12">
        <v>0.75</v>
      </c>
      <c r="U63" s="12">
        <v>97.016666700000002</v>
      </c>
      <c r="V63" s="12">
        <v>1</v>
      </c>
      <c r="W63" s="12">
        <v>-1.3090908999999999</v>
      </c>
      <c r="X63" s="12">
        <v>4.0181448</v>
      </c>
      <c r="Y63" s="12">
        <v>12.630989100000001</v>
      </c>
      <c r="Z63" s="12">
        <v>-3.1092254000000001</v>
      </c>
      <c r="AA63" s="12">
        <v>48.918624899999998</v>
      </c>
      <c r="AB63" s="12">
        <v>15.996518699999999</v>
      </c>
      <c r="AC63" s="12">
        <v>33.198433399999999</v>
      </c>
      <c r="AD63" s="12">
        <v>87.813315900000006</v>
      </c>
      <c r="AE63" s="12">
        <v>87.465187099999994</v>
      </c>
      <c r="AF63" s="12">
        <v>-2.1179519</v>
      </c>
      <c r="AG63" s="12">
        <v>9.2695641000000002</v>
      </c>
    </row>
    <row r="64" spans="1:33" s="11" customFormat="1" hidden="1" outlineLevel="1" x14ac:dyDescent="0.3">
      <c r="A64" s="11" t="s">
        <v>70</v>
      </c>
      <c r="B64" s="12">
        <v>-0.98067590000000004</v>
      </c>
      <c r="C64" s="12">
        <v>98.773333300000004</v>
      </c>
      <c r="D64" s="12">
        <v>2.4513362999999999</v>
      </c>
      <c r="E64" s="17">
        <v>0.75</v>
      </c>
      <c r="F64" s="13">
        <v>110.08666669999999</v>
      </c>
      <c r="G64" s="12">
        <v>3.9974175000000001</v>
      </c>
      <c r="H64" s="12">
        <v>4.6980985000000004</v>
      </c>
      <c r="I64" s="12">
        <v>-1.0676308999999999</v>
      </c>
      <c r="J64" s="12">
        <v>3.2469939000000001</v>
      </c>
      <c r="K64" s="12">
        <v>4.5047383999999999</v>
      </c>
      <c r="L64" s="12">
        <v>5.6192089000000003</v>
      </c>
      <c r="M64" s="12">
        <v>25.965191300000001</v>
      </c>
      <c r="N64" s="12">
        <v>4.338724</v>
      </c>
      <c r="O64" s="12">
        <v>10.621491799999999</v>
      </c>
      <c r="P64" s="7">
        <v>615.4</v>
      </c>
      <c r="Q64" s="7">
        <v>61.9</v>
      </c>
      <c r="R64" s="7">
        <v>9.1</v>
      </c>
      <c r="S64" s="12">
        <v>5.9180488999999996</v>
      </c>
      <c r="T64" s="12">
        <v>0.75</v>
      </c>
      <c r="U64" s="12">
        <v>97.253333299999994</v>
      </c>
      <c r="V64" s="12">
        <v>1</v>
      </c>
      <c r="W64" s="12">
        <v>2.3398129000000001</v>
      </c>
      <c r="X64" s="12">
        <v>5.8739821000000001</v>
      </c>
      <c r="Y64" s="12">
        <v>13.164593200000001</v>
      </c>
      <c r="Z64" s="12">
        <v>0.35730329999999999</v>
      </c>
      <c r="AA64" s="12">
        <v>52.018656800000002</v>
      </c>
      <c r="AB64" s="12">
        <v>19.872055499999998</v>
      </c>
      <c r="AC64" s="12">
        <v>29.168360499999999</v>
      </c>
      <c r="AD64" s="12">
        <v>85.958193399999999</v>
      </c>
      <c r="AE64" s="12">
        <v>84.657352500000002</v>
      </c>
      <c r="AF64" s="12">
        <v>-2.2454730000000001</v>
      </c>
      <c r="AG64" s="12">
        <v>9.8371910000000007</v>
      </c>
    </row>
    <row r="65" spans="1:33" s="11" customFormat="1" hidden="1" outlineLevel="1" x14ac:dyDescent="0.3">
      <c r="A65" s="11" t="s">
        <v>71</v>
      </c>
      <c r="B65" s="12">
        <v>-1.6415721999999999</v>
      </c>
      <c r="C65" s="12">
        <v>98.726666699999996</v>
      </c>
      <c r="D65" s="12">
        <v>1.9868463000000001</v>
      </c>
      <c r="E65" s="17">
        <v>0.75</v>
      </c>
      <c r="F65" s="13">
        <v>112.4933333</v>
      </c>
      <c r="G65" s="12">
        <v>0.97699729999999996</v>
      </c>
      <c r="H65" s="12">
        <v>3.9182513000000001</v>
      </c>
      <c r="I65" s="12">
        <v>-2.2046673999999999</v>
      </c>
      <c r="J65" s="12">
        <v>3.5994473</v>
      </c>
      <c r="K65" s="12">
        <v>4.5446290999999999</v>
      </c>
      <c r="L65" s="12">
        <v>1.4033149</v>
      </c>
      <c r="M65" s="12">
        <v>18.0071449</v>
      </c>
      <c r="N65" s="12">
        <v>4.2399865999999999</v>
      </c>
      <c r="O65" s="12">
        <v>7.3653957999999999</v>
      </c>
      <c r="P65" s="7">
        <v>610.1</v>
      </c>
      <c r="Q65" s="7">
        <v>67.5</v>
      </c>
      <c r="R65" s="7">
        <v>10</v>
      </c>
      <c r="S65" s="12">
        <v>6.3335537999999998</v>
      </c>
      <c r="T65" s="12">
        <v>0.75</v>
      </c>
      <c r="U65" s="12">
        <v>98.476666699999996</v>
      </c>
      <c r="V65" s="12">
        <v>1</v>
      </c>
      <c r="W65" s="12">
        <v>3.8390550000000001</v>
      </c>
      <c r="X65" s="12">
        <v>5.4606931999999997</v>
      </c>
      <c r="Y65" s="12">
        <v>7.9759507000000003</v>
      </c>
      <c r="Z65" s="12">
        <v>-0.89182640000000002</v>
      </c>
      <c r="AA65" s="12">
        <v>53.188166299999999</v>
      </c>
      <c r="AB65" s="12">
        <v>18.803051199999999</v>
      </c>
      <c r="AC65" s="12">
        <v>27.639828900000001</v>
      </c>
      <c r="AD65" s="12">
        <v>84.721247700000006</v>
      </c>
      <c r="AE65" s="12">
        <v>82.521107299999997</v>
      </c>
      <c r="AF65" s="12">
        <v>-1.7734767</v>
      </c>
      <c r="AG65" s="12">
        <v>9.5553863000000003</v>
      </c>
    </row>
    <row r="66" spans="1:33" s="11" customFormat="1" hidden="1" outlineLevel="1" x14ac:dyDescent="0.3">
      <c r="A66" s="11" t="s">
        <v>72</v>
      </c>
      <c r="B66" s="12">
        <v>-0.1331087</v>
      </c>
      <c r="C66" s="12">
        <v>99.533333299999995</v>
      </c>
      <c r="D66" s="12">
        <v>1.5715355</v>
      </c>
      <c r="E66" s="17">
        <v>0.58333330000000005</v>
      </c>
      <c r="F66" s="13">
        <v>102.5766667</v>
      </c>
      <c r="G66" s="12">
        <v>2.168469</v>
      </c>
      <c r="H66" s="12">
        <v>2.8250435999999999</v>
      </c>
      <c r="I66" s="12">
        <v>1.880819</v>
      </c>
      <c r="J66" s="12">
        <v>1.4871471999999999</v>
      </c>
      <c r="K66" s="12">
        <v>4.3025523000000003</v>
      </c>
      <c r="L66" s="12">
        <v>3.5239501999999998</v>
      </c>
      <c r="M66" s="12">
        <v>-6.6458392999999996</v>
      </c>
      <c r="N66" s="12">
        <v>7.4862548000000002</v>
      </c>
      <c r="O66" s="12">
        <v>6.2260850999999997</v>
      </c>
      <c r="P66" s="7">
        <v>632.1</v>
      </c>
      <c r="Q66" s="7">
        <v>55</v>
      </c>
      <c r="R66" s="7">
        <v>8</v>
      </c>
      <c r="S66" s="12">
        <v>8.4669667000000004</v>
      </c>
      <c r="T66" s="12">
        <v>0.5</v>
      </c>
      <c r="U66" s="12">
        <v>99.78</v>
      </c>
      <c r="V66" s="12">
        <v>1</v>
      </c>
      <c r="W66" s="12">
        <v>5.3667262999999998</v>
      </c>
      <c r="X66" s="12">
        <v>8.1214708000000009</v>
      </c>
      <c r="Y66" s="12">
        <v>5.9646442000000004</v>
      </c>
      <c r="Z66" s="12">
        <v>0.6144425</v>
      </c>
      <c r="AA66" s="12">
        <v>50.161421400000002</v>
      </c>
      <c r="AB66" s="12">
        <v>18.5332528</v>
      </c>
      <c r="AC66" s="12">
        <v>26.929245399999999</v>
      </c>
      <c r="AD66" s="12">
        <v>86.542667300000005</v>
      </c>
      <c r="AE66" s="12">
        <v>83.7766345</v>
      </c>
      <c r="AF66" s="12">
        <v>-1.2666964000000001</v>
      </c>
      <c r="AG66" s="12">
        <v>9.8018064000000003</v>
      </c>
    </row>
    <row r="67" spans="1:33" s="11" customFormat="1" hidden="1" outlineLevel="1" x14ac:dyDescent="0.3">
      <c r="A67" s="11" t="s">
        <v>73</v>
      </c>
      <c r="B67" s="12">
        <v>0.53477319999999995</v>
      </c>
      <c r="C67" s="12">
        <v>99.423333299999996</v>
      </c>
      <c r="D67" s="12">
        <v>1.4972605999999999</v>
      </c>
      <c r="E67" s="17">
        <v>0.5</v>
      </c>
      <c r="F67" s="13">
        <v>110.27</v>
      </c>
      <c r="G67" s="12">
        <v>3.5784712000000001</v>
      </c>
      <c r="H67" s="12">
        <v>4.3792350000000004</v>
      </c>
      <c r="I67" s="12">
        <v>1.6121032</v>
      </c>
      <c r="J67" s="12">
        <v>0.70288830000000002</v>
      </c>
      <c r="K67" s="12">
        <v>2.8666901</v>
      </c>
      <c r="L67" s="12">
        <v>4.2246873000000003</v>
      </c>
      <c r="M67" s="12">
        <v>-13.2081518</v>
      </c>
      <c r="N67" s="12">
        <v>1.4570571000000001</v>
      </c>
      <c r="O67" s="12">
        <v>-1.7000154000000001</v>
      </c>
      <c r="P67" s="7">
        <v>627.1</v>
      </c>
      <c r="Q67" s="7">
        <v>53.3</v>
      </c>
      <c r="R67" s="7">
        <v>7.8</v>
      </c>
      <c r="S67" s="12">
        <v>8.7679913999999997</v>
      </c>
      <c r="T67" s="12">
        <v>0.5</v>
      </c>
      <c r="U67" s="12">
        <v>100.2833333</v>
      </c>
      <c r="V67" s="12">
        <v>1</v>
      </c>
      <c r="W67" s="12">
        <v>5.1215916999999997</v>
      </c>
      <c r="X67" s="12">
        <v>1.0828089000000001</v>
      </c>
      <c r="Y67" s="12">
        <v>-2.2065774</v>
      </c>
      <c r="Z67" s="12">
        <v>-0.13227510000000001</v>
      </c>
      <c r="AA67" s="12">
        <v>49.7891865</v>
      </c>
      <c r="AB67" s="12">
        <v>16.755538999999999</v>
      </c>
      <c r="AC67" s="12">
        <v>27.564897500000001</v>
      </c>
      <c r="AD67" s="12">
        <v>84.317129600000001</v>
      </c>
      <c r="AE67" s="12">
        <v>81.247933200000006</v>
      </c>
      <c r="AF67" s="12">
        <v>-0.93946019999999997</v>
      </c>
      <c r="AG67" s="12">
        <v>10.0889439</v>
      </c>
    </row>
    <row r="68" spans="1:33" s="11" customFormat="1" hidden="1" outlineLevel="1" x14ac:dyDescent="0.3">
      <c r="A68" s="11" t="s">
        <v>74</v>
      </c>
      <c r="B68" s="12">
        <v>0.83200640000000003</v>
      </c>
      <c r="C68" s="12">
        <v>99.72</v>
      </c>
      <c r="D68" s="12">
        <v>0.95842340000000004</v>
      </c>
      <c r="E68" s="17">
        <v>0.3333333</v>
      </c>
      <c r="F68" s="13">
        <v>109.21</v>
      </c>
      <c r="G68" s="12">
        <v>6.1717538000000003</v>
      </c>
      <c r="H68" s="12">
        <v>7.0309596000000001</v>
      </c>
      <c r="I68" s="12">
        <v>-0.75823130000000005</v>
      </c>
      <c r="J68" s="12">
        <v>0.25924819999999998</v>
      </c>
      <c r="K68" s="12">
        <v>2.6086957000000002</v>
      </c>
      <c r="L68" s="12">
        <v>2.1413074000000001</v>
      </c>
      <c r="M68" s="12">
        <v>-4.9516061000000002</v>
      </c>
      <c r="N68" s="12">
        <v>-1.6653290999999999</v>
      </c>
      <c r="O68" s="12">
        <v>-1.163916</v>
      </c>
      <c r="P68" s="7">
        <v>616.1</v>
      </c>
      <c r="Q68" s="7">
        <v>58.9</v>
      </c>
      <c r="R68" s="7">
        <v>8.6999999999999993</v>
      </c>
      <c r="S68" s="12">
        <v>7.6324547999999997</v>
      </c>
      <c r="T68" s="12">
        <v>0.25</v>
      </c>
      <c r="U68" s="12">
        <v>99.296666700000003</v>
      </c>
      <c r="V68" s="12">
        <v>1</v>
      </c>
      <c r="W68" s="12">
        <v>2.1104466999999998</v>
      </c>
      <c r="X68" s="12">
        <v>-6.4715300000000003E-2</v>
      </c>
      <c r="Y68" s="12">
        <v>-1.7893247000000001</v>
      </c>
      <c r="Z68" s="12">
        <v>1.4731939999999999</v>
      </c>
      <c r="AA68" s="12">
        <v>52.7733135</v>
      </c>
      <c r="AB68" s="12">
        <v>20.492850399999998</v>
      </c>
      <c r="AC68" s="12">
        <v>26.8141921</v>
      </c>
      <c r="AD68" s="12">
        <v>82.725511999999995</v>
      </c>
      <c r="AE68" s="12">
        <v>80.067581500000003</v>
      </c>
      <c r="AF68" s="12">
        <v>3.3311599999999997E-2</v>
      </c>
      <c r="AG68" s="12">
        <v>10.228017899999999</v>
      </c>
    </row>
    <row r="69" spans="1:33" s="11" customFormat="1" hidden="1" outlineLevel="1" x14ac:dyDescent="0.3">
      <c r="A69" s="11" t="s">
        <v>75</v>
      </c>
      <c r="B69" s="12">
        <v>1.8456245</v>
      </c>
      <c r="C69" s="12">
        <v>99.49</v>
      </c>
      <c r="D69" s="12">
        <v>0.77317840000000004</v>
      </c>
      <c r="E69" s="17">
        <v>0.25</v>
      </c>
      <c r="F69" s="13">
        <v>108.16666669999999</v>
      </c>
      <c r="G69" s="12">
        <v>8.0894060000000003</v>
      </c>
      <c r="H69" s="12">
        <v>7.6712686000000003</v>
      </c>
      <c r="I69" s="12">
        <v>-2.4134652999999999</v>
      </c>
      <c r="J69" s="12">
        <v>0.21943509999999999</v>
      </c>
      <c r="K69" s="12">
        <v>3.9258261999999999</v>
      </c>
      <c r="L69" s="12">
        <v>-0.53394359999999996</v>
      </c>
      <c r="M69" s="12">
        <v>-0.5236459</v>
      </c>
      <c r="N69" s="12">
        <v>-0.66720259999999998</v>
      </c>
      <c r="O69" s="12">
        <v>3.8016858</v>
      </c>
      <c r="P69" s="7">
        <v>605.79999999999995</v>
      </c>
      <c r="Q69" s="7">
        <v>56.6</v>
      </c>
      <c r="R69" s="7">
        <v>8.5</v>
      </c>
      <c r="S69" s="12">
        <v>7.3090549999999999</v>
      </c>
      <c r="T69" s="12">
        <v>0.25</v>
      </c>
      <c r="U69" s="12">
        <v>99.59</v>
      </c>
      <c r="V69" s="12">
        <v>1</v>
      </c>
      <c r="W69" s="12">
        <v>1.5641662999999999</v>
      </c>
      <c r="X69" s="12">
        <v>-0.2431335</v>
      </c>
      <c r="Y69" s="12">
        <v>2.1340208999999999</v>
      </c>
      <c r="Z69" s="12">
        <v>-3.2215547999999998</v>
      </c>
      <c r="AA69" s="12">
        <v>53.562940300000001</v>
      </c>
      <c r="AB69" s="12">
        <v>19.074370200000001</v>
      </c>
      <c r="AC69" s="12">
        <v>26.0986993</v>
      </c>
      <c r="AD69" s="12">
        <v>80.672831799999997</v>
      </c>
      <c r="AE69" s="12">
        <v>80.454604399999994</v>
      </c>
      <c r="AF69" s="12">
        <v>0.75606090000000004</v>
      </c>
      <c r="AG69" s="12">
        <v>10.1171177</v>
      </c>
    </row>
    <row r="70" spans="1:33" s="11" customFormat="1" hidden="1" outlineLevel="1" x14ac:dyDescent="0.3">
      <c r="A70" s="11" t="s">
        <v>76</v>
      </c>
      <c r="B70" s="12">
        <v>1.1953549000000001</v>
      </c>
      <c r="C70" s="12">
        <v>100.22333329999999</v>
      </c>
      <c r="D70" s="12">
        <v>0.69323509999999999</v>
      </c>
      <c r="E70" s="17">
        <v>0.21666669999999999</v>
      </c>
      <c r="F70" s="13">
        <v>109.7</v>
      </c>
      <c r="G70" s="12">
        <v>4.5847027999999996</v>
      </c>
      <c r="H70" s="12">
        <v>3.3043385999999999</v>
      </c>
      <c r="I70" s="12">
        <v>1.3853582</v>
      </c>
      <c r="J70" s="12">
        <v>2.2690016000000002</v>
      </c>
      <c r="K70" s="12">
        <v>1.3382046999999999</v>
      </c>
      <c r="L70" s="12">
        <v>0.33632289999999998</v>
      </c>
      <c r="M70" s="12">
        <v>7.6285366999999997</v>
      </c>
      <c r="N70" s="12">
        <v>6.0606100000000003E-2</v>
      </c>
      <c r="O70" s="12">
        <v>-3.6021200000000003E-2</v>
      </c>
      <c r="P70" s="7">
        <v>629.5</v>
      </c>
      <c r="Q70" s="7">
        <v>47.7</v>
      </c>
      <c r="R70" s="7">
        <v>7</v>
      </c>
      <c r="S70" s="12">
        <v>4.7764436000000003</v>
      </c>
      <c r="T70" s="12">
        <v>0.15</v>
      </c>
      <c r="U70" s="12">
        <v>100.3766667</v>
      </c>
      <c r="V70" s="12">
        <v>1</v>
      </c>
      <c r="W70" s="12">
        <v>2.5466893000000002</v>
      </c>
      <c r="X70" s="12">
        <v>1.0854391999999999</v>
      </c>
      <c r="Y70" s="12">
        <v>-1.7254668</v>
      </c>
      <c r="Z70" s="12">
        <v>1.1725293000000001</v>
      </c>
      <c r="AA70" s="12">
        <v>48.840279799999998</v>
      </c>
      <c r="AB70" s="12">
        <v>18.533845700000001</v>
      </c>
      <c r="AC70" s="12">
        <v>27.722928400000001</v>
      </c>
      <c r="AD70" s="12">
        <v>82.768745699999997</v>
      </c>
      <c r="AE70" s="12">
        <v>77.8933885</v>
      </c>
      <c r="AF70" s="12">
        <v>0.99315569999999997</v>
      </c>
      <c r="AG70" s="12">
        <v>10.2408196</v>
      </c>
    </row>
    <row r="71" spans="1:33" s="11" customFormat="1" hidden="1" outlineLevel="1" x14ac:dyDescent="0.3">
      <c r="A71" s="11" t="s">
        <v>77</v>
      </c>
      <c r="B71" s="12">
        <v>1.5779679</v>
      </c>
      <c r="C71" s="12">
        <v>99.91</v>
      </c>
      <c r="D71" s="12">
        <v>0.48948940000000002</v>
      </c>
      <c r="E71" s="17">
        <v>0.1166667</v>
      </c>
      <c r="F71" s="13">
        <v>101.8233333</v>
      </c>
      <c r="G71" s="12">
        <v>2.3853518999999999</v>
      </c>
      <c r="H71" s="12">
        <v>2.4357530000000001</v>
      </c>
      <c r="I71" s="12">
        <v>1.5957657000000001</v>
      </c>
      <c r="J71" s="12">
        <v>2.8380600999999999</v>
      </c>
      <c r="K71" s="12">
        <v>3.5005983999999999</v>
      </c>
      <c r="L71" s="12">
        <v>2.2644928000000002</v>
      </c>
      <c r="M71" s="12">
        <v>-0.17721329999999999</v>
      </c>
      <c r="N71" s="12">
        <v>4.4425670999999998</v>
      </c>
      <c r="O71" s="12">
        <v>2.8910808000000001</v>
      </c>
      <c r="P71" s="7">
        <v>633.70000000000005</v>
      </c>
      <c r="Q71" s="7">
        <v>51.3</v>
      </c>
      <c r="R71" s="7">
        <v>7.5</v>
      </c>
      <c r="S71" s="12">
        <v>4.9964525999999996</v>
      </c>
      <c r="T71" s="12">
        <v>0.05</v>
      </c>
      <c r="U71" s="12">
        <v>100.2866667</v>
      </c>
      <c r="V71" s="12">
        <v>1</v>
      </c>
      <c r="W71" s="12">
        <v>4.7318612</v>
      </c>
      <c r="X71" s="12">
        <v>4.7530334999999999</v>
      </c>
      <c r="Y71" s="12">
        <v>1.8824247999999999</v>
      </c>
      <c r="Z71" s="12">
        <v>1.1040013</v>
      </c>
      <c r="AA71" s="12">
        <v>49.454911699999997</v>
      </c>
      <c r="AB71" s="12">
        <v>17.120906900000001</v>
      </c>
      <c r="AC71" s="12">
        <v>27.043093599999999</v>
      </c>
      <c r="AD71" s="12">
        <v>84.399810400000007</v>
      </c>
      <c r="AE71" s="12">
        <v>79.099024400000005</v>
      </c>
      <c r="AF71" s="12">
        <v>1.7268171999999999</v>
      </c>
      <c r="AG71" s="12">
        <v>10.328109299999999</v>
      </c>
    </row>
    <row r="72" spans="1:33" s="11" customFormat="1" hidden="1" outlineLevel="1" x14ac:dyDescent="0.3">
      <c r="A72" s="11" t="s">
        <v>78</v>
      </c>
      <c r="B72" s="12">
        <v>1.7505474000000001</v>
      </c>
      <c r="C72" s="12">
        <v>99.97</v>
      </c>
      <c r="D72" s="12">
        <v>0.25070199999999998</v>
      </c>
      <c r="E72" s="17">
        <v>0.05</v>
      </c>
      <c r="F72" s="13">
        <v>76.4033333</v>
      </c>
      <c r="G72" s="12">
        <v>2.3290942000000001</v>
      </c>
      <c r="H72" s="12">
        <v>9.2830563000000001</v>
      </c>
      <c r="I72" s="12">
        <v>1.9405161</v>
      </c>
      <c r="J72" s="12">
        <v>6.5062157999999997</v>
      </c>
      <c r="K72" s="12">
        <v>4.9838579000000003</v>
      </c>
      <c r="L72" s="12">
        <v>3.2046546</v>
      </c>
      <c r="M72" s="12">
        <v>9.7328808000000002</v>
      </c>
      <c r="N72" s="12">
        <v>6.6517036999999997</v>
      </c>
      <c r="O72" s="12">
        <v>5.6737589000000002</v>
      </c>
      <c r="P72" s="7">
        <v>630.29999999999995</v>
      </c>
      <c r="Q72" s="7">
        <v>42.7</v>
      </c>
      <c r="R72" s="7">
        <v>6.3</v>
      </c>
      <c r="S72" s="12">
        <v>5.3067555999999998</v>
      </c>
      <c r="T72" s="12">
        <v>0.05</v>
      </c>
      <c r="U72" s="12">
        <v>99.476666699999996</v>
      </c>
      <c r="V72" s="12">
        <v>1</v>
      </c>
      <c r="W72" s="12">
        <v>6.7516362000000001</v>
      </c>
      <c r="X72" s="12">
        <v>4.7372354000000003</v>
      </c>
      <c r="Y72" s="12">
        <v>3.7467833000000001</v>
      </c>
      <c r="Z72" s="12">
        <v>3.3547262999999998</v>
      </c>
      <c r="AA72" s="12">
        <v>50.9021033</v>
      </c>
      <c r="AB72" s="12">
        <v>20.1624354</v>
      </c>
      <c r="AC72" s="12">
        <v>27.625376299999999</v>
      </c>
      <c r="AD72" s="12">
        <v>79.614168599999999</v>
      </c>
      <c r="AE72" s="12">
        <v>76.325703799999999</v>
      </c>
      <c r="AF72" s="12">
        <v>2.1428158000000002</v>
      </c>
      <c r="AG72" s="12">
        <v>10.6238964</v>
      </c>
    </row>
    <row r="73" spans="1:33" s="11" customFormat="1" hidden="1" outlineLevel="1" x14ac:dyDescent="0.3">
      <c r="A73" s="11" t="s">
        <v>79</v>
      </c>
      <c r="B73" s="12">
        <v>2.0633189000000001</v>
      </c>
      <c r="C73" s="12">
        <v>99.203333299999997</v>
      </c>
      <c r="D73" s="12">
        <v>-0.28813620000000001</v>
      </c>
      <c r="E73" s="17">
        <v>0.05</v>
      </c>
      <c r="F73" s="13">
        <v>53.9166667</v>
      </c>
      <c r="G73" s="12">
        <v>6.5038808000000001</v>
      </c>
      <c r="H73" s="12">
        <v>3.5321156</v>
      </c>
      <c r="I73" s="12">
        <v>-3.5527093999999999</v>
      </c>
      <c r="J73" s="12">
        <v>0.97670920000000006</v>
      </c>
      <c r="K73" s="12">
        <v>5.5116794000000002</v>
      </c>
      <c r="L73" s="12">
        <v>4.1411043000000003</v>
      </c>
      <c r="M73" s="12">
        <v>-10.3799967</v>
      </c>
      <c r="N73" s="12">
        <v>2.2011815000000001</v>
      </c>
      <c r="O73" s="12">
        <v>-0.22495950000000001</v>
      </c>
      <c r="P73" s="7">
        <v>623.1</v>
      </c>
      <c r="Q73" s="7">
        <v>44.2</v>
      </c>
      <c r="R73" s="7">
        <v>6.6</v>
      </c>
      <c r="S73" s="12">
        <v>4.4938935999999998</v>
      </c>
      <c r="T73" s="12">
        <v>0.05</v>
      </c>
      <c r="U73" s="12">
        <v>99.343333299999998</v>
      </c>
      <c r="V73" s="12">
        <v>1</v>
      </c>
      <c r="W73" s="12">
        <v>3.5351767999999999</v>
      </c>
      <c r="X73" s="12">
        <v>0.96954759999999995</v>
      </c>
      <c r="Y73" s="12">
        <v>-2.7205585999999999</v>
      </c>
      <c r="Z73" s="12">
        <v>-1.4878688</v>
      </c>
      <c r="AA73" s="12">
        <v>54.837687000000003</v>
      </c>
      <c r="AB73" s="12">
        <v>20.1010229</v>
      </c>
      <c r="AC73" s="12">
        <v>23.2437231</v>
      </c>
      <c r="AD73" s="12">
        <v>79.674951399999998</v>
      </c>
      <c r="AE73" s="12">
        <v>76.551272299999994</v>
      </c>
      <c r="AF73" s="12">
        <v>2.4293433000000002</v>
      </c>
      <c r="AG73" s="12">
        <v>9.9668466999999996</v>
      </c>
    </row>
    <row r="74" spans="1:33" s="11" customFormat="1" hidden="1" outlineLevel="1" x14ac:dyDescent="0.3">
      <c r="A74" s="11" t="s">
        <v>80</v>
      </c>
      <c r="B74" s="12">
        <v>2.2703967</v>
      </c>
      <c r="C74" s="12">
        <v>100.5233333</v>
      </c>
      <c r="D74" s="12">
        <v>0.29933149999999997</v>
      </c>
      <c r="E74" s="17">
        <v>0.05</v>
      </c>
      <c r="F74" s="13">
        <v>61.693333299999999</v>
      </c>
      <c r="G74" s="12">
        <v>6.5835730000000003</v>
      </c>
      <c r="H74" s="12">
        <v>7.2803820000000004</v>
      </c>
      <c r="I74" s="12">
        <v>1.6879649000000001</v>
      </c>
      <c r="J74" s="12">
        <v>3.2605509000000001</v>
      </c>
      <c r="K74" s="12">
        <v>7.3111427999999998</v>
      </c>
      <c r="L74" s="12">
        <v>1.7877095000000001</v>
      </c>
      <c r="M74" s="12">
        <v>-12.479683400000001</v>
      </c>
      <c r="N74" s="12">
        <v>-0.96184130000000001</v>
      </c>
      <c r="O74" s="12">
        <v>-2.6639555000000001</v>
      </c>
      <c r="P74" s="7">
        <v>640.1</v>
      </c>
      <c r="Q74" s="7">
        <v>44.4</v>
      </c>
      <c r="R74" s="7">
        <v>6.5</v>
      </c>
      <c r="S74" s="12">
        <v>5.7604677999999998</v>
      </c>
      <c r="T74" s="12">
        <v>0.05</v>
      </c>
      <c r="U74" s="12">
        <v>100.7866667</v>
      </c>
      <c r="V74" s="12">
        <v>1</v>
      </c>
      <c r="W74" s="12">
        <v>1.2582781000000001</v>
      </c>
      <c r="X74" s="12">
        <v>-2.3189924</v>
      </c>
      <c r="Y74" s="12">
        <v>-2.9625319000000001</v>
      </c>
      <c r="Z74" s="12">
        <v>4.0015257999999996</v>
      </c>
      <c r="AA74" s="12">
        <v>50.602708399999997</v>
      </c>
      <c r="AB74" s="12">
        <v>19.128361600000002</v>
      </c>
      <c r="AC74" s="12">
        <v>24.074003399999999</v>
      </c>
      <c r="AD74" s="12">
        <v>78.251001299999999</v>
      </c>
      <c r="AE74" s="12">
        <v>73.156589699999998</v>
      </c>
      <c r="AF74" s="12">
        <v>3.4216749000000002</v>
      </c>
      <c r="AG74" s="12">
        <v>9.9775100000000005</v>
      </c>
    </row>
    <row r="75" spans="1:33" s="11" customFormat="1" hidden="1" outlineLevel="1" x14ac:dyDescent="0.3">
      <c r="A75" s="11" t="s">
        <v>81</v>
      </c>
      <c r="B75" s="12">
        <v>2.2457793000000001</v>
      </c>
      <c r="C75" s="12">
        <v>100.1533333</v>
      </c>
      <c r="D75" s="12">
        <v>0.24355250000000001</v>
      </c>
      <c r="E75" s="17">
        <v>0.05</v>
      </c>
      <c r="F75" s="13">
        <v>50.233333299999998</v>
      </c>
      <c r="G75" s="12">
        <v>4.8673776000000002</v>
      </c>
      <c r="H75" s="12">
        <v>5.3422720000000004</v>
      </c>
      <c r="I75" s="12">
        <v>1.7850686</v>
      </c>
      <c r="J75" s="12">
        <v>2.6973261000000002</v>
      </c>
      <c r="K75" s="12">
        <v>4.1585793999999998</v>
      </c>
      <c r="L75" s="12">
        <v>3.4543843999999999</v>
      </c>
      <c r="M75" s="12">
        <v>6.4575782000000004</v>
      </c>
      <c r="N75" s="12">
        <v>-3.9657428000000001</v>
      </c>
      <c r="O75" s="12">
        <v>-3.6413568999999999</v>
      </c>
      <c r="P75" s="7">
        <v>661</v>
      </c>
      <c r="Q75" s="7">
        <v>36.5</v>
      </c>
      <c r="R75" s="7">
        <v>5.2</v>
      </c>
      <c r="S75" s="12">
        <v>6.9486249999999998</v>
      </c>
      <c r="T75" s="12">
        <v>0.05</v>
      </c>
      <c r="U75" s="12">
        <v>100.28</v>
      </c>
      <c r="V75" s="12">
        <v>1</v>
      </c>
      <c r="W75" s="12">
        <v>-1.1378847999999999</v>
      </c>
      <c r="X75" s="12">
        <v>-5.1153648</v>
      </c>
      <c r="Y75" s="12">
        <v>-5.1084867000000003</v>
      </c>
      <c r="Z75" s="12">
        <v>3.0106381</v>
      </c>
      <c r="AA75" s="12">
        <v>49.420518700000002</v>
      </c>
      <c r="AB75" s="12">
        <v>17.812624899999999</v>
      </c>
      <c r="AC75" s="12">
        <v>26.796962700000002</v>
      </c>
      <c r="AD75" s="12">
        <v>77.165204500000002</v>
      </c>
      <c r="AE75" s="12">
        <v>72.327630499999998</v>
      </c>
      <c r="AF75" s="12">
        <v>3.5434869999999998</v>
      </c>
      <c r="AG75" s="12">
        <v>9.9663620000000002</v>
      </c>
    </row>
    <row r="76" spans="1:33" s="11" customFormat="1" hidden="1" outlineLevel="1" x14ac:dyDescent="0.3">
      <c r="A76" s="11" t="s">
        <v>82</v>
      </c>
      <c r="B76" s="12">
        <v>2.5478125</v>
      </c>
      <c r="C76" s="12">
        <v>100.1233333</v>
      </c>
      <c r="D76" s="12">
        <v>0.1533793</v>
      </c>
      <c r="E76" s="17">
        <v>0.05</v>
      </c>
      <c r="F76" s="13">
        <v>43.57</v>
      </c>
      <c r="G76" s="12">
        <v>12.189895699999999</v>
      </c>
      <c r="H76" s="12">
        <v>7.3821846999999998</v>
      </c>
      <c r="I76" s="12">
        <v>0.1684561</v>
      </c>
      <c r="J76" s="12">
        <v>0.4594181</v>
      </c>
      <c r="K76" s="12">
        <v>2.471651</v>
      </c>
      <c r="L76" s="12">
        <v>3.0782997999999999</v>
      </c>
      <c r="M76" s="12">
        <v>-5.1845875000000001</v>
      </c>
      <c r="N76" s="12">
        <v>-2.8434092</v>
      </c>
      <c r="O76" s="12">
        <v>-0.92156669999999996</v>
      </c>
      <c r="P76" s="7">
        <v>639.4</v>
      </c>
      <c r="Q76" s="7">
        <v>43.9</v>
      </c>
      <c r="R76" s="7">
        <v>6.4</v>
      </c>
      <c r="S76" s="12">
        <v>6.3959254000000003</v>
      </c>
      <c r="T76" s="12">
        <v>0.05</v>
      </c>
      <c r="U76" s="12">
        <v>99.59</v>
      </c>
      <c r="V76" s="12">
        <v>1</v>
      </c>
      <c r="W76" s="12">
        <v>-2.2587931000000001</v>
      </c>
      <c r="X76" s="12">
        <v>-3.7239608</v>
      </c>
      <c r="Y76" s="12">
        <v>-3.112908</v>
      </c>
      <c r="Z76" s="12">
        <v>1.2643465</v>
      </c>
      <c r="AA76" s="12">
        <v>51.068122899999999</v>
      </c>
      <c r="AB76" s="12">
        <v>21.2680489</v>
      </c>
      <c r="AC76" s="12">
        <v>26.049611299999999</v>
      </c>
      <c r="AD76" s="12">
        <v>74.946316199999998</v>
      </c>
      <c r="AE76" s="12">
        <v>72.308404300000007</v>
      </c>
      <c r="AF76" s="12">
        <v>3.9193172999999999</v>
      </c>
      <c r="AG76" s="12">
        <v>10.0691179</v>
      </c>
    </row>
    <row r="77" spans="1:33" s="11" customFormat="1" hidden="1" outlineLevel="1" x14ac:dyDescent="0.3">
      <c r="A77" s="11" t="s">
        <v>83</v>
      </c>
      <c r="B77" s="12">
        <v>1.9366078</v>
      </c>
      <c r="C77" s="12">
        <v>99.246666700000006</v>
      </c>
      <c r="D77" s="12">
        <v>4.3681400000000002E-2</v>
      </c>
      <c r="E77" s="17">
        <v>3.3333300000000003E-2</v>
      </c>
      <c r="F77" s="13">
        <v>33.696666700000002</v>
      </c>
      <c r="G77" s="12">
        <v>2.3139528999999999</v>
      </c>
      <c r="H77" s="12">
        <v>9.9193830999999992</v>
      </c>
      <c r="I77" s="12">
        <v>-0.82393760000000005</v>
      </c>
      <c r="J77" s="12">
        <v>6.1585884000000002</v>
      </c>
      <c r="K77" s="12">
        <v>4.2772277000000001</v>
      </c>
      <c r="L77" s="12">
        <v>1.5884704000000001</v>
      </c>
      <c r="M77" s="12">
        <v>9.8843612000000007</v>
      </c>
      <c r="N77" s="12">
        <v>1.1032808000000001</v>
      </c>
      <c r="O77" s="12">
        <v>4.0693998000000002</v>
      </c>
      <c r="P77" s="7">
        <v>630</v>
      </c>
      <c r="Q77" s="7">
        <v>43.6</v>
      </c>
      <c r="R77" s="7">
        <v>6.5</v>
      </c>
      <c r="S77" s="12">
        <v>8.0723441000000005</v>
      </c>
      <c r="T77" s="12">
        <v>0</v>
      </c>
      <c r="U77" s="12">
        <v>99.636666700000006</v>
      </c>
      <c r="V77" s="12">
        <v>1</v>
      </c>
      <c r="W77" s="12">
        <v>-1.3522650000000001</v>
      </c>
      <c r="X77" s="12">
        <v>0.41910930000000002</v>
      </c>
      <c r="Y77" s="12">
        <v>2.5813041999999999</v>
      </c>
      <c r="Z77" s="12">
        <v>-2.5092644000000002</v>
      </c>
      <c r="AA77" s="12">
        <v>53.636757799999998</v>
      </c>
      <c r="AB77" s="12">
        <v>19.585271599999999</v>
      </c>
      <c r="AC77" s="12">
        <v>23.3186155</v>
      </c>
      <c r="AD77" s="12">
        <v>74.621540600000003</v>
      </c>
      <c r="AE77" s="12">
        <v>73.241740899999996</v>
      </c>
      <c r="AF77" s="12">
        <v>4.3969564999999999</v>
      </c>
      <c r="AG77" s="12">
        <v>9.1572060000000004</v>
      </c>
    </row>
    <row r="78" spans="1:33" s="11" customFormat="1" hidden="1" outlineLevel="1" x14ac:dyDescent="0.3">
      <c r="A78" s="11" t="s">
        <v>84</v>
      </c>
      <c r="B78" s="12">
        <v>2.4666936000000002</v>
      </c>
      <c r="C78" s="12">
        <v>100.42</v>
      </c>
      <c r="D78" s="12">
        <v>-0.10279530000000001</v>
      </c>
      <c r="E78" s="17">
        <v>0</v>
      </c>
      <c r="F78" s="13">
        <v>45.523333299999997</v>
      </c>
      <c r="G78" s="12">
        <v>4.0679660000000002</v>
      </c>
      <c r="H78" s="12">
        <v>3.5750179000000002</v>
      </c>
      <c r="I78" s="12">
        <v>1.5021302000000001</v>
      </c>
      <c r="J78" s="12">
        <v>1.2266919000000001</v>
      </c>
      <c r="K78" s="12">
        <v>5.0863348999999998</v>
      </c>
      <c r="L78" s="12">
        <v>3.3729168999999999</v>
      </c>
      <c r="M78" s="12">
        <v>14.840532899999999</v>
      </c>
      <c r="N78" s="12">
        <v>6.4068692</v>
      </c>
      <c r="O78" s="12">
        <v>11.5054076</v>
      </c>
      <c r="P78" s="7">
        <v>657</v>
      </c>
      <c r="Q78" s="7">
        <v>45.3</v>
      </c>
      <c r="R78" s="7">
        <v>6.5</v>
      </c>
      <c r="S78" s="12">
        <v>7.5677025000000002</v>
      </c>
      <c r="T78" s="12">
        <v>0</v>
      </c>
      <c r="U78" s="12">
        <v>100.91333330000001</v>
      </c>
      <c r="V78" s="12">
        <v>1</v>
      </c>
      <c r="W78" s="12">
        <v>0.88292999999999999</v>
      </c>
      <c r="X78" s="12">
        <v>5.8912424000000003</v>
      </c>
      <c r="Y78" s="12">
        <v>8.1890707999999997</v>
      </c>
      <c r="Z78" s="12">
        <v>2.0383429</v>
      </c>
      <c r="AA78" s="12">
        <v>51.469076000000001</v>
      </c>
      <c r="AB78" s="12">
        <v>19.775598599999999</v>
      </c>
      <c r="AC78" s="12">
        <v>25.718010899999999</v>
      </c>
      <c r="AD78" s="12">
        <v>79.778169500000004</v>
      </c>
      <c r="AE78" s="12">
        <v>76.202805900000001</v>
      </c>
      <c r="AF78" s="12">
        <v>4.2899965</v>
      </c>
      <c r="AG78" s="12">
        <v>9.0270785</v>
      </c>
    </row>
    <row r="79" spans="1:33" s="11" customFormat="1" hidden="1" outlineLevel="1" x14ac:dyDescent="0.3">
      <c r="A79" s="11" t="s">
        <v>85</v>
      </c>
      <c r="B79" s="12">
        <v>1.6225508</v>
      </c>
      <c r="C79" s="12">
        <v>100.42</v>
      </c>
      <c r="D79" s="12">
        <v>0.26625840000000001</v>
      </c>
      <c r="E79" s="17">
        <v>0</v>
      </c>
      <c r="F79" s="13">
        <v>45.786666699999998</v>
      </c>
      <c r="G79" s="12">
        <v>7.3324641000000002</v>
      </c>
      <c r="H79" s="12">
        <v>3.8582011999999999</v>
      </c>
      <c r="I79" s="12">
        <v>0.56342150000000002</v>
      </c>
      <c r="J79" s="12">
        <v>1.8478425999999999</v>
      </c>
      <c r="K79" s="12">
        <v>4.4128141999999997</v>
      </c>
      <c r="L79" s="12">
        <v>2.8895548</v>
      </c>
      <c r="M79" s="12">
        <v>-12.750139000000001</v>
      </c>
      <c r="N79" s="12">
        <v>6.5819460999999997</v>
      </c>
      <c r="O79" s="12">
        <v>5.1432944999999997</v>
      </c>
      <c r="P79" s="7">
        <v>653.29999999999995</v>
      </c>
      <c r="Q79" s="7">
        <v>52.9</v>
      </c>
      <c r="R79" s="7">
        <v>7.5</v>
      </c>
      <c r="S79" s="12">
        <v>7.0868554000000001</v>
      </c>
      <c r="T79" s="12">
        <v>0</v>
      </c>
      <c r="U79" s="12">
        <v>101.4866667</v>
      </c>
      <c r="V79" s="12">
        <v>1</v>
      </c>
      <c r="W79" s="12">
        <v>5.0101557000000003</v>
      </c>
      <c r="X79" s="12">
        <v>6.3036401</v>
      </c>
      <c r="Y79" s="12">
        <v>3.5363768000000002</v>
      </c>
      <c r="Z79" s="12">
        <v>4.3939560000000002</v>
      </c>
      <c r="AA79" s="12">
        <v>50.409761099999997</v>
      </c>
      <c r="AB79" s="12">
        <v>18.183148599999999</v>
      </c>
      <c r="AC79" s="12">
        <v>23.261259299999999</v>
      </c>
      <c r="AD79" s="12">
        <v>78.8497421</v>
      </c>
      <c r="AE79" s="12">
        <v>71.980755900000005</v>
      </c>
      <c r="AF79" s="12">
        <v>4.6659129000000004</v>
      </c>
      <c r="AG79" s="12">
        <v>9.1139834000000004</v>
      </c>
    </row>
    <row r="80" spans="1:33" s="11" customFormat="1" hidden="1" outlineLevel="1" x14ac:dyDescent="0.3">
      <c r="A80" s="11" t="s">
        <v>86</v>
      </c>
      <c r="B80" s="12">
        <v>1.866331</v>
      </c>
      <c r="C80" s="12">
        <v>100.89333329999999</v>
      </c>
      <c r="D80" s="12">
        <v>0.7690515</v>
      </c>
      <c r="E80" s="17">
        <v>0</v>
      </c>
      <c r="F80" s="13">
        <v>49.186666700000004</v>
      </c>
      <c r="G80" s="12">
        <v>6.2815669999999999</v>
      </c>
      <c r="H80" s="12">
        <v>-0.90901399999999999</v>
      </c>
      <c r="I80" s="12">
        <v>-2.7835141000000001</v>
      </c>
      <c r="J80" s="12">
        <v>3.7050119000000001</v>
      </c>
      <c r="K80" s="12">
        <v>3.5186435999999999</v>
      </c>
      <c r="L80" s="12">
        <v>2.3265908</v>
      </c>
      <c r="M80" s="12">
        <v>12.992907799999999</v>
      </c>
      <c r="N80" s="12">
        <v>4.9474486999999998</v>
      </c>
      <c r="O80" s="12">
        <v>5.2396117999999996</v>
      </c>
      <c r="P80" s="7">
        <v>638.20000000000005</v>
      </c>
      <c r="Q80" s="7">
        <v>45.1</v>
      </c>
      <c r="R80" s="7">
        <v>6.6</v>
      </c>
      <c r="S80" s="12">
        <v>6.9172715</v>
      </c>
      <c r="T80" s="12">
        <v>0</v>
      </c>
      <c r="U80" s="12">
        <v>101.16333330000001</v>
      </c>
      <c r="V80" s="12">
        <v>1</v>
      </c>
      <c r="W80" s="12">
        <v>9.0458897</v>
      </c>
      <c r="X80" s="12">
        <v>6.3824531999999996</v>
      </c>
      <c r="Y80" s="12">
        <v>6.5743324999999997</v>
      </c>
      <c r="Z80" s="12">
        <v>0.76008679999999995</v>
      </c>
      <c r="AA80" s="12">
        <v>50.554446900000002</v>
      </c>
      <c r="AB80" s="12">
        <v>21.259869800000001</v>
      </c>
      <c r="AC80" s="12">
        <v>28.218655099999999</v>
      </c>
      <c r="AD80" s="12">
        <v>74.741865500000003</v>
      </c>
      <c r="AE80" s="12">
        <v>72.241214799999995</v>
      </c>
      <c r="AF80" s="12">
        <v>5.1723432000000003</v>
      </c>
      <c r="AG80" s="12">
        <v>9.9968272999999996</v>
      </c>
    </row>
    <row r="81" spans="1:33" s="11" customFormat="1" hidden="1" outlineLevel="1" x14ac:dyDescent="0.3">
      <c r="A81" s="11" t="s">
        <v>87</v>
      </c>
      <c r="B81" s="12">
        <v>3.0351661999999999</v>
      </c>
      <c r="C81" s="12">
        <v>101</v>
      </c>
      <c r="D81" s="12">
        <v>1.766642</v>
      </c>
      <c r="E81" s="17">
        <v>0</v>
      </c>
      <c r="F81" s="13">
        <v>53.68</v>
      </c>
      <c r="G81" s="12">
        <v>7.7934907000000004</v>
      </c>
      <c r="H81" s="12">
        <v>5.3784014000000004</v>
      </c>
      <c r="I81" s="12">
        <v>-1.6687565</v>
      </c>
      <c r="J81" s="12">
        <v>4.4075534999999997</v>
      </c>
      <c r="K81" s="12">
        <v>0.91910369999999997</v>
      </c>
      <c r="L81" s="12">
        <v>1.0769390000000001</v>
      </c>
      <c r="M81" s="12">
        <v>13.2882319</v>
      </c>
      <c r="N81" s="12">
        <v>7.7143975999999999</v>
      </c>
      <c r="O81" s="12">
        <v>5.6276256</v>
      </c>
      <c r="P81" s="7">
        <v>646.79999999999995</v>
      </c>
      <c r="Q81" s="7">
        <v>38.4</v>
      </c>
      <c r="R81" s="7">
        <v>5.6</v>
      </c>
      <c r="S81" s="12">
        <v>5.6684874000000001</v>
      </c>
      <c r="T81" s="12">
        <v>0</v>
      </c>
      <c r="U81" s="12">
        <v>102.7166667</v>
      </c>
      <c r="V81" s="12">
        <v>1</v>
      </c>
      <c r="W81" s="12">
        <v>8.6360521000000006</v>
      </c>
      <c r="X81" s="12">
        <v>11.0494757</v>
      </c>
      <c r="Y81" s="12">
        <v>8.1653523999999997</v>
      </c>
      <c r="Z81" s="12">
        <v>2.1260509999999999</v>
      </c>
      <c r="AA81" s="12">
        <v>52.609160600000003</v>
      </c>
      <c r="AB81" s="12">
        <v>19.280129800000001</v>
      </c>
      <c r="AC81" s="12">
        <v>23.532231899999999</v>
      </c>
      <c r="AD81" s="12">
        <v>77.518808100000001</v>
      </c>
      <c r="AE81" s="12">
        <v>74.109381900000002</v>
      </c>
      <c r="AF81" s="12">
        <v>5.4987333999999999</v>
      </c>
      <c r="AG81" s="12">
        <v>8.8354256000000007</v>
      </c>
    </row>
    <row r="82" spans="1:33" s="11" customFormat="1" hidden="1" outlineLevel="1" x14ac:dyDescent="0.3">
      <c r="A82" s="11" t="s">
        <v>88</v>
      </c>
      <c r="B82" s="12">
        <v>2.3084487</v>
      </c>
      <c r="C82" s="12">
        <v>102.11333329999999</v>
      </c>
      <c r="D82" s="12">
        <v>1.6862509999999999</v>
      </c>
      <c r="E82" s="17">
        <v>0</v>
      </c>
      <c r="F82" s="13">
        <v>49.67</v>
      </c>
      <c r="G82" s="12">
        <v>12.024587</v>
      </c>
      <c r="H82" s="12">
        <v>6.8200721</v>
      </c>
      <c r="I82" s="12">
        <v>-0.34747499999999998</v>
      </c>
      <c r="J82" s="12">
        <v>6.9810933000000004</v>
      </c>
      <c r="K82" s="12">
        <v>0.68029740000000005</v>
      </c>
      <c r="L82" s="12">
        <v>0.9556907</v>
      </c>
      <c r="M82" s="12">
        <v>19.475497399999998</v>
      </c>
      <c r="N82" s="12">
        <v>2.6714486000000002</v>
      </c>
      <c r="O82" s="12">
        <v>0.95807249999999999</v>
      </c>
      <c r="P82" s="7">
        <v>653.5</v>
      </c>
      <c r="Q82" s="7">
        <v>49</v>
      </c>
      <c r="R82" s="7">
        <v>7</v>
      </c>
      <c r="S82" s="12">
        <v>6.7688366999999996</v>
      </c>
      <c r="T82" s="12">
        <v>0</v>
      </c>
      <c r="U82" s="12">
        <v>104.34</v>
      </c>
      <c r="V82" s="12">
        <v>1</v>
      </c>
      <c r="W82" s="12">
        <v>7.0664505999999996</v>
      </c>
      <c r="X82" s="12">
        <v>5.5358622999999998</v>
      </c>
      <c r="Y82" s="12">
        <v>4.7882978999999999</v>
      </c>
      <c r="Z82" s="12">
        <v>1.7241378999999999</v>
      </c>
      <c r="AA82" s="12">
        <v>48.894698499999997</v>
      </c>
      <c r="AB82" s="12">
        <v>18.771923999999999</v>
      </c>
      <c r="AC82" s="12">
        <v>29.022437</v>
      </c>
      <c r="AD82" s="12">
        <v>75.8637236</v>
      </c>
      <c r="AE82" s="12">
        <v>71.950493100000003</v>
      </c>
      <c r="AF82" s="12">
        <v>5.9557231000000002</v>
      </c>
      <c r="AG82" s="12">
        <v>8.7955658999999997</v>
      </c>
    </row>
    <row r="83" spans="1:33" s="11" customFormat="1" hidden="1" outlineLevel="1" x14ac:dyDescent="0.3">
      <c r="A83" s="11" t="s">
        <v>89</v>
      </c>
      <c r="B83" s="12">
        <v>3.0333996999999999</v>
      </c>
      <c r="C83" s="12">
        <v>102.1166667</v>
      </c>
      <c r="D83" s="12">
        <v>1.6895705000000001</v>
      </c>
      <c r="E83" s="17">
        <v>0</v>
      </c>
      <c r="F83" s="13">
        <v>52.11</v>
      </c>
      <c r="G83" s="12">
        <v>9.5379232999999992</v>
      </c>
      <c r="H83" s="12">
        <v>9.8425007999999998</v>
      </c>
      <c r="I83" s="12">
        <v>0.67026589999999997</v>
      </c>
      <c r="J83" s="12">
        <v>4.2961830000000001</v>
      </c>
      <c r="K83" s="12">
        <v>3.7516612999999999</v>
      </c>
      <c r="L83" s="12">
        <v>1.6746411000000001</v>
      </c>
      <c r="M83" s="12">
        <v>10.8306124</v>
      </c>
      <c r="N83" s="12">
        <v>3.3864033</v>
      </c>
      <c r="O83" s="12">
        <v>5.1979018000000003</v>
      </c>
      <c r="P83" s="7">
        <v>666.6</v>
      </c>
      <c r="Q83" s="7">
        <v>36.5</v>
      </c>
      <c r="R83" s="7">
        <v>5.2</v>
      </c>
      <c r="S83" s="12">
        <v>7.3866481000000004</v>
      </c>
      <c r="T83" s="12">
        <v>0</v>
      </c>
      <c r="U83" s="12">
        <v>105.5733333</v>
      </c>
      <c r="V83" s="12">
        <v>1</v>
      </c>
      <c r="W83" s="12">
        <v>9.6711800000000001E-2</v>
      </c>
      <c r="X83" s="12">
        <v>6.5724758999999997</v>
      </c>
      <c r="Y83" s="12">
        <v>7.8146839999999997</v>
      </c>
      <c r="Z83" s="12">
        <v>3.2744412999999999</v>
      </c>
      <c r="AA83" s="12">
        <v>50.072709600000003</v>
      </c>
      <c r="AB83" s="12">
        <v>17.702709500000001</v>
      </c>
      <c r="AC83" s="12">
        <v>24.116201700000001</v>
      </c>
      <c r="AD83" s="12">
        <v>76.783057799999995</v>
      </c>
      <c r="AE83" s="12">
        <v>70.911127100000002</v>
      </c>
      <c r="AF83" s="12">
        <v>6.8370439000000003</v>
      </c>
      <c r="AG83" s="12">
        <v>8.9084318000000007</v>
      </c>
    </row>
    <row r="84" spans="1:33" s="11" customFormat="1" hidden="1" outlineLevel="1" x14ac:dyDescent="0.3">
      <c r="A84" s="11" t="s">
        <v>90</v>
      </c>
      <c r="B84" s="12">
        <v>2.9900169999999999</v>
      </c>
      <c r="C84" s="12">
        <v>102.6233333</v>
      </c>
      <c r="D84" s="12">
        <v>1.7146821999999999</v>
      </c>
      <c r="E84" s="17">
        <v>0</v>
      </c>
      <c r="F84" s="13">
        <v>61.53</v>
      </c>
      <c r="G84" s="12">
        <v>7.4597660000000001</v>
      </c>
      <c r="H84" s="12">
        <v>13.030678</v>
      </c>
      <c r="I84" s="12">
        <v>-0.65475159999999999</v>
      </c>
      <c r="J84" s="12">
        <v>7.3299273999999999</v>
      </c>
      <c r="K84" s="12">
        <v>3.9933323999999999</v>
      </c>
      <c r="L84" s="12">
        <v>3.6141511999999998</v>
      </c>
      <c r="M84" s="12">
        <v>9.8355511</v>
      </c>
      <c r="N84" s="12">
        <v>5.9056687999999999</v>
      </c>
      <c r="O84" s="12">
        <v>4.4191463999999998</v>
      </c>
      <c r="P84" s="7">
        <v>667.4</v>
      </c>
      <c r="Q84" s="7">
        <v>37.200000000000003</v>
      </c>
      <c r="R84" s="7">
        <v>5.3</v>
      </c>
      <c r="S84" s="12">
        <v>7.5353364000000003</v>
      </c>
      <c r="T84" s="12">
        <v>0</v>
      </c>
      <c r="U84" s="12">
        <v>105.29</v>
      </c>
      <c r="V84" s="12">
        <v>1</v>
      </c>
      <c r="W84" s="12">
        <v>0.75688759999999999</v>
      </c>
      <c r="X84" s="12">
        <v>8.7903412999999997</v>
      </c>
      <c r="Y84" s="12">
        <v>7.8959378999999998</v>
      </c>
      <c r="Z84" s="12">
        <v>1.9438918999999999</v>
      </c>
      <c r="AA84" s="12">
        <v>49.598220599999998</v>
      </c>
      <c r="AB84" s="12">
        <v>21.152550900000001</v>
      </c>
      <c r="AC84" s="12">
        <v>28.729186599999998</v>
      </c>
      <c r="AD84" s="12">
        <v>73.394840299999998</v>
      </c>
      <c r="AE84" s="12">
        <v>70.356040800000002</v>
      </c>
      <c r="AF84" s="12">
        <v>6.8906036999999998</v>
      </c>
      <c r="AG84" s="12">
        <v>9.1219958000000005</v>
      </c>
    </row>
    <row r="85" spans="1:33" s="11" customFormat="1" hidden="1" outlineLevel="1" x14ac:dyDescent="0.3">
      <c r="A85" s="11" t="s">
        <v>91</v>
      </c>
      <c r="B85" s="12">
        <v>2.2828298</v>
      </c>
      <c r="C85" s="12">
        <v>102.5466667</v>
      </c>
      <c r="D85" s="12">
        <v>1.5313532000000001</v>
      </c>
      <c r="E85" s="17">
        <v>0</v>
      </c>
      <c r="F85" s="13">
        <v>66.806666699999994</v>
      </c>
      <c r="G85" s="12">
        <v>9.2316596999999998</v>
      </c>
      <c r="H85" s="12">
        <v>11.761145900000001</v>
      </c>
      <c r="I85" s="12">
        <v>-0.82766830000000002</v>
      </c>
      <c r="J85" s="12">
        <v>3.6211592000000001</v>
      </c>
      <c r="K85" s="12">
        <v>1.2080385</v>
      </c>
      <c r="L85" s="12">
        <v>1.0244899999999999E-2</v>
      </c>
      <c r="M85" s="12">
        <v>4.9321733999999999</v>
      </c>
      <c r="N85" s="12">
        <v>2.1934076999999998</v>
      </c>
      <c r="O85" s="12">
        <v>2.1661372000000001</v>
      </c>
      <c r="P85" s="7">
        <v>650.5</v>
      </c>
      <c r="Q85" s="7">
        <v>47.4</v>
      </c>
      <c r="R85" s="7">
        <v>6.8</v>
      </c>
      <c r="S85" s="12">
        <v>7.7217967999999999</v>
      </c>
      <c r="T85" s="12">
        <v>0</v>
      </c>
      <c r="U85" s="12">
        <v>106.03</v>
      </c>
      <c r="V85" s="12">
        <v>1</v>
      </c>
      <c r="W85" s="12">
        <v>2.7129336999999998</v>
      </c>
      <c r="X85" s="12">
        <v>5.8848716000000003</v>
      </c>
      <c r="Y85" s="12">
        <v>6.0112961</v>
      </c>
      <c r="Z85" s="12">
        <v>0.83106729999999995</v>
      </c>
      <c r="AA85" s="12">
        <v>51.7233175</v>
      </c>
      <c r="AB85" s="12">
        <v>19.075458900000001</v>
      </c>
      <c r="AC85" s="12">
        <v>23.881713099999999</v>
      </c>
      <c r="AD85" s="12">
        <v>75.654316800000004</v>
      </c>
      <c r="AE85" s="12">
        <v>72.411624700000004</v>
      </c>
      <c r="AF85" s="12">
        <v>6.8904411999999997</v>
      </c>
      <c r="AG85" s="12">
        <v>8.2646285000000006</v>
      </c>
    </row>
    <row r="86" spans="1:33" s="11" customFormat="1" hidden="1" outlineLevel="1" x14ac:dyDescent="0.3">
      <c r="A86" s="11" t="s">
        <v>92</v>
      </c>
      <c r="B86" s="12">
        <v>2.5023559999999998</v>
      </c>
      <c r="C86" s="12">
        <v>104.0133333</v>
      </c>
      <c r="D86" s="12">
        <v>1.8606777000000001</v>
      </c>
      <c r="E86" s="17">
        <v>0</v>
      </c>
      <c r="F86" s="13">
        <v>74.5</v>
      </c>
      <c r="G86" s="12">
        <v>6.5757887999999998</v>
      </c>
      <c r="H86" s="12">
        <v>11.3028809</v>
      </c>
      <c r="I86" s="12">
        <v>1.3400774</v>
      </c>
      <c r="J86" s="12">
        <v>2.8056497999999999</v>
      </c>
      <c r="K86" s="12">
        <v>6.8382379999999996</v>
      </c>
      <c r="L86" s="12">
        <v>-0.33467200000000003</v>
      </c>
      <c r="M86" s="12">
        <v>-1.8301654000000001</v>
      </c>
      <c r="N86" s="12">
        <v>5.3494256</v>
      </c>
      <c r="O86" s="12">
        <v>6.8942028000000004</v>
      </c>
      <c r="P86" s="7">
        <v>666.6</v>
      </c>
      <c r="Q86" s="7">
        <v>35.799999999999997</v>
      </c>
      <c r="R86" s="7">
        <v>5.0999999999999996</v>
      </c>
      <c r="S86" s="12">
        <v>6.3461523</v>
      </c>
      <c r="T86" s="12">
        <v>0</v>
      </c>
      <c r="U86" s="12">
        <v>107.7666667</v>
      </c>
      <c r="V86" s="12">
        <v>1</v>
      </c>
      <c r="W86" s="12">
        <v>5.4495912999999998</v>
      </c>
      <c r="X86" s="12">
        <v>9.0950729999999993</v>
      </c>
      <c r="Y86" s="12">
        <v>8.4283874999999995</v>
      </c>
      <c r="Z86" s="12">
        <v>2.126544</v>
      </c>
      <c r="AA86" s="12">
        <v>49.712400000000002</v>
      </c>
      <c r="AB86" s="12">
        <v>18.626921800000002</v>
      </c>
      <c r="AC86" s="12">
        <v>27.1639397</v>
      </c>
      <c r="AD86" s="12">
        <v>77.135411000000005</v>
      </c>
      <c r="AE86" s="12">
        <v>72.706524599999995</v>
      </c>
      <c r="AF86" s="12">
        <v>6.9722548</v>
      </c>
      <c r="AG86" s="12">
        <v>8.2048573000000005</v>
      </c>
    </row>
    <row r="87" spans="1:33" s="11" customFormat="1" hidden="1" outlineLevel="1" x14ac:dyDescent="0.3">
      <c r="A87" s="11" t="s">
        <v>93</v>
      </c>
      <c r="B87" s="12">
        <v>1.7229988000000001</v>
      </c>
      <c r="C87" s="12">
        <v>104.3666667</v>
      </c>
      <c r="D87" s="12">
        <v>2.2033621999999999</v>
      </c>
      <c r="E87" s="17">
        <v>0</v>
      </c>
      <c r="F87" s="13">
        <v>75.223333299999993</v>
      </c>
      <c r="G87" s="12">
        <v>9.2397089999999995</v>
      </c>
      <c r="H87" s="12">
        <v>9.8932228999999996</v>
      </c>
      <c r="I87" s="12">
        <v>0.89736740000000004</v>
      </c>
      <c r="J87" s="12">
        <v>4.5643894999999999</v>
      </c>
      <c r="K87" s="12">
        <v>6.0315485000000004</v>
      </c>
      <c r="L87" s="12">
        <v>-0.34782610000000003</v>
      </c>
      <c r="M87" s="12">
        <v>26.5215204</v>
      </c>
      <c r="N87" s="12">
        <v>0.87900719999999999</v>
      </c>
      <c r="O87" s="12">
        <v>5.6711361</v>
      </c>
      <c r="P87" s="7">
        <v>666.6</v>
      </c>
      <c r="Q87" s="7">
        <v>36.799999999999997</v>
      </c>
      <c r="R87" s="7">
        <v>5.2</v>
      </c>
      <c r="S87" s="12">
        <v>7.4695947</v>
      </c>
      <c r="T87" s="12">
        <v>0</v>
      </c>
      <c r="U87" s="12">
        <v>109.2266667</v>
      </c>
      <c r="V87" s="12">
        <v>1</v>
      </c>
      <c r="W87" s="12">
        <v>4.6054750999999996</v>
      </c>
      <c r="X87" s="12">
        <v>5.6033263</v>
      </c>
      <c r="Y87" s="12">
        <v>10.0155572</v>
      </c>
      <c r="Z87" s="12">
        <v>0.63639829999999997</v>
      </c>
      <c r="AA87" s="12">
        <v>50.072491399999997</v>
      </c>
      <c r="AB87" s="12">
        <v>17.555131599999999</v>
      </c>
      <c r="AC87" s="12">
        <v>28.593666500000001</v>
      </c>
      <c r="AD87" s="12">
        <v>74.035864200000006</v>
      </c>
      <c r="AE87" s="12">
        <v>71.229301800000002</v>
      </c>
      <c r="AF87" s="12">
        <v>6.2922317999999997</v>
      </c>
      <c r="AG87" s="12">
        <v>8.1454716999999999</v>
      </c>
    </row>
    <row r="88" spans="1:33" s="11" customFormat="1" hidden="1" outlineLevel="1" x14ac:dyDescent="0.3">
      <c r="A88" s="11" t="s">
        <v>94</v>
      </c>
      <c r="B88" s="12">
        <v>1.7730376000000001</v>
      </c>
      <c r="C88" s="12">
        <v>104.64</v>
      </c>
      <c r="D88" s="12">
        <v>1.9651152000000001</v>
      </c>
      <c r="E88" s="17">
        <v>0</v>
      </c>
      <c r="F88" s="13">
        <v>67.713333300000002</v>
      </c>
      <c r="G88" s="12">
        <v>10.386859400000001</v>
      </c>
      <c r="H88" s="12">
        <v>3.0500924999999999</v>
      </c>
      <c r="I88" s="12">
        <v>-3.4303238</v>
      </c>
      <c r="J88" s="12">
        <v>4.1320106000000001</v>
      </c>
      <c r="K88" s="12">
        <v>4.8365739999999997</v>
      </c>
      <c r="L88" s="12">
        <v>4.4297060999999998</v>
      </c>
      <c r="M88" s="12">
        <v>19.7325561</v>
      </c>
      <c r="N88" s="12">
        <v>3.1115048000000001</v>
      </c>
      <c r="O88" s="12">
        <v>8.6896520000000006</v>
      </c>
      <c r="P88" s="7">
        <v>675.3</v>
      </c>
      <c r="Q88" s="7">
        <v>30.9</v>
      </c>
      <c r="R88" s="7">
        <v>4.4000000000000004</v>
      </c>
      <c r="S88" s="12">
        <v>8.9309186</v>
      </c>
      <c r="T88" s="12">
        <v>0</v>
      </c>
      <c r="U88" s="12">
        <v>109.1566667</v>
      </c>
      <c r="V88" s="12">
        <v>1</v>
      </c>
      <c r="W88" s="12">
        <v>6.3100962000000003</v>
      </c>
      <c r="X88" s="12">
        <v>6.0504524999999996</v>
      </c>
      <c r="Y88" s="12">
        <v>9.6201799000000001</v>
      </c>
      <c r="Z88" s="12">
        <v>-1.7115999999999999E-2</v>
      </c>
      <c r="AA88" s="12">
        <v>49.174154899999998</v>
      </c>
      <c r="AB88" s="12">
        <v>21.1096848</v>
      </c>
      <c r="AC88" s="12">
        <v>31.7829126</v>
      </c>
      <c r="AD88" s="12">
        <v>70.8757667</v>
      </c>
      <c r="AE88" s="12">
        <v>70.228212799999994</v>
      </c>
      <c r="AF88" s="12">
        <v>6.3408479</v>
      </c>
      <c r="AG88" s="12">
        <v>8.2037004000000007</v>
      </c>
    </row>
    <row r="89" spans="1:33" s="11" customFormat="1" hidden="1" outlineLevel="1" x14ac:dyDescent="0.3">
      <c r="A89" s="11" t="s">
        <v>95</v>
      </c>
      <c r="B89" s="12">
        <v>1.9308453999999999</v>
      </c>
      <c r="C89" s="12">
        <v>104.17</v>
      </c>
      <c r="D89" s="12">
        <v>1.5830191</v>
      </c>
      <c r="E89" s="17">
        <v>0</v>
      </c>
      <c r="F89" s="13">
        <v>63.17</v>
      </c>
      <c r="G89" s="12">
        <v>10.4031439</v>
      </c>
      <c r="H89" s="12">
        <v>7.1886282000000001</v>
      </c>
      <c r="I89" s="12">
        <v>-1.9458584000000001</v>
      </c>
      <c r="J89" s="12">
        <v>4.3071853999999998</v>
      </c>
      <c r="K89" s="12">
        <v>6.7526865999999997</v>
      </c>
      <c r="L89" s="12">
        <v>5.9004301999999997</v>
      </c>
      <c r="M89" s="12">
        <v>10.5810441</v>
      </c>
      <c r="N89" s="12">
        <v>6.4176450000000003</v>
      </c>
      <c r="O89" s="12">
        <v>5.3739748000000001</v>
      </c>
      <c r="P89" s="7">
        <v>661.9</v>
      </c>
      <c r="Q89" s="7">
        <v>32.4</v>
      </c>
      <c r="R89" s="7">
        <v>4.7</v>
      </c>
      <c r="S89" s="12">
        <v>7.9710144999999999</v>
      </c>
      <c r="T89" s="12">
        <v>0</v>
      </c>
      <c r="U89" s="12">
        <v>108.4633333</v>
      </c>
      <c r="V89" s="12">
        <v>1</v>
      </c>
      <c r="W89" s="12">
        <v>14.3120394</v>
      </c>
      <c r="X89" s="12">
        <v>7.5931167999999998</v>
      </c>
      <c r="Y89" s="12">
        <v>5.4333795</v>
      </c>
      <c r="Z89" s="12">
        <v>2.0859602000000002</v>
      </c>
      <c r="AA89" s="12">
        <v>51.481187499999997</v>
      </c>
      <c r="AB89" s="12">
        <v>19.919363600000001</v>
      </c>
      <c r="AC89" s="12">
        <v>25.283706200000001</v>
      </c>
      <c r="AD89" s="12">
        <v>74.555955100000006</v>
      </c>
      <c r="AE89" s="12">
        <v>69.929482100000001</v>
      </c>
      <c r="AF89" s="12">
        <v>6.2240215000000001</v>
      </c>
      <c r="AG89" s="12">
        <v>7.4587671000000002</v>
      </c>
    </row>
    <row r="90" spans="1:33" s="11" customFormat="1" hidden="1" outlineLevel="1" x14ac:dyDescent="0.3">
      <c r="A90" s="11" t="s">
        <v>96</v>
      </c>
      <c r="B90" s="12">
        <v>1.5959346999999999</v>
      </c>
      <c r="C90" s="12">
        <v>105.7566667</v>
      </c>
      <c r="D90" s="12">
        <v>1.6760672000000001</v>
      </c>
      <c r="E90" s="17">
        <v>0</v>
      </c>
      <c r="F90" s="13">
        <v>68.923333299999996</v>
      </c>
      <c r="G90" s="12">
        <v>8.1449601999999999</v>
      </c>
      <c r="H90" s="12">
        <v>7.2325210999999996</v>
      </c>
      <c r="I90" s="12">
        <v>1.0048317</v>
      </c>
      <c r="J90" s="12">
        <v>2.9229226000000001</v>
      </c>
      <c r="K90" s="12">
        <v>4.2336270999999996</v>
      </c>
      <c r="L90" s="12">
        <v>1.5350667</v>
      </c>
      <c r="M90" s="12">
        <v>-0.1138952</v>
      </c>
      <c r="N90" s="12">
        <v>3.4709232999999999</v>
      </c>
      <c r="O90" s="12">
        <v>3.5730767000000001</v>
      </c>
      <c r="P90" s="7">
        <v>667.7</v>
      </c>
      <c r="Q90" s="7">
        <v>35.700000000000003</v>
      </c>
      <c r="R90" s="7">
        <v>5.0999999999999996</v>
      </c>
      <c r="S90" s="12">
        <v>7.4186223</v>
      </c>
      <c r="T90" s="12">
        <v>0</v>
      </c>
      <c r="U90" s="12">
        <v>110.9666667</v>
      </c>
      <c r="V90" s="12">
        <v>1</v>
      </c>
      <c r="W90" s="12">
        <v>7.0628767999999997</v>
      </c>
      <c r="X90" s="12">
        <v>5.6558507999999996</v>
      </c>
      <c r="Y90" s="12">
        <v>5.0435851999999999</v>
      </c>
      <c r="Z90" s="12">
        <v>2.6553213000000002</v>
      </c>
      <c r="AA90" s="12">
        <v>49.734182799999999</v>
      </c>
      <c r="AB90" s="12">
        <v>18.782514500000001</v>
      </c>
      <c r="AC90" s="12">
        <v>28.1580935</v>
      </c>
      <c r="AD90" s="12">
        <v>75.323897900000006</v>
      </c>
      <c r="AE90" s="12">
        <v>70.590498999999994</v>
      </c>
      <c r="AF90" s="12">
        <v>6.4600214999999999</v>
      </c>
      <c r="AG90" s="12">
        <v>8.8640836000000007</v>
      </c>
    </row>
    <row r="91" spans="1:33" s="11" customFormat="1" hidden="1" outlineLevel="1" x14ac:dyDescent="0.3">
      <c r="A91" s="11" t="s">
        <v>97</v>
      </c>
      <c r="B91" s="12">
        <v>2.3612953000000001</v>
      </c>
      <c r="C91" s="12">
        <v>105.74</v>
      </c>
      <c r="D91" s="12">
        <v>1.3158734999999999</v>
      </c>
      <c r="E91" s="17">
        <v>0</v>
      </c>
      <c r="F91" s="13">
        <v>61.93</v>
      </c>
      <c r="G91" s="12">
        <v>7.8288057999999996</v>
      </c>
      <c r="H91" s="12">
        <v>8.9787824999999994</v>
      </c>
      <c r="I91" s="12">
        <v>1.3051585000000001</v>
      </c>
      <c r="J91" s="12">
        <v>5.2969942000000003</v>
      </c>
      <c r="K91" s="12">
        <v>3.4482759000000001</v>
      </c>
      <c r="L91" s="12">
        <v>4.3630016999999999</v>
      </c>
      <c r="M91" s="12">
        <v>13.1985461</v>
      </c>
      <c r="N91" s="12">
        <v>8.2076080999999999</v>
      </c>
      <c r="O91" s="12">
        <v>6.8501500999999996</v>
      </c>
      <c r="P91" s="7">
        <v>677.3</v>
      </c>
      <c r="Q91" s="7">
        <v>27.7</v>
      </c>
      <c r="R91" s="7">
        <v>3.9</v>
      </c>
      <c r="S91" s="12">
        <v>8.2106893999999997</v>
      </c>
      <c r="T91" s="12">
        <v>0</v>
      </c>
      <c r="U91" s="12">
        <v>111.55666669999999</v>
      </c>
      <c r="V91" s="12">
        <v>1</v>
      </c>
      <c r="W91" s="12">
        <v>5.1724138000000002</v>
      </c>
      <c r="X91" s="12">
        <v>9.1855454999999999</v>
      </c>
      <c r="Y91" s="12">
        <v>6.7212306999999996</v>
      </c>
      <c r="Z91" s="12">
        <v>3.1018702</v>
      </c>
      <c r="AA91" s="12">
        <v>49.631335100000001</v>
      </c>
      <c r="AB91" s="12">
        <v>17.735465300000001</v>
      </c>
      <c r="AC91" s="12">
        <v>26.901237399999999</v>
      </c>
      <c r="AD91" s="12">
        <v>74.816373799999994</v>
      </c>
      <c r="AE91" s="12">
        <v>70.357082300000002</v>
      </c>
      <c r="AF91" s="12">
        <v>6.5357354000000001</v>
      </c>
      <c r="AG91" s="12">
        <v>8.9388573000000004</v>
      </c>
    </row>
    <row r="92" spans="1:33" s="11" customFormat="1" hidden="1" outlineLevel="1" x14ac:dyDescent="0.3">
      <c r="A92" s="11" t="s">
        <v>98</v>
      </c>
      <c r="B92" s="12">
        <v>1.3592039</v>
      </c>
      <c r="C92" s="12">
        <v>106.0066667</v>
      </c>
      <c r="D92" s="12">
        <v>1.3060653</v>
      </c>
      <c r="E92" s="17">
        <v>0</v>
      </c>
      <c r="F92" s="13">
        <v>63.41</v>
      </c>
      <c r="G92" s="12">
        <v>4.1307568000000003</v>
      </c>
      <c r="H92" s="12">
        <v>13.1433386</v>
      </c>
      <c r="I92" s="12">
        <v>-5.9208200000000002E-2</v>
      </c>
      <c r="J92" s="12">
        <v>3.6584975000000002</v>
      </c>
      <c r="K92" s="12">
        <v>4.0317755999999996</v>
      </c>
      <c r="L92" s="12">
        <v>1.5994982</v>
      </c>
      <c r="M92" s="12">
        <v>-17.917143899999999</v>
      </c>
      <c r="N92" s="12">
        <v>2.2916666999999999</v>
      </c>
      <c r="O92" s="12">
        <v>-0.4443974</v>
      </c>
      <c r="P92" s="7">
        <v>678.5</v>
      </c>
      <c r="Q92" s="7">
        <v>29.2</v>
      </c>
      <c r="R92" s="7">
        <v>4.0999999999999996</v>
      </c>
      <c r="S92" s="12">
        <v>6.3583815000000001</v>
      </c>
      <c r="T92" s="12">
        <v>0</v>
      </c>
      <c r="U92" s="12">
        <v>110.99666670000001</v>
      </c>
      <c r="V92" s="12">
        <v>1</v>
      </c>
      <c r="W92" s="12">
        <v>1.4980214999999999</v>
      </c>
      <c r="X92" s="12">
        <v>3.3144835000000001</v>
      </c>
      <c r="Y92" s="12">
        <v>0.39401259999999999</v>
      </c>
      <c r="Z92" s="12">
        <v>1.9646364999999999</v>
      </c>
      <c r="AA92" s="12">
        <v>49.163010999999997</v>
      </c>
      <c r="AB92" s="12">
        <v>21.261135199999998</v>
      </c>
      <c r="AC92" s="12">
        <v>25.7569233</v>
      </c>
      <c r="AD92" s="12">
        <v>69.081196000000006</v>
      </c>
      <c r="AE92" s="12">
        <v>66.516403400000002</v>
      </c>
      <c r="AF92" s="12">
        <v>6.5184154000000003</v>
      </c>
      <c r="AG92" s="12">
        <v>8.4912883000000008</v>
      </c>
    </row>
    <row r="93" spans="1:33" s="11" customFormat="1" hidden="1" outlineLevel="1" x14ac:dyDescent="0.3">
      <c r="A93" s="11" t="s">
        <v>99</v>
      </c>
      <c r="B93" s="12">
        <v>-2.2061226999999999</v>
      </c>
      <c r="C93" s="12">
        <v>105.74666670000001</v>
      </c>
      <c r="D93" s="12">
        <v>1.5135516</v>
      </c>
      <c r="E93" s="17">
        <v>0</v>
      </c>
      <c r="F93" s="13">
        <v>50.44</v>
      </c>
      <c r="G93" s="12">
        <v>6.9311683000000004</v>
      </c>
      <c r="H93" s="12">
        <v>-4.0331748000000003</v>
      </c>
      <c r="I93" s="12">
        <v>-6.0966554000000004</v>
      </c>
      <c r="J93" s="12">
        <v>0.66544820000000005</v>
      </c>
      <c r="K93" s="12">
        <v>2.4905081999999998</v>
      </c>
      <c r="L93" s="12">
        <v>-0.17411489999999999</v>
      </c>
      <c r="M93" s="12">
        <v>-13.7048097</v>
      </c>
      <c r="N93" s="12">
        <v>-0.2317755</v>
      </c>
      <c r="O93" s="12">
        <v>-3.5385688000000002</v>
      </c>
      <c r="P93" s="7">
        <v>670.3</v>
      </c>
      <c r="Q93" s="7">
        <v>35</v>
      </c>
      <c r="R93" s="7">
        <v>5</v>
      </c>
      <c r="S93" s="12">
        <v>4.6979866000000001</v>
      </c>
      <c r="T93" s="12">
        <v>0</v>
      </c>
      <c r="U93" s="12">
        <v>110.13</v>
      </c>
      <c r="V93" s="12">
        <v>1</v>
      </c>
      <c r="W93" s="12">
        <v>-4.2181623000000004</v>
      </c>
      <c r="X93" s="12">
        <v>-0.34659869999999998</v>
      </c>
      <c r="Y93" s="12">
        <v>-2.2861848999999999</v>
      </c>
      <c r="Z93" s="12">
        <v>3.152749</v>
      </c>
      <c r="AA93" s="12">
        <v>52.9361715</v>
      </c>
      <c r="AB93" s="12">
        <v>20.3381702</v>
      </c>
      <c r="AC93" s="12">
        <v>21.569567800000002</v>
      </c>
      <c r="AD93" s="12">
        <v>73.834349200000005</v>
      </c>
      <c r="AE93" s="12">
        <v>67.904767800000002</v>
      </c>
      <c r="AF93" s="12">
        <v>6.5593792999999998</v>
      </c>
      <c r="AG93" s="12">
        <v>9.1545752999999994</v>
      </c>
    </row>
    <row r="94" spans="1:33" s="11" customFormat="1" hidden="1" outlineLevel="1" x14ac:dyDescent="0.3">
      <c r="A94" s="11" t="s">
        <v>100</v>
      </c>
      <c r="B94" s="12">
        <v>-13.380244299999999</v>
      </c>
      <c r="C94" s="12">
        <v>106.50333329999999</v>
      </c>
      <c r="D94" s="12">
        <v>0.70602319999999996</v>
      </c>
      <c r="E94" s="17">
        <v>0</v>
      </c>
      <c r="F94" s="13">
        <v>29.343333300000001</v>
      </c>
      <c r="G94" s="12">
        <v>17.417339200000001</v>
      </c>
      <c r="H94" s="12">
        <v>-4.6571470000000001</v>
      </c>
      <c r="I94" s="12">
        <v>-8.1303198999999999</v>
      </c>
      <c r="J94" s="12">
        <v>-5.7409549000000002</v>
      </c>
      <c r="K94" s="12">
        <v>-9.7579575999999992</v>
      </c>
      <c r="L94" s="12">
        <v>3.5906642999999998</v>
      </c>
      <c r="M94" s="12">
        <v>-3.5887894999999999</v>
      </c>
      <c r="N94" s="12">
        <v>-18.711612299999999</v>
      </c>
      <c r="O94" s="12">
        <v>-18.502959700000002</v>
      </c>
      <c r="P94" s="7">
        <v>643.9</v>
      </c>
      <c r="Q94" s="7">
        <v>49.4</v>
      </c>
      <c r="R94" s="7">
        <v>7.1</v>
      </c>
      <c r="S94" s="12">
        <v>0.98661030000000005</v>
      </c>
      <c r="T94" s="12">
        <v>0</v>
      </c>
      <c r="U94" s="12">
        <v>109.3666667</v>
      </c>
      <c r="V94" s="12">
        <v>1</v>
      </c>
      <c r="W94" s="12">
        <v>-11.6921426</v>
      </c>
      <c r="X94" s="12">
        <v>-21.383969100000002</v>
      </c>
      <c r="Y94" s="12">
        <v>-22.512972699999999</v>
      </c>
      <c r="Z94" s="12">
        <v>3.9021827999999998</v>
      </c>
      <c r="AA94" s="12">
        <v>48.163996699999998</v>
      </c>
      <c r="AB94" s="12">
        <v>21.031004299999999</v>
      </c>
      <c r="AC94" s="12">
        <v>25.4275254</v>
      </c>
      <c r="AD94" s="12">
        <v>64.183646699999997</v>
      </c>
      <c r="AE94" s="12">
        <v>59.285063299999997</v>
      </c>
      <c r="AF94" s="12">
        <v>5.0986039999999999</v>
      </c>
      <c r="AG94" s="12">
        <v>18.552315</v>
      </c>
    </row>
    <row r="95" spans="1:33" s="11" customFormat="1" hidden="1" outlineLevel="1" x14ac:dyDescent="0.3">
      <c r="A95" s="11" t="s">
        <v>101</v>
      </c>
      <c r="B95" s="12">
        <v>-3.6984297000000002</v>
      </c>
      <c r="C95" s="12">
        <v>106.27</v>
      </c>
      <c r="D95" s="12">
        <v>0.50122940000000005</v>
      </c>
      <c r="E95" s="17">
        <v>0</v>
      </c>
      <c r="F95" s="13">
        <v>42.963333300000002</v>
      </c>
      <c r="G95" s="12">
        <v>11.2521182</v>
      </c>
      <c r="H95" s="12">
        <v>2.4818953000000001</v>
      </c>
      <c r="I95" s="12">
        <v>-1.9665319999999999</v>
      </c>
      <c r="J95" s="12">
        <v>-8.4437499999999999E-2</v>
      </c>
      <c r="K95" s="12">
        <v>1.0610611000000001</v>
      </c>
      <c r="L95" s="12">
        <v>5.2232932999999999</v>
      </c>
      <c r="M95" s="12">
        <v>0.94320689999999996</v>
      </c>
      <c r="N95" s="12">
        <v>-6.4873548000000003</v>
      </c>
      <c r="O95" s="12">
        <v>-0.9128368</v>
      </c>
      <c r="P95" s="7">
        <v>652.70000000000005</v>
      </c>
      <c r="Q95" s="7">
        <v>54.3</v>
      </c>
      <c r="R95" s="7">
        <v>7.7</v>
      </c>
      <c r="S95" s="12">
        <v>3.1496062999999999</v>
      </c>
      <c r="T95" s="12">
        <v>0</v>
      </c>
      <c r="U95" s="12">
        <v>110.0966667</v>
      </c>
      <c r="V95" s="12">
        <v>1</v>
      </c>
      <c r="W95" s="12">
        <v>0.52693210000000001</v>
      </c>
      <c r="X95" s="12">
        <v>-9.6456283999999997</v>
      </c>
      <c r="Y95" s="12">
        <v>-3.8466171</v>
      </c>
      <c r="Z95" s="12">
        <v>-1.6805167999999999</v>
      </c>
      <c r="AA95" s="12">
        <v>49.833513600000003</v>
      </c>
      <c r="AB95" s="12">
        <v>19.323809000000001</v>
      </c>
      <c r="AC95" s="12">
        <v>30.351755900000001</v>
      </c>
      <c r="AD95" s="12">
        <v>68.100062600000001</v>
      </c>
      <c r="AE95" s="12">
        <v>68.152712199999996</v>
      </c>
      <c r="AF95" s="12">
        <v>4.7464529999999998</v>
      </c>
      <c r="AG95" s="12">
        <v>18.695588799999999</v>
      </c>
    </row>
    <row r="96" spans="1:33" s="11" customFormat="1" hidden="1" outlineLevel="1" x14ac:dyDescent="0.3">
      <c r="A96" s="11" t="s">
        <v>102</v>
      </c>
      <c r="B96" s="12">
        <v>-3.2236577</v>
      </c>
      <c r="C96" s="12">
        <v>106.2833333</v>
      </c>
      <c r="D96" s="12">
        <v>0.26098979999999999</v>
      </c>
      <c r="E96" s="17">
        <v>0</v>
      </c>
      <c r="F96" s="13">
        <v>44.29</v>
      </c>
      <c r="G96" s="12">
        <v>13.9019107</v>
      </c>
      <c r="H96" s="12">
        <v>9.7128199999999998E-2</v>
      </c>
      <c r="I96" s="12">
        <v>-5.7790458999999998</v>
      </c>
      <c r="J96" s="12">
        <v>1.2455708999999999</v>
      </c>
      <c r="K96" s="12">
        <v>0.1661395</v>
      </c>
      <c r="L96" s="12">
        <v>3.2643927000000001</v>
      </c>
      <c r="M96" s="12">
        <v>66.094894800000006</v>
      </c>
      <c r="N96" s="12">
        <v>4.2307934999999999</v>
      </c>
      <c r="O96" s="12">
        <v>27.794664699999998</v>
      </c>
      <c r="P96" s="7">
        <v>659.5</v>
      </c>
      <c r="Q96" s="7">
        <v>53.1</v>
      </c>
      <c r="R96" s="7">
        <v>7.4</v>
      </c>
      <c r="S96" s="12">
        <v>2.9211957000000002</v>
      </c>
      <c r="T96" s="12">
        <v>0</v>
      </c>
      <c r="U96" s="12">
        <v>109.58666669999999</v>
      </c>
      <c r="V96" s="12">
        <v>1</v>
      </c>
      <c r="W96" s="12">
        <v>3.9264828999999999</v>
      </c>
      <c r="X96" s="12">
        <v>2.6763800999999998</v>
      </c>
      <c r="Y96" s="12">
        <v>23.802876699999999</v>
      </c>
      <c r="Z96" s="12">
        <v>-11.511205800000001</v>
      </c>
      <c r="AA96" s="12">
        <v>48.354298100000001</v>
      </c>
      <c r="AB96" s="12">
        <v>22.4972873</v>
      </c>
      <c r="AC96" s="12">
        <v>39.829066699999998</v>
      </c>
      <c r="AD96" s="12">
        <v>70.613136100000006</v>
      </c>
      <c r="AE96" s="12">
        <v>81.979664799999995</v>
      </c>
      <c r="AF96" s="12">
        <v>5.1158456000000001</v>
      </c>
      <c r="AG96" s="12">
        <v>18.572365999999999</v>
      </c>
    </row>
    <row r="97" spans="1:33" s="11" customFormat="1" hidden="1" outlineLevel="1" x14ac:dyDescent="0.3">
      <c r="A97" s="11" t="s">
        <v>103</v>
      </c>
      <c r="B97" s="12">
        <v>-0.1765746</v>
      </c>
      <c r="C97" s="12">
        <v>107.21</v>
      </c>
      <c r="D97" s="12">
        <v>1.3838102999999999</v>
      </c>
      <c r="E97" s="17">
        <v>0</v>
      </c>
      <c r="F97" s="13">
        <v>60.82</v>
      </c>
      <c r="G97" s="12">
        <v>8.8644523999999993</v>
      </c>
      <c r="H97" s="12">
        <v>8.8440446999999995</v>
      </c>
      <c r="I97" s="12">
        <v>-6.2485451999999997</v>
      </c>
      <c r="J97" s="12">
        <v>5.0927232</v>
      </c>
      <c r="K97" s="12">
        <v>-1.0331702</v>
      </c>
      <c r="L97" s="12">
        <v>6.5794573999999999</v>
      </c>
      <c r="M97" s="12">
        <v>71.248711499999999</v>
      </c>
      <c r="N97" s="12">
        <v>7.2955525000000003</v>
      </c>
      <c r="O97" s="12">
        <v>27.477900600000002</v>
      </c>
      <c r="P97" s="7">
        <v>645.20000000000005</v>
      </c>
      <c r="Q97" s="7">
        <v>48.8</v>
      </c>
      <c r="R97" s="7">
        <v>7.1</v>
      </c>
      <c r="S97" s="12">
        <v>4.9145298999999998</v>
      </c>
      <c r="T97" s="12">
        <v>0</v>
      </c>
      <c r="U97" s="12">
        <v>110.75</v>
      </c>
      <c r="V97" s="12">
        <v>1</v>
      </c>
      <c r="W97" s="12">
        <v>5.7503507000000003</v>
      </c>
      <c r="X97" s="12">
        <v>8.4164431999999998</v>
      </c>
      <c r="Y97" s="12">
        <v>25.0985306</v>
      </c>
      <c r="Z97" s="12">
        <v>-6.1539804</v>
      </c>
      <c r="AA97" s="12">
        <v>49.423882599999999</v>
      </c>
      <c r="AB97" s="12">
        <v>20.732949300000001</v>
      </c>
      <c r="AC97" s="12">
        <v>34.990397999999999</v>
      </c>
      <c r="AD97" s="12">
        <v>75.279329599999997</v>
      </c>
      <c r="AE97" s="12">
        <v>79.888268199999999</v>
      </c>
      <c r="AF97" s="12">
        <v>5.1569149999999997</v>
      </c>
      <c r="AG97" s="12">
        <v>17.0695242</v>
      </c>
    </row>
    <row r="98" spans="1:33" s="11" customFormat="1" hidden="1" outlineLevel="1" x14ac:dyDescent="0.3">
      <c r="A98" s="11" t="s">
        <v>104</v>
      </c>
      <c r="B98" s="12">
        <v>14.630134099999999</v>
      </c>
      <c r="C98" s="12">
        <v>108.82</v>
      </c>
      <c r="D98" s="12">
        <v>2.1752058000000001</v>
      </c>
      <c r="E98" s="17">
        <v>0</v>
      </c>
      <c r="F98" s="13">
        <v>68.833333300000007</v>
      </c>
      <c r="G98" s="12">
        <v>1.9923978</v>
      </c>
      <c r="H98" s="12">
        <v>13.5591287</v>
      </c>
      <c r="I98" s="12">
        <v>-3.0526634000000001</v>
      </c>
      <c r="J98" s="12">
        <v>13.3520287</v>
      </c>
      <c r="K98" s="12">
        <v>18.363522799999998</v>
      </c>
      <c r="L98" s="12">
        <v>2.2986409000000001</v>
      </c>
      <c r="M98" s="12">
        <v>65.913476500000002</v>
      </c>
      <c r="N98" s="12">
        <v>35.765187500000003</v>
      </c>
      <c r="O98" s="12">
        <v>59.512652299999999</v>
      </c>
      <c r="P98" s="7">
        <v>646</v>
      </c>
      <c r="Q98" s="7">
        <v>47.3</v>
      </c>
      <c r="R98" s="7">
        <v>6.9</v>
      </c>
      <c r="S98" s="12">
        <v>7.3272854000000001</v>
      </c>
      <c r="T98" s="12">
        <v>0</v>
      </c>
      <c r="U98" s="12">
        <v>112.48</v>
      </c>
      <c r="V98" s="12">
        <v>1</v>
      </c>
      <c r="W98" s="12">
        <v>22.654114700000001</v>
      </c>
      <c r="X98" s="12">
        <v>43.206488999999998</v>
      </c>
      <c r="Y98" s="12">
        <v>71.138963399999994</v>
      </c>
      <c r="Z98" s="12">
        <v>-10.419757600000001</v>
      </c>
      <c r="AA98" s="12">
        <v>49.715741299999998</v>
      </c>
      <c r="AB98" s="12">
        <v>19.3571682</v>
      </c>
      <c r="AC98" s="12">
        <v>36.836784299999998</v>
      </c>
      <c r="AD98" s="12">
        <v>78.119296800000001</v>
      </c>
      <c r="AE98" s="12">
        <v>86.233472899999995</v>
      </c>
      <c r="AF98" s="12">
        <v>6.7940797999999996</v>
      </c>
      <c r="AG98" s="12">
        <v>17.718566500000001</v>
      </c>
    </row>
    <row r="99" spans="1:33" s="11" customFormat="1" hidden="1" outlineLevel="1" x14ac:dyDescent="0.3">
      <c r="A99" s="11" t="s">
        <v>105</v>
      </c>
      <c r="B99" s="12">
        <v>4.8925850000000004</v>
      </c>
      <c r="C99" s="12">
        <v>109.55666669999999</v>
      </c>
      <c r="D99" s="12">
        <v>3.0927511999999999</v>
      </c>
      <c r="E99" s="17">
        <v>0</v>
      </c>
      <c r="F99" s="13">
        <v>73.47</v>
      </c>
      <c r="G99" s="12">
        <v>6.2823681000000002</v>
      </c>
      <c r="H99" s="12">
        <v>9.4954014000000004</v>
      </c>
      <c r="I99" s="12">
        <v>-0.70410229999999996</v>
      </c>
      <c r="J99" s="12">
        <v>6.1658974000000004</v>
      </c>
      <c r="K99" s="12">
        <v>12.3217116</v>
      </c>
      <c r="L99" s="12">
        <v>4.1600448999999999</v>
      </c>
      <c r="M99" s="12">
        <v>9.0159046000000007</v>
      </c>
      <c r="N99" s="12">
        <v>19.924679600000001</v>
      </c>
      <c r="O99" s="12">
        <v>20.297272499999998</v>
      </c>
      <c r="P99" s="7">
        <v>663.1</v>
      </c>
      <c r="Q99" s="7">
        <v>39.9</v>
      </c>
      <c r="R99" s="7">
        <v>5.7</v>
      </c>
      <c r="S99" s="12">
        <v>7.7723803</v>
      </c>
      <c r="T99" s="12">
        <v>0</v>
      </c>
      <c r="U99" s="12">
        <v>116.06</v>
      </c>
      <c r="V99" s="12">
        <v>1</v>
      </c>
      <c r="W99" s="12">
        <v>12.725684299999999</v>
      </c>
      <c r="X99" s="12">
        <v>32.456433599999997</v>
      </c>
      <c r="Y99" s="12">
        <v>32.091702499999997</v>
      </c>
      <c r="Z99" s="12">
        <v>-1.1185738000000001</v>
      </c>
      <c r="AA99" s="12">
        <v>51.146038799999999</v>
      </c>
      <c r="AB99" s="12">
        <v>18.424009399999999</v>
      </c>
      <c r="AC99" s="12">
        <v>29.881900600000002</v>
      </c>
      <c r="AD99" s="12">
        <v>79.137849200000005</v>
      </c>
      <c r="AE99" s="12">
        <v>78.979301399999997</v>
      </c>
      <c r="AF99" s="12">
        <v>4.9762984000000001</v>
      </c>
      <c r="AG99" s="12">
        <v>18.4535917</v>
      </c>
    </row>
    <row r="100" spans="1:33" s="11" customFormat="1" hidden="1" outlineLevel="1" x14ac:dyDescent="0.3">
      <c r="A100" s="11" t="s">
        <v>106</v>
      </c>
      <c r="B100" s="12">
        <v>5.3916862999999999</v>
      </c>
      <c r="C100" s="12">
        <v>111.5333333</v>
      </c>
      <c r="D100" s="12">
        <v>4.9396268000000001</v>
      </c>
      <c r="E100" s="17">
        <v>0</v>
      </c>
      <c r="F100" s="13">
        <v>79.586666699999995</v>
      </c>
      <c r="G100" s="12">
        <v>7.4593398000000004</v>
      </c>
      <c r="H100" s="12">
        <v>20.891418999999999</v>
      </c>
      <c r="I100" s="12">
        <v>-0.55716410000000005</v>
      </c>
      <c r="J100" s="12">
        <v>4.8185957999999998</v>
      </c>
      <c r="K100" s="12">
        <v>8.0794870999999997</v>
      </c>
      <c r="L100" s="12">
        <v>2.6231222999999999</v>
      </c>
      <c r="M100" s="12">
        <v>-36.8913005</v>
      </c>
      <c r="N100" s="12">
        <v>26.646791</v>
      </c>
      <c r="O100" s="12">
        <v>-0.57883269999999998</v>
      </c>
      <c r="P100" s="7">
        <v>662.6</v>
      </c>
      <c r="Q100" s="7">
        <v>36.299999999999997</v>
      </c>
      <c r="R100" s="7">
        <v>5.2</v>
      </c>
      <c r="S100" s="12">
        <v>7.2607261000000003</v>
      </c>
      <c r="T100" s="12">
        <v>0</v>
      </c>
      <c r="U100" s="12">
        <v>119.5966667</v>
      </c>
      <c r="V100" s="12">
        <v>1</v>
      </c>
      <c r="W100" s="12">
        <v>12.808145700000001</v>
      </c>
      <c r="X100" s="12">
        <v>43.339277600000003</v>
      </c>
      <c r="Y100" s="12">
        <v>13.5071981</v>
      </c>
      <c r="Z100" s="12">
        <v>5.7492877</v>
      </c>
      <c r="AA100" s="12">
        <v>48.943925999999998</v>
      </c>
      <c r="AB100" s="12">
        <v>21.434092</v>
      </c>
      <c r="AC100" s="12">
        <v>23.9084544</v>
      </c>
      <c r="AD100" s="12">
        <v>87.158693700000001</v>
      </c>
      <c r="AE100" s="12">
        <v>80.128966800000001</v>
      </c>
      <c r="AF100" s="12">
        <v>6.0784852999999996</v>
      </c>
      <c r="AG100" s="12">
        <v>17.753216299999998</v>
      </c>
    </row>
    <row r="101" spans="1:33" hidden="1" outlineLevel="1" x14ac:dyDescent="0.3">
      <c r="A101" t="s">
        <v>108</v>
      </c>
      <c r="B101" s="12">
        <v>5.7284746999999996</v>
      </c>
      <c r="C101" s="12">
        <v>114.2266667</v>
      </c>
      <c r="D101" s="12">
        <v>6.5447875</v>
      </c>
      <c r="E101" s="17">
        <v>0</v>
      </c>
      <c r="F101" s="12">
        <v>100.2966667</v>
      </c>
      <c r="G101" s="12">
        <v>11.2519755</v>
      </c>
      <c r="H101" s="12">
        <v>20.1765346</v>
      </c>
      <c r="I101" s="12">
        <v>-3.1622697999999998</v>
      </c>
      <c r="J101" s="12">
        <v>3.1081737999999999</v>
      </c>
      <c r="K101" s="12">
        <v>7.9326923000000003</v>
      </c>
      <c r="L101" s="12">
        <v>-0.80007269999999997</v>
      </c>
      <c r="M101" s="12">
        <v>-8.5644267000000003</v>
      </c>
      <c r="N101" s="12">
        <v>14.854371</v>
      </c>
      <c r="O101" s="12">
        <v>8.2909778000000003</v>
      </c>
      <c r="P101" s="7">
        <v>676.8</v>
      </c>
      <c r="Q101" s="7">
        <v>39.6</v>
      </c>
      <c r="R101" s="7">
        <v>5.5</v>
      </c>
      <c r="S101" s="12">
        <v>9.1999999999999993</v>
      </c>
      <c r="T101" s="12">
        <v>0</v>
      </c>
      <c r="U101" s="12">
        <v>124.5733333</v>
      </c>
      <c r="V101" s="12">
        <v>1</v>
      </c>
      <c r="W101" s="12">
        <v>5.0928382000000001</v>
      </c>
      <c r="X101" s="12">
        <v>34.685476899999998</v>
      </c>
      <c r="Y101" s="12">
        <v>27.407488300000001</v>
      </c>
      <c r="Z101" s="12">
        <v>-2.9341029000000001</v>
      </c>
      <c r="AA101" s="12">
        <v>50.545750599999998</v>
      </c>
      <c r="AB101" s="12">
        <v>19.386786099999998</v>
      </c>
      <c r="AC101" s="12">
        <v>31.010964300000001</v>
      </c>
      <c r="AD101" s="12">
        <v>85.954785999999999</v>
      </c>
      <c r="AE101" s="12">
        <v>86.286552999999998</v>
      </c>
      <c r="AF101" s="12">
        <v>6.9820956000000001</v>
      </c>
      <c r="AG101" s="12">
        <v>15.6321245</v>
      </c>
    </row>
    <row r="102" spans="1:33" hidden="1" outlineLevel="1" x14ac:dyDescent="0.3">
      <c r="A102" t="s">
        <v>109</v>
      </c>
      <c r="B102" s="12">
        <v>4.2015890999999996</v>
      </c>
      <c r="C102" s="12">
        <v>118.4333333</v>
      </c>
      <c r="D102" s="12">
        <v>8.8341604</v>
      </c>
      <c r="E102" s="17">
        <v>0</v>
      </c>
      <c r="F102" s="12">
        <v>113.5433333</v>
      </c>
      <c r="G102" s="12">
        <v>4.0870834</v>
      </c>
      <c r="H102" s="12">
        <v>18.812345199999999</v>
      </c>
      <c r="I102" s="12">
        <v>2.2081632</v>
      </c>
      <c r="J102" s="12">
        <v>0.20874239999999999</v>
      </c>
      <c r="K102" s="12">
        <v>3.9484712000000002</v>
      </c>
      <c r="L102" s="12">
        <v>0.49933129999999998</v>
      </c>
      <c r="M102" s="12">
        <v>-9.5107675999999994</v>
      </c>
      <c r="N102" s="12">
        <v>7.1251745</v>
      </c>
      <c r="O102" s="12">
        <v>1.4019454</v>
      </c>
      <c r="P102" s="7">
        <v>676.7</v>
      </c>
      <c r="Q102" s="7">
        <v>41.7</v>
      </c>
      <c r="R102" s="7">
        <v>5.8</v>
      </c>
      <c r="S102" s="12">
        <v>12.9</v>
      </c>
      <c r="T102" s="12">
        <v>0</v>
      </c>
      <c r="U102" s="12">
        <v>135.46666669999999</v>
      </c>
      <c r="V102" s="12">
        <v>1</v>
      </c>
      <c r="W102" s="12">
        <v>2.5996533999999998</v>
      </c>
      <c r="X102" s="12">
        <v>30.012773500000002</v>
      </c>
      <c r="Y102" s="12">
        <v>21.393769599999999</v>
      </c>
      <c r="Z102" s="12">
        <v>-5.4339335999999996</v>
      </c>
      <c r="AA102" s="12">
        <v>51.689317299999999</v>
      </c>
      <c r="AB102" s="12">
        <v>18.7799871</v>
      </c>
      <c r="AC102" s="12">
        <v>32.015576500000002</v>
      </c>
      <c r="AD102" s="12">
        <v>86.313628399999999</v>
      </c>
      <c r="AE102" s="12">
        <v>88.960299899999995</v>
      </c>
      <c r="AF102" s="12">
        <v>8.0290602</v>
      </c>
      <c r="AG102" s="12">
        <v>15.8331737</v>
      </c>
    </row>
    <row r="103" spans="1:33" hidden="1" outlineLevel="1" x14ac:dyDescent="0.3">
      <c r="A103" t="s">
        <v>110</v>
      </c>
      <c r="B103" s="12">
        <v>2.5907767000000002</v>
      </c>
      <c r="C103" s="12">
        <v>120.83</v>
      </c>
      <c r="D103" s="12">
        <v>10.289956500000001</v>
      </c>
      <c r="E103" s="17">
        <v>0.75</v>
      </c>
      <c r="F103" s="12">
        <v>100.7133333</v>
      </c>
      <c r="G103" s="12">
        <v>11.4844422</v>
      </c>
      <c r="H103" s="12">
        <v>13.4003567</v>
      </c>
      <c r="I103" s="12">
        <v>-4.07883E-2</v>
      </c>
      <c r="J103" s="12">
        <v>-0.50209720000000002</v>
      </c>
      <c r="K103" s="12">
        <v>-1.3256908000000001</v>
      </c>
      <c r="L103" s="12">
        <v>0.54747800000000002</v>
      </c>
      <c r="M103" s="12">
        <v>2.6397374</v>
      </c>
      <c r="N103" s="12">
        <v>3.3662057000000001</v>
      </c>
      <c r="O103" s="12">
        <v>3.2192303</v>
      </c>
      <c r="P103" s="7">
        <v>684.3</v>
      </c>
      <c r="Q103" s="7">
        <v>40.6</v>
      </c>
      <c r="R103" s="7">
        <v>5.6</v>
      </c>
      <c r="S103" s="12">
        <v>12.2</v>
      </c>
      <c r="T103" s="12">
        <v>1.25</v>
      </c>
      <c r="U103" s="12">
        <v>144.08000000000001</v>
      </c>
      <c r="V103" s="12">
        <v>1</v>
      </c>
      <c r="W103" s="12">
        <v>-4.0557995</v>
      </c>
      <c r="X103" s="12">
        <v>28.272152200000001</v>
      </c>
      <c r="Y103" s="12">
        <v>26.092248399999999</v>
      </c>
      <c r="Z103" s="12">
        <v>-1.4995061999999999</v>
      </c>
      <c r="AA103" s="12">
        <v>51.914902699999999</v>
      </c>
      <c r="AB103" s="12">
        <v>18.1840625</v>
      </c>
      <c r="AC103" s="12">
        <v>29.893521100000001</v>
      </c>
      <c r="AD103" s="12">
        <v>87.279421200000002</v>
      </c>
      <c r="AE103" s="12">
        <v>85.6232021</v>
      </c>
      <c r="AF103" s="12">
        <v>11.6574077</v>
      </c>
      <c r="AG103" s="12">
        <v>15.509384600000001</v>
      </c>
    </row>
    <row r="104" spans="1:33" hidden="1" outlineLevel="1" x14ac:dyDescent="0.3">
      <c r="A104" t="s">
        <v>111</v>
      </c>
      <c r="B104" s="12">
        <v>1.4006327999999999</v>
      </c>
      <c r="C104" s="12">
        <v>123.8</v>
      </c>
      <c r="D104" s="12">
        <v>10.9982068</v>
      </c>
      <c r="E104" s="17">
        <v>1.9166666999999999</v>
      </c>
      <c r="F104" s="12">
        <v>88.556666699999994</v>
      </c>
      <c r="G104" s="12">
        <v>11.828099</v>
      </c>
      <c r="H104" s="12">
        <v>5.6132277000000004</v>
      </c>
      <c r="I104" s="12">
        <v>-2.9746999999999999</v>
      </c>
      <c r="J104" s="12">
        <v>-4.1567644000000001</v>
      </c>
      <c r="K104" s="12">
        <v>-0.44268679999999999</v>
      </c>
      <c r="L104" s="12">
        <v>-3.6411300000000001E-2</v>
      </c>
      <c r="M104" s="12">
        <v>21.318023</v>
      </c>
      <c r="N104" s="12">
        <v>-9.8727532999999994</v>
      </c>
      <c r="O104" s="12">
        <v>0.5186288</v>
      </c>
      <c r="P104" s="7">
        <v>685.6</v>
      </c>
      <c r="Q104" s="7">
        <v>38.799999999999997</v>
      </c>
      <c r="R104" s="7">
        <v>5.4</v>
      </c>
      <c r="S104" s="12">
        <v>12.1</v>
      </c>
      <c r="T104" s="12">
        <v>2.5</v>
      </c>
      <c r="U104" s="12">
        <v>144.00666670000001</v>
      </c>
      <c r="V104" s="12">
        <v>1</v>
      </c>
      <c r="W104" s="12">
        <v>-11.1876485</v>
      </c>
      <c r="X104" s="12">
        <v>6.6069325000000001</v>
      </c>
      <c r="Y104" s="12">
        <v>17.122784800000002</v>
      </c>
      <c r="Z104" s="12">
        <v>-3.1045769000000001</v>
      </c>
      <c r="AA104" s="12">
        <v>51.503974300000003</v>
      </c>
      <c r="AB104" s="12">
        <v>21.625019500000001</v>
      </c>
      <c r="AC104" s="12">
        <v>30.041041100000001</v>
      </c>
      <c r="AD104" s="12">
        <v>83.691620299999997</v>
      </c>
      <c r="AE104" s="12">
        <v>84.530105500000005</v>
      </c>
      <c r="AF104" s="12">
        <v>10.865722699999999</v>
      </c>
      <c r="AG104" s="12">
        <v>18.487077599999999</v>
      </c>
    </row>
    <row r="105" spans="1:33" collapsed="1" x14ac:dyDescent="0.3">
      <c r="A105" t="s">
        <v>112</v>
      </c>
      <c r="B105" s="12">
        <v>1.3448477999999999</v>
      </c>
      <c r="C105" s="12">
        <v>124.9666667</v>
      </c>
      <c r="D105" s="12">
        <v>9.4023579000000002</v>
      </c>
      <c r="E105" s="17">
        <v>3</v>
      </c>
      <c r="F105" s="12">
        <v>81.173333299999996</v>
      </c>
      <c r="G105" s="12">
        <v>13.6530682</v>
      </c>
      <c r="H105" s="12">
        <v>10.5912734</v>
      </c>
      <c r="I105" s="12">
        <v>-4.3349719999999996</v>
      </c>
      <c r="J105" s="12">
        <v>-3.7156335999999999</v>
      </c>
      <c r="K105" s="12">
        <v>-1.0531339</v>
      </c>
      <c r="L105" s="12">
        <v>0.25662180000000001</v>
      </c>
      <c r="M105" s="12">
        <v>-11.2662811</v>
      </c>
      <c r="N105" s="12">
        <v>-6.0089182000000001</v>
      </c>
      <c r="O105" s="12">
        <v>-4.9447768999999999</v>
      </c>
      <c r="P105" s="7">
        <v>703.2</v>
      </c>
      <c r="Q105" s="7">
        <v>39.1</v>
      </c>
      <c r="R105" s="7">
        <v>5.3</v>
      </c>
      <c r="S105" s="12">
        <v>13.3463542</v>
      </c>
      <c r="T105" s="12">
        <v>3.5</v>
      </c>
      <c r="U105" s="12">
        <v>146.16666670000001</v>
      </c>
      <c r="V105" s="12">
        <v>1</v>
      </c>
      <c r="W105" s="12">
        <v>-8.9601211999999997</v>
      </c>
      <c r="X105" s="12">
        <v>5.2817356000000002</v>
      </c>
      <c r="Y105" s="12">
        <v>2.4770590000000001</v>
      </c>
      <c r="Z105" s="12">
        <v>-0.87107219999999996</v>
      </c>
      <c r="AA105" s="12">
        <v>52.979089700000003</v>
      </c>
      <c r="AB105" s="12">
        <v>20.448109500000001</v>
      </c>
      <c r="AC105" s="12">
        <v>27.175415099999999</v>
      </c>
      <c r="AD105" s="12">
        <v>83.113205399999998</v>
      </c>
      <c r="AE105" s="12">
        <v>81.211345499999993</v>
      </c>
      <c r="AF105" s="12">
        <v>9.7518867999999994</v>
      </c>
      <c r="AG105" s="12">
        <v>16.581151800000001</v>
      </c>
    </row>
    <row r="106" spans="1:33" x14ac:dyDescent="0.3">
      <c r="A106" t="s">
        <v>113</v>
      </c>
      <c r="B106" s="12">
        <v>0.20197219999999999</v>
      </c>
      <c r="C106" s="12">
        <v>126.9766667</v>
      </c>
      <c r="D106" s="12">
        <v>7.2136222999999999</v>
      </c>
      <c r="E106" s="17">
        <v>3.75</v>
      </c>
      <c r="F106" s="12">
        <v>78.316666699999999</v>
      </c>
      <c r="G106" s="12">
        <v>14.351782800000001</v>
      </c>
      <c r="H106" s="12">
        <v>8.9874345000000009</v>
      </c>
      <c r="I106" s="12">
        <v>0.38131860000000001</v>
      </c>
      <c r="J106" s="12">
        <v>-2.8746451</v>
      </c>
      <c r="K106" s="12">
        <v>-2.9951922</v>
      </c>
      <c r="L106" s="12">
        <v>1.7833378</v>
      </c>
      <c r="M106" s="12">
        <v>-23.848418299999999</v>
      </c>
      <c r="N106" s="12">
        <v>-5.3880771000000003</v>
      </c>
      <c r="O106" s="12">
        <v>-8.4144790999999994</v>
      </c>
      <c r="P106" s="7">
        <v>700.1</v>
      </c>
      <c r="Q106" s="7">
        <v>50.2</v>
      </c>
      <c r="R106" s="7">
        <v>6.7</v>
      </c>
      <c r="S106" s="12">
        <v>12.364946</v>
      </c>
      <c r="T106" s="12">
        <v>4</v>
      </c>
      <c r="U106" s="12">
        <v>150.47333330000001</v>
      </c>
      <c r="V106" s="12">
        <v>1</v>
      </c>
      <c r="W106" s="12">
        <v>-14.261583</v>
      </c>
      <c r="X106" s="12">
        <v>-2.6087519000000001</v>
      </c>
      <c r="Y106" s="12">
        <v>-7.1630146999999997</v>
      </c>
      <c r="Z106" s="12">
        <v>-2.7467684000000001</v>
      </c>
      <c r="AA106" s="12">
        <v>53.193410299999996</v>
      </c>
      <c r="AB106" s="12">
        <v>20.137657099999998</v>
      </c>
      <c r="AC106" s="12">
        <v>22.435127999999999</v>
      </c>
      <c r="AD106" s="12">
        <v>80.021668199999993</v>
      </c>
      <c r="AE106" s="12">
        <v>78.619605500000006</v>
      </c>
      <c r="AF106" s="12">
        <v>8.4630074999999998</v>
      </c>
      <c r="AG106" s="12">
        <v>18.0062827</v>
      </c>
    </row>
    <row r="107" spans="1:33" x14ac:dyDescent="0.3">
      <c r="A107" t="s">
        <v>114</v>
      </c>
      <c r="B107" s="12">
        <v>-0.19771859999999999</v>
      </c>
      <c r="C107" s="12">
        <v>127.6866667</v>
      </c>
      <c r="D107" s="12">
        <v>5.6746392999999999</v>
      </c>
      <c r="E107" s="17">
        <v>4.25</v>
      </c>
      <c r="F107" s="12">
        <v>86.66</v>
      </c>
      <c r="G107" s="12">
        <v>12.8953007</v>
      </c>
      <c r="H107" s="12">
        <v>7.2210941999999996</v>
      </c>
      <c r="I107" s="12">
        <v>-2.1503437000000001</v>
      </c>
      <c r="J107" s="12">
        <v>-3.9093510999999999</v>
      </c>
      <c r="K107" s="12">
        <v>-2.3712354000000002</v>
      </c>
      <c r="L107" s="12">
        <v>-0.58020170000000004</v>
      </c>
      <c r="M107" s="12">
        <v>6.3607693000000003</v>
      </c>
      <c r="N107" s="12">
        <v>-12.1007</v>
      </c>
      <c r="O107" s="12">
        <v>-6.0367183999999998</v>
      </c>
      <c r="P107" s="7">
        <v>698.7</v>
      </c>
      <c r="Q107" s="7">
        <v>54.8</v>
      </c>
      <c r="R107" s="7">
        <v>7.3</v>
      </c>
      <c r="S107" s="12">
        <v>10.4204753</v>
      </c>
      <c r="T107" s="12">
        <v>4.5</v>
      </c>
      <c r="U107" s="12">
        <v>150.99333329999999</v>
      </c>
      <c r="V107" s="12">
        <v>1</v>
      </c>
      <c r="W107" s="12">
        <v>-12.3855681</v>
      </c>
      <c r="X107" s="12">
        <v>-14.973005499999999</v>
      </c>
      <c r="Y107" s="12">
        <v>-11.393864900000001</v>
      </c>
      <c r="Z107" s="12">
        <v>-4.9615971999999999</v>
      </c>
      <c r="AA107" s="12">
        <v>53.449885399999999</v>
      </c>
      <c r="AB107" s="12">
        <v>19.724391099999998</v>
      </c>
      <c r="AC107" s="12">
        <v>30.363659500000001</v>
      </c>
      <c r="AD107" s="12">
        <v>73.306882799999997</v>
      </c>
      <c r="AE107" s="12">
        <v>74.752821900000001</v>
      </c>
      <c r="AF107" s="12">
        <v>6.9220876999999996</v>
      </c>
      <c r="AG107" s="12">
        <v>17.7719895</v>
      </c>
    </row>
    <row r="108" spans="1:33" x14ac:dyDescent="0.3">
      <c r="A108" t="s">
        <v>115</v>
      </c>
      <c r="B108" s="7" t="s">
        <v>107</v>
      </c>
      <c r="C108" s="12">
        <v>127.9933333</v>
      </c>
      <c r="D108" s="12">
        <v>3.3871836000000002</v>
      </c>
      <c r="E108" s="17">
        <v>4.5</v>
      </c>
      <c r="F108" s="12">
        <v>83.723333299999993</v>
      </c>
      <c r="G108" s="7" t="s">
        <v>107</v>
      </c>
      <c r="H108" s="7" t="s">
        <v>107</v>
      </c>
      <c r="I108" s="7" t="s">
        <v>107</v>
      </c>
      <c r="J108" s="7" t="s">
        <v>107</v>
      </c>
      <c r="K108" s="7" t="s">
        <v>107</v>
      </c>
      <c r="L108" s="7" t="s">
        <v>107</v>
      </c>
      <c r="M108" s="7" t="s">
        <v>107</v>
      </c>
      <c r="N108" s="7" t="s">
        <v>107</v>
      </c>
      <c r="O108" s="7" t="s">
        <v>107</v>
      </c>
      <c r="P108" s="7" t="s">
        <v>107</v>
      </c>
      <c r="Q108" s="7" t="s">
        <v>107</v>
      </c>
      <c r="R108" s="7" t="s">
        <v>107</v>
      </c>
      <c r="S108" s="7" t="s">
        <v>107</v>
      </c>
      <c r="T108" s="12">
        <v>4.5</v>
      </c>
      <c r="U108" s="12">
        <v>150.46</v>
      </c>
      <c r="V108" s="12">
        <v>1</v>
      </c>
      <c r="W108" s="7" t="s">
        <v>107</v>
      </c>
      <c r="X108" s="7" t="s">
        <v>107</v>
      </c>
      <c r="Y108" s="7" t="s">
        <v>107</v>
      </c>
      <c r="Z108" s="7" t="s">
        <v>107</v>
      </c>
      <c r="AA108" s="7" t="s">
        <v>107</v>
      </c>
      <c r="AB108" s="7" t="s">
        <v>107</v>
      </c>
      <c r="AC108" s="7" t="s">
        <v>107</v>
      </c>
      <c r="AD108" s="7" t="s">
        <v>107</v>
      </c>
      <c r="AE108" s="7" t="s">
        <v>107</v>
      </c>
      <c r="AF108" s="7" t="s">
        <v>107</v>
      </c>
      <c r="AG108" s="7" t="s">
        <v>107</v>
      </c>
    </row>
  </sheetData>
  <pageMargins left="0.7" right="0.7" top="0.75" bottom="0.75" header="0.3" footer="0.3"/>
  <pageSetup paperSize="9" orientation="portrait" horizontalDpi="90" verticalDpi="90"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00F71-1761-474B-9EDF-4986C0CB6DD7}">
  <sheetPr codeName="Tabelle23">
    <tabColor rgb="FFFFFF00"/>
  </sheetPr>
  <dimension ref="A1:AG108"/>
  <sheetViews>
    <sheetView workbookViewId="0">
      <pane xSplit="1" ySplit="12" topLeftCell="S91" activePane="bottomRight" state="frozen"/>
      <selection activeCell="E12" sqref="E12"/>
      <selection pane="topRight" activeCell="E12" sqref="E12"/>
      <selection pane="bottomLeft" activeCell="E12" sqref="E12"/>
      <selection pane="bottomRight" activeCell="AG1" sqref="AG1"/>
    </sheetView>
  </sheetViews>
  <sheetFormatPr defaultColWidth="9.109375" defaultRowHeight="14.4" outlineLevelRow="1" x14ac:dyDescent="0.3"/>
  <cols>
    <col min="2" max="2" width="11.5546875" bestFit="1" customWidth="1"/>
    <col min="4" max="4" width="12.44140625" customWidth="1"/>
    <col min="7" max="7" width="12.44140625" bestFit="1" customWidth="1"/>
    <col min="18" max="18" width="11.109375" bestFit="1" customWidth="1"/>
    <col min="19" max="19" width="12.44140625" bestFit="1" customWidth="1"/>
    <col min="24" max="24" width="12.5546875" bestFit="1" customWidth="1"/>
    <col min="25" max="25" width="12.6640625" bestFit="1" customWidth="1"/>
    <col min="27" max="27" width="13.6640625" customWidth="1"/>
  </cols>
  <sheetData>
    <row r="1" spans="1:33" s="8" customFormat="1" x14ac:dyDescent="0.3">
      <c r="A1" s="8" t="s">
        <v>0</v>
      </c>
      <c r="B1" s="8" t="s">
        <v>1</v>
      </c>
      <c r="C1" s="8" t="s">
        <v>2</v>
      </c>
      <c r="D1" s="8" t="s">
        <v>3</v>
      </c>
      <c r="E1" s="14" t="s">
        <v>4</v>
      </c>
      <c r="F1" s="8" t="s">
        <v>5</v>
      </c>
      <c r="G1" s="8" t="s">
        <v>6</v>
      </c>
      <c r="H1" s="8" t="s">
        <v>254</v>
      </c>
      <c r="I1" s="8" t="s">
        <v>7</v>
      </c>
      <c r="J1" s="8" t="s">
        <v>230</v>
      </c>
      <c r="K1" s="8" t="s">
        <v>231</v>
      </c>
      <c r="L1" s="8" t="s">
        <v>232</v>
      </c>
      <c r="M1" s="8" t="s">
        <v>233</v>
      </c>
      <c r="N1" s="8" t="s">
        <v>234</v>
      </c>
      <c r="O1" s="8" t="s">
        <v>235</v>
      </c>
      <c r="P1" s="8" t="s">
        <v>8</v>
      </c>
      <c r="Q1" s="8" t="s">
        <v>9</v>
      </c>
      <c r="R1" s="8" t="s">
        <v>10</v>
      </c>
      <c r="S1" s="8" t="s">
        <v>11</v>
      </c>
      <c r="T1" s="14" t="s">
        <v>12</v>
      </c>
      <c r="U1" s="8" t="s">
        <v>13</v>
      </c>
      <c r="V1" s="8" t="s">
        <v>14</v>
      </c>
      <c r="W1" s="8" t="s">
        <v>15</v>
      </c>
      <c r="X1" s="8" t="s">
        <v>16</v>
      </c>
      <c r="Y1" s="8" t="s">
        <v>17</v>
      </c>
      <c r="Z1" s="8" t="s">
        <v>18</v>
      </c>
      <c r="AA1" s="8" t="s">
        <v>248</v>
      </c>
      <c r="AB1" s="8" t="s">
        <v>236</v>
      </c>
      <c r="AC1" s="8" t="s">
        <v>237</v>
      </c>
      <c r="AD1" s="8" t="s">
        <v>238</v>
      </c>
      <c r="AE1" s="8" t="s">
        <v>239</v>
      </c>
      <c r="AF1" s="14" t="s">
        <v>255</v>
      </c>
      <c r="AG1" s="14" t="s">
        <v>1317</v>
      </c>
    </row>
    <row r="2" spans="1:33" s="10" customFormat="1" outlineLevel="1" x14ac:dyDescent="0.3">
      <c r="B2" s="26"/>
      <c r="C2" s="26"/>
      <c r="D2" s="26" t="s">
        <v>198</v>
      </c>
      <c r="E2" s="26"/>
      <c r="F2" s="26"/>
      <c r="G2" s="26" t="s">
        <v>392</v>
      </c>
      <c r="H2" s="26" t="s">
        <v>394</v>
      </c>
      <c r="I2" s="26"/>
      <c r="J2" s="26" t="s">
        <v>376</v>
      </c>
      <c r="K2" s="26" t="s">
        <v>379</v>
      </c>
      <c r="L2" s="26" t="s">
        <v>381</v>
      </c>
      <c r="M2" s="26" t="s">
        <v>383</v>
      </c>
      <c r="N2" s="26" t="s">
        <v>385</v>
      </c>
      <c r="O2" s="26" t="s">
        <v>387</v>
      </c>
      <c r="P2" s="26"/>
      <c r="Q2" s="26"/>
      <c r="R2" s="26"/>
      <c r="S2" s="26" t="s">
        <v>389</v>
      </c>
      <c r="T2" s="26"/>
      <c r="U2" s="26"/>
      <c r="V2" s="26"/>
      <c r="W2" s="26" t="s">
        <v>367</v>
      </c>
      <c r="X2" s="26" t="s">
        <v>362</v>
      </c>
      <c r="Y2" s="26" t="s">
        <v>364</v>
      </c>
      <c r="Z2" s="26"/>
      <c r="AA2" s="26" t="s">
        <v>357</v>
      </c>
      <c r="AB2" s="26"/>
      <c r="AC2" s="26"/>
      <c r="AD2" s="26"/>
      <c r="AE2" s="26"/>
      <c r="AF2" s="26" t="s">
        <v>892</v>
      </c>
      <c r="AG2" s="26"/>
    </row>
    <row r="3" spans="1:33" outlineLevel="1" x14ac:dyDescent="0.3">
      <c r="B3" s="27" t="s">
        <v>123</v>
      </c>
      <c r="C3" s="27" t="s">
        <v>195</v>
      </c>
      <c r="D3" s="27" t="s">
        <v>195</v>
      </c>
      <c r="E3" s="27" t="s">
        <v>186</v>
      </c>
      <c r="F3" s="27" t="s">
        <v>125</v>
      </c>
      <c r="G3" s="27" t="s">
        <v>125</v>
      </c>
      <c r="H3" s="27" t="s">
        <v>125</v>
      </c>
      <c r="I3" s="27" t="s">
        <v>125</v>
      </c>
      <c r="J3" s="27" t="s">
        <v>378</v>
      </c>
      <c r="K3" s="27" t="s">
        <v>326</v>
      </c>
      <c r="L3" s="27" t="s">
        <v>326</v>
      </c>
      <c r="M3" s="27" t="s">
        <v>326</v>
      </c>
      <c r="N3" s="27" t="s">
        <v>326</v>
      </c>
      <c r="O3" s="27" t="s">
        <v>326</v>
      </c>
      <c r="P3" s="27" t="s">
        <v>372</v>
      </c>
      <c r="Q3" s="27" t="s">
        <v>372</v>
      </c>
      <c r="R3" s="27" t="s">
        <v>372</v>
      </c>
      <c r="S3" s="27" t="s">
        <v>391</v>
      </c>
      <c r="T3" s="27" t="s">
        <v>396</v>
      </c>
      <c r="U3" s="27" t="s">
        <v>125</v>
      </c>
      <c r="V3" s="27" t="s">
        <v>284</v>
      </c>
      <c r="W3" s="27" t="s">
        <v>369</v>
      </c>
      <c r="X3" s="27" t="s">
        <v>207</v>
      </c>
      <c r="Y3" s="27" t="s">
        <v>207</v>
      </c>
      <c r="Z3" s="27" t="s">
        <v>203</v>
      </c>
      <c r="AA3" s="27" t="s">
        <v>125</v>
      </c>
      <c r="AB3" s="27" t="s">
        <v>125</v>
      </c>
      <c r="AC3" s="27" t="s">
        <v>125</v>
      </c>
      <c r="AD3" s="27" t="s">
        <v>125</v>
      </c>
      <c r="AE3" s="27" t="s">
        <v>125</v>
      </c>
      <c r="AF3" s="27" t="s">
        <v>125</v>
      </c>
      <c r="AG3" s="27" t="s">
        <v>125</v>
      </c>
    </row>
    <row r="4" spans="1:33" outlineLevel="1" x14ac:dyDescent="0.3">
      <c r="B4" s="2">
        <v>144396</v>
      </c>
      <c r="C4" s="2">
        <v>77811</v>
      </c>
      <c r="D4" s="2">
        <v>77812</v>
      </c>
      <c r="E4" s="2">
        <v>144399</v>
      </c>
      <c r="F4" s="27">
        <v>101874</v>
      </c>
      <c r="G4" s="27">
        <v>53439</v>
      </c>
      <c r="H4" s="27">
        <v>53438</v>
      </c>
      <c r="I4" s="27">
        <v>89226</v>
      </c>
      <c r="J4" s="2">
        <v>88672</v>
      </c>
      <c r="K4" s="2">
        <v>90878</v>
      </c>
      <c r="L4" s="2">
        <v>90922</v>
      </c>
      <c r="M4" s="2">
        <v>90944</v>
      </c>
      <c r="N4" s="2">
        <v>90988</v>
      </c>
      <c r="O4" s="2">
        <v>91010</v>
      </c>
      <c r="P4" s="2">
        <v>154</v>
      </c>
      <c r="Q4" s="2">
        <v>262</v>
      </c>
      <c r="R4" s="2">
        <v>279</v>
      </c>
      <c r="S4" s="2">
        <v>316</v>
      </c>
      <c r="T4" s="2">
        <v>762</v>
      </c>
      <c r="U4" s="27">
        <v>573</v>
      </c>
      <c r="V4" s="2">
        <v>965</v>
      </c>
      <c r="W4" s="2">
        <v>102937</v>
      </c>
      <c r="X4" s="2">
        <v>87180</v>
      </c>
      <c r="Y4" s="2">
        <v>87191</v>
      </c>
      <c r="Z4" s="2">
        <v>88749</v>
      </c>
      <c r="AA4" s="27">
        <v>90350</v>
      </c>
      <c r="AB4" s="27">
        <v>90394</v>
      </c>
      <c r="AC4" s="27">
        <v>90416</v>
      </c>
      <c r="AD4" s="27">
        <v>90504</v>
      </c>
      <c r="AE4" s="27">
        <v>90526</v>
      </c>
      <c r="AF4" s="27">
        <v>89624</v>
      </c>
      <c r="AG4" s="27">
        <v>141285</v>
      </c>
    </row>
    <row r="5" spans="1:33" outlineLevel="1" x14ac:dyDescent="0.3">
      <c r="B5" s="27" t="s">
        <v>221</v>
      </c>
      <c r="C5" s="27" t="s">
        <v>194</v>
      </c>
      <c r="D5" s="27" t="s">
        <v>199</v>
      </c>
      <c r="E5" s="27" t="s">
        <v>253</v>
      </c>
      <c r="F5" s="27" t="s">
        <v>189</v>
      </c>
      <c r="G5" s="27" t="s">
        <v>393</v>
      </c>
      <c r="H5" s="27" t="s">
        <v>395</v>
      </c>
      <c r="I5" s="27" t="s">
        <v>375</v>
      </c>
      <c r="J5" s="27" t="s">
        <v>377</v>
      </c>
      <c r="K5" s="27" t="s">
        <v>380</v>
      </c>
      <c r="L5" s="27" t="s">
        <v>382</v>
      </c>
      <c r="M5" s="27" t="s">
        <v>384</v>
      </c>
      <c r="N5" s="27" t="s">
        <v>386</v>
      </c>
      <c r="O5" s="27" t="s">
        <v>388</v>
      </c>
      <c r="P5" s="27" t="s">
        <v>373</v>
      </c>
      <c r="Q5" s="27" t="s">
        <v>374</v>
      </c>
      <c r="R5" s="27" t="s">
        <v>371</v>
      </c>
      <c r="S5" s="27" t="s">
        <v>390</v>
      </c>
      <c r="T5" s="27" t="s">
        <v>1313</v>
      </c>
      <c r="U5" s="27" t="s">
        <v>370</v>
      </c>
      <c r="V5" s="27" t="s">
        <v>366</v>
      </c>
      <c r="W5" s="27" t="s">
        <v>368</v>
      </c>
      <c r="X5" s="27" t="s">
        <v>363</v>
      </c>
      <c r="Y5" s="27" t="s">
        <v>365</v>
      </c>
      <c r="Z5" s="27" t="s">
        <v>356</v>
      </c>
      <c r="AA5" s="27" t="s">
        <v>353</v>
      </c>
      <c r="AB5" s="27" t="s">
        <v>358</v>
      </c>
      <c r="AC5" s="27" t="s">
        <v>359</v>
      </c>
      <c r="AD5" s="27" t="s">
        <v>360</v>
      </c>
      <c r="AE5" s="27" t="s">
        <v>361</v>
      </c>
      <c r="AF5" s="27" t="s">
        <v>893</v>
      </c>
      <c r="AG5" s="27" t="s">
        <v>876</v>
      </c>
    </row>
    <row r="6" spans="1:33" outlineLevel="1" x14ac:dyDescent="0.3">
      <c r="B6" s="27" t="s">
        <v>222</v>
      </c>
      <c r="C6" s="27" t="s">
        <v>196</v>
      </c>
      <c r="D6" s="27" t="s">
        <v>196</v>
      </c>
      <c r="E6" s="27" t="s">
        <v>187</v>
      </c>
      <c r="F6" s="27" t="s">
        <v>190</v>
      </c>
      <c r="G6" s="27" t="s">
        <v>354</v>
      </c>
      <c r="H6" s="27" t="s">
        <v>354</v>
      </c>
      <c r="I6" s="27" t="s">
        <v>354</v>
      </c>
      <c r="J6" s="27" t="s">
        <v>354</v>
      </c>
      <c r="K6" s="27" t="s">
        <v>354</v>
      </c>
      <c r="L6" s="27" t="s">
        <v>354</v>
      </c>
      <c r="M6" s="27" t="s">
        <v>354</v>
      </c>
      <c r="N6" s="27" t="s">
        <v>354</v>
      </c>
      <c r="O6" s="27" t="s">
        <v>354</v>
      </c>
      <c r="P6" s="27" t="s">
        <v>354</v>
      </c>
      <c r="Q6" s="27" t="s">
        <v>354</v>
      </c>
      <c r="R6" s="27" t="s">
        <v>354</v>
      </c>
      <c r="S6" s="27" t="s">
        <v>354</v>
      </c>
      <c r="T6" s="27" t="s">
        <v>354</v>
      </c>
      <c r="U6" s="27" t="s">
        <v>354</v>
      </c>
      <c r="V6" s="27" t="s">
        <v>354</v>
      </c>
      <c r="W6" s="27" t="s">
        <v>354</v>
      </c>
      <c r="X6" s="27" t="s">
        <v>354</v>
      </c>
      <c r="Y6" s="27" t="s">
        <v>354</v>
      </c>
      <c r="Z6" s="27" t="s">
        <v>354</v>
      </c>
      <c r="AA6" s="27" t="s">
        <v>354</v>
      </c>
      <c r="AB6" s="27" t="s">
        <v>354</v>
      </c>
      <c r="AC6" s="27" t="s">
        <v>354</v>
      </c>
      <c r="AD6" s="27" t="s">
        <v>354</v>
      </c>
      <c r="AE6" s="27" t="s">
        <v>354</v>
      </c>
      <c r="AF6" s="27" t="s">
        <v>354</v>
      </c>
      <c r="AG6" s="27" t="s">
        <v>354</v>
      </c>
    </row>
    <row r="7" spans="1:33" outlineLevel="1" x14ac:dyDescent="0.3">
      <c r="B7" s="27" t="s">
        <v>223</v>
      </c>
      <c r="C7" s="27" t="s">
        <v>197</v>
      </c>
      <c r="D7" s="27" t="s">
        <v>197</v>
      </c>
      <c r="E7" s="27" t="s">
        <v>188</v>
      </c>
      <c r="F7" s="27" t="s">
        <v>191</v>
      </c>
      <c r="G7" s="27" t="s">
        <v>355</v>
      </c>
      <c r="H7" s="27" t="s">
        <v>355</v>
      </c>
      <c r="I7" s="27" t="s">
        <v>355</v>
      </c>
      <c r="J7" s="27" t="s">
        <v>355</v>
      </c>
      <c r="K7" s="27" t="s">
        <v>355</v>
      </c>
      <c r="L7" s="27" t="s">
        <v>355</v>
      </c>
      <c r="M7" s="27" t="s">
        <v>355</v>
      </c>
      <c r="N7" s="27" t="s">
        <v>355</v>
      </c>
      <c r="O7" s="27" t="s">
        <v>355</v>
      </c>
      <c r="P7" s="27" t="s">
        <v>355</v>
      </c>
      <c r="Q7" s="27" t="s">
        <v>355</v>
      </c>
      <c r="R7" s="27" t="s">
        <v>355</v>
      </c>
      <c r="S7" s="27" t="s">
        <v>355</v>
      </c>
      <c r="T7" s="27" t="s">
        <v>355</v>
      </c>
      <c r="U7" s="27" t="s">
        <v>355</v>
      </c>
      <c r="V7" s="27" t="s">
        <v>355</v>
      </c>
      <c r="W7" s="27" t="s">
        <v>355</v>
      </c>
      <c r="X7" s="27" t="s">
        <v>355</v>
      </c>
      <c r="Y7" s="27" t="s">
        <v>355</v>
      </c>
      <c r="Z7" s="27" t="s">
        <v>355</v>
      </c>
      <c r="AA7" s="27" t="s">
        <v>355</v>
      </c>
      <c r="AB7" s="27" t="s">
        <v>355</v>
      </c>
      <c r="AC7" s="27" t="s">
        <v>355</v>
      </c>
      <c r="AD7" s="27" t="s">
        <v>355</v>
      </c>
      <c r="AE7" s="27" t="s">
        <v>355</v>
      </c>
      <c r="AF7" s="27" t="s">
        <v>355</v>
      </c>
      <c r="AG7" s="27" t="s">
        <v>355</v>
      </c>
    </row>
    <row r="8" spans="1:33" outlineLevel="1" x14ac:dyDescent="0.3">
      <c r="A8" s="16" t="s">
        <v>489</v>
      </c>
      <c r="B8" s="27" t="s">
        <v>120</v>
      </c>
      <c r="C8" s="27" t="s">
        <v>163</v>
      </c>
      <c r="D8" s="27" t="s">
        <v>163</v>
      </c>
      <c r="E8" s="27" t="s">
        <v>159</v>
      </c>
      <c r="F8" s="27"/>
      <c r="G8" s="27" t="s">
        <v>179</v>
      </c>
      <c r="H8" s="27" t="s">
        <v>173</v>
      </c>
      <c r="I8" s="27" t="s">
        <v>182</v>
      </c>
      <c r="J8" s="27" t="s">
        <v>120</v>
      </c>
      <c r="K8" s="27" t="s">
        <v>126</v>
      </c>
      <c r="L8" s="27" t="s">
        <v>129</v>
      </c>
      <c r="M8" s="27" t="s">
        <v>132</v>
      </c>
      <c r="N8" s="27" t="s">
        <v>135</v>
      </c>
      <c r="O8" s="27" t="s">
        <v>138</v>
      </c>
      <c r="P8" s="27" t="s">
        <v>141</v>
      </c>
      <c r="Q8" s="27" t="s">
        <v>146</v>
      </c>
      <c r="R8" s="27" t="s">
        <v>149</v>
      </c>
      <c r="S8" s="27" t="s">
        <v>154</v>
      </c>
      <c r="T8" s="27" t="s">
        <v>159</v>
      </c>
      <c r="U8" s="27" t="s">
        <v>163</v>
      </c>
      <c r="V8" s="27" t="s">
        <v>168</v>
      </c>
      <c r="W8" s="27" t="s">
        <v>217</v>
      </c>
      <c r="X8" s="27" t="s">
        <v>208</v>
      </c>
      <c r="Y8" s="27" t="s">
        <v>213</v>
      </c>
      <c r="Z8" s="27" t="s">
        <v>204</v>
      </c>
      <c r="AA8" s="27" t="s">
        <v>126</v>
      </c>
      <c r="AB8" s="27" t="s">
        <v>129</v>
      </c>
      <c r="AC8" s="27" t="s">
        <v>132</v>
      </c>
      <c r="AD8" s="27" t="s">
        <v>135</v>
      </c>
      <c r="AE8" s="27" t="s">
        <v>138</v>
      </c>
      <c r="AF8" s="27" t="s">
        <v>351</v>
      </c>
      <c r="AG8" s="27" t="s">
        <v>402</v>
      </c>
    </row>
    <row r="9" spans="1:33" outlineLevel="1" x14ac:dyDescent="0.3">
      <c r="A9" s="16" t="s">
        <v>490</v>
      </c>
      <c r="B9" s="27" t="s">
        <v>121</v>
      </c>
      <c r="C9" s="27" t="s">
        <v>164</v>
      </c>
      <c r="D9" s="27" t="s">
        <v>164</v>
      </c>
      <c r="E9" s="27" t="s">
        <v>160</v>
      </c>
      <c r="F9" s="27"/>
      <c r="G9" s="27" t="s">
        <v>180</v>
      </c>
      <c r="H9" s="27" t="s">
        <v>174</v>
      </c>
      <c r="I9" s="27" t="s">
        <v>183</v>
      </c>
      <c r="J9" s="27" t="s">
        <v>121</v>
      </c>
      <c r="K9" s="27" t="s">
        <v>127</v>
      </c>
      <c r="L9" s="27" t="s">
        <v>130</v>
      </c>
      <c r="M9" s="27" t="s">
        <v>133</v>
      </c>
      <c r="N9" s="27" t="s">
        <v>136</v>
      </c>
      <c r="O9" s="27" t="s">
        <v>139</v>
      </c>
      <c r="P9" s="27" t="s">
        <v>142</v>
      </c>
      <c r="Q9" s="27" t="s">
        <v>147</v>
      </c>
      <c r="R9" s="27" t="s">
        <v>150</v>
      </c>
      <c r="S9" s="27" t="s">
        <v>155</v>
      </c>
      <c r="T9" s="27" t="s">
        <v>160</v>
      </c>
      <c r="U9" s="27" t="s">
        <v>164</v>
      </c>
      <c r="V9" s="27" t="s">
        <v>169</v>
      </c>
      <c r="W9" s="27" t="s">
        <v>218</v>
      </c>
      <c r="X9" s="27" t="s">
        <v>209</v>
      </c>
      <c r="Y9" s="27" t="s">
        <v>214</v>
      </c>
      <c r="Z9" s="27" t="s">
        <v>205</v>
      </c>
      <c r="AA9" s="27" t="s">
        <v>127</v>
      </c>
      <c r="AB9" s="27" t="s">
        <v>130</v>
      </c>
      <c r="AC9" s="27" t="s">
        <v>133</v>
      </c>
      <c r="AD9" s="27" t="s">
        <v>136</v>
      </c>
      <c r="AE9" s="27" t="s">
        <v>139</v>
      </c>
      <c r="AF9" s="27" t="s">
        <v>352</v>
      </c>
      <c r="AG9" s="28" t="s">
        <v>403</v>
      </c>
    </row>
    <row r="10" spans="1:33" outlineLevel="1" x14ac:dyDescent="0.3">
      <c r="A10" s="16" t="s">
        <v>491</v>
      </c>
      <c r="B10" s="27" t="s">
        <v>224</v>
      </c>
      <c r="C10" s="27" t="s">
        <v>165</v>
      </c>
      <c r="D10" s="27" t="s">
        <v>200</v>
      </c>
      <c r="E10" s="27" t="s">
        <v>226</v>
      </c>
      <c r="F10" s="27"/>
      <c r="G10" s="27" t="s">
        <v>175</v>
      </c>
      <c r="H10" s="27" t="s">
        <v>175</v>
      </c>
      <c r="I10" s="27" t="s">
        <v>184</v>
      </c>
      <c r="J10" s="27" t="s">
        <v>122</v>
      </c>
      <c r="K10" s="27" t="s">
        <v>122</v>
      </c>
      <c r="L10" s="27" t="s">
        <v>122</v>
      </c>
      <c r="M10" s="27" t="s">
        <v>122</v>
      </c>
      <c r="N10" s="27" t="s">
        <v>122</v>
      </c>
      <c r="O10" s="27" t="s">
        <v>122</v>
      </c>
      <c r="P10" s="27" t="s">
        <v>143</v>
      </c>
      <c r="Q10" s="27" t="s">
        <v>143</v>
      </c>
      <c r="R10" s="27" t="s">
        <v>151</v>
      </c>
      <c r="S10" s="27" t="s">
        <v>156</v>
      </c>
      <c r="T10" s="27" t="s">
        <v>447</v>
      </c>
      <c r="U10" s="27" t="s">
        <v>165</v>
      </c>
      <c r="V10" s="27" t="s">
        <v>170</v>
      </c>
      <c r="W10" s="27" t="s">
        <v>219</v>
      </c>
      <c r="X10" s="27" t="s">
        <v>210</v>
      </c>
      <c r="Y10" s="27" t="s">
        <v>210</v>
      </c>
      <c r="Z10" s="27" t="s">
        <v>184</v>
      </c>
      <c r="AA10" s="27" t="s">
        <v>184</v>
      </c>
      <c r="AB10" s="27" t="s">
        <v>184</v>
      </c>
      <c r="AC10" s="27" t="s">
        <v>184</v>
      </c>
      <c r="AD10" s="27" t="s">
        <v>184</v>
      </c>
      <c r="AE10" s="27" t="s">
        <v>184</v>
      </c>
      <c r="AF10" s="27" t="s">
        <v>156</v>
      </c>
      <c r="AG10" s="27" t="s">
        <v>184</v>
      </c>
    </row>
    <row r="11" spans="1:33" outlineLevel="1" x14ac:dyDescent="0.3">
      <c r="A11" s="16" t="s">
        <v>492</v>
      </c>
      <c r="B11" s="27" t="s">
        <v>225</v>
      </c>
      <c r="C11" s="27" t="s">
        <v>166</v>
      </c>
      <c r="D11" s="27" t="s">
        <v>201</v>
      </c>
      <c r="E11" s="27" t="s">
        <v>227</v>
      </c>
      <c r="F11" s="27"/>
      <c r="G11" s="27" t="s">
        <v>176</v>
      </c>
      <c r="H11" s="27" t="s">
        <v>176</v>
      </c>
      <c r="I11" s="27" t="s">
        <v>185</v>
      </c>
      <c r="J11" s="27" t="s">
        <v>118</v>
      </c>
      <c r="K11" s="27" t="s">
        <v>118</v>
      </c>
      <c r="L11" s="27" t="s">
        <v>118</v>
      </c>
      <c r="M11" s="27" t="s">
        <v>118</v>
      </c>
      <c r="N11" s="27" t="s">
        <v>118</v>
      </c>
      <c r="O11" s="27" t="s">
        <v>118</v>
      </c>
      <c r="P11" s="27" t="s">
        <v>144</v>
      </c>
      <c r="Q11" s="27" t="s">
        <v>144</v>
      </c>
      <c r="R11" s="27" t="s">
        <v>152</v>
      </c>
      <c r="S11" s="27" t="s">
        <v>157</v>
      </c>
      <c r="T11" s="27" t="s">
        <v>448</v>
      </c>
      <c r="U11" s="27" t="s">
        <v>166</v>
      </c>
      <c r="V11" s="27" t="s">
        <v>171</v>
      </c>
      <c r="W11" s="27" t="s">
        <v>220</v>
      </c>
      <c r="X11" s="27" t="s">
        <v>211</v>
      </c>
      <c r="Y11" s="27" t="s">
        <v>211</v>
      </c>
      <c r="Z11" s="27" t="s">
        <v>185</v>
      </c>
      <c r="AA11" s="27" t="s">
        <v>185</v>
      </c>
      <c r="AB11" s="27" t="s">
        <v>185</v>
      </c>
      <c r="AC11" s="27" t="s">
        <v>185</v>
      </c>
      <c r="AD11" s="27" t="s">
        <v>185</v>
      </c>
      <c r="AE11" s="27" t="s">
        <v>185</v>
      </c>
      <c r="AF11" s="27" t="s">
        <v>157</v>
      </c>
      <c r="AG11" s="27" t="s">
        <v>185</v>
      </c>
    </row>
    <row r="12" spans="1:33" outlineLevel="1" x14ac:dyDescent="0.3">
      <c r="B12" s="4" t="str">
        <f>INDEX({"31/01/2024 @ 15:43","macro_id=DBGlobal","label_id=144396","time=Q","year_from=2000","year_to=2023","direction=V","opt_font=true","fontsize=8","opt_color=true","col_desc=Calculation:10;Footnote 1:9;ID:8;Label:7;Reporter:6:s;Reporter:5:long;Indicator:4:s;Indicator:3:l;Unit:2:s;Unit:1:long;","numberformat=0.00","auto_tr=1999|2015","com=true","comp=4"},1,1)</f>
        <v>31/01/2024 @ 15:43</v>
      </c>
      <c r="C12" s="4" t="str">
        <f>INDEX({"31/01/2024 @ 15:43","macro_id=DBGlobal","label_id=77811","time=Q","year_from=2000","year_to=2023","direction=V","opt_font=true","fontsize=8","opt_color=true","col_desc=Calculation:10;Footnote 1:9;ID:8;Label:7;Reporter:6:s;Reporter:5:long;Indicator:4:s;Indicator:3:l;Unit:2:s;Unit:1:long;","numberformat=0.00","auto_tr=1999|2015","com=true","comp=4"},1,1)</f>
        <v>31/01/2024 @ 15:43</v>
      </c>
      <c r="D12" s="6" t="str">
        <f>INDEX({"31/01/2024 @ 15:43","macro_id=DBGlobal","label_id=77812","calc=SubScal(L_77812,100)","time=Q","year_from=2000","year_to=2023","direction=V","opt_font=true","fontsize=8","opt_color=true","col_desc=Calculation:10;Footnote 1:9;ID:8;Label:7;Reporter:6:s;Reporter:5:long;Indicator:4:s;Indicator:3:l;Unit:2:s;Unit:1:long;","numberformat=0.00","auto_tr=1999|2015","com=true","comp=4"},1,1)</f>
        <v>31/01/2024 @ 15:43</v>
      </c>
      <c r="E12" s="4" t="str">
        <f>INDEX({"31/01/2024 @ 15:43","macro_id=DBGlobal","label_id=144399","time=Q","year_from=2000","year_to=2023","direction=V","opt_font=true","fontsize=8","opt_color=true","col_desc=Calculation:10;Footnote 1:9;ID:8;Label:7;Reporter:6:s;Reporter:5:long;Indicator:4:s;Indicator:3:l;Unit:2:s;Unit:1:long;","numberformat=0.00","auto_tr=1999|2015","com=true","comp=4"},1,1)</f>
        <v>31/01/2024 @ 15:43</v>
      </c>
      <c r="F12" s="4" t="str">
        <f>INDEX({"31/01/2024 @ 15:43","macro_id=DBGlobal","label_id=101874","time=Q","year_from=2000","year_to=2023","direction=V","opt_font=true","fontsize=8","opt_color=true","col_desc=Calculation:10;Footnote 1:9;ID:8;Label:7;Reporter:6:s;Reporter:5:long;Indicator:4:s;Indicator:3:l;Unit:2:s;Unit:1:long;","numberformat=0.00","auto_tr=1999|2015","com=true","comp=4"},1,1)</f>
        <v>31/01/2024 @ 15:43</v>
      </c>
      <c r="G12" s="5" t="str">
        <f>INDEX({"31/01/2024 @ 15:43","macro_id=DBGlobal","label_id=53439","calc=SubScal(CPPY=100(L_53439),100)","time=Q","year_from=2000","year_to=2023","direction=V","opt_font=true","fontsize=8","opt_color=true","col_desc=Calculation:10;Footnote 1:9;ID:8;Label:7;Reporter:6:s;Reporter:5:long;Indicator:4:s;Indicator:3:l;Unit:2:s;Unit:1:long;","numberformat=0.00","auto_tr=1999|2015","com=true","comp=4"},1,1)</f>
        <v>31/01/2024 @ 15:43</v>
      </c>
      <c r="H12" s="5" t="str">
        <f>INDEX({"31/01/2024 @ 15:43","macro_id=DBGlobal","label_id=53438","calc=SubScal(CPPY=100(L_53438),100)","time=Q","year_from=2000","year_to=2023","direction=V","opt_font=true","fontsize=8","opt_color=true","col_desc=Calculation:10;Footnote 1:9;ID:8;Label:7;Reporter:6:s;Reporter:5:long;Indicator:4:s;Indicator:3:l;Unit:2:s;Unit:1:long;","numberformat=0.00","auto_tr=1999|2015","com=true","comp=4"},1,1)</f>
        <v>31/01/2024 @ 15:43</v>
      </c>
      <c r="I12" s="1" t="str">
        <f>INDEX({"31/01/2024 @ 15:43","macro_id=DBGlobal","label_id=89226","time=Q","year_from=2000","year_to=2023","direction=V","opt_font=true","fontsize=8","opt_color=true","col_desc=Calculation:10;Footnote 1:9;ID:8;Label:7;Reporter:6:s;Reporter:5:long;Indicator:4:s;Indicator:3:l;Unit:2:s;Unit:1:long;","numberformat=0.00","auto_tr=1999|2015","com=true","comp=4"},1,1)</f>
        <v>31/01/2024 @ 15:43</v>
      </c>
      <c r="J12" s="5" t="str">
        <f>INDEX({"31/01/2024 @ 15:43","macro_id=DBGlobal","label_id=88672","calc=SubScal(CPPY=100(L_88672),100)","time=Q","year_from=2000","year_to=2023","direction=V","opt_font=true","fontsize=8","opt_color=true","col_desc=Calculation:10;Footnote 1:9;ID:8;Label:7;Reporter:6:s;Reporter:5:long;Indicator:4:s;Indicator:3:l;Unit:2:s;Unit:1:long;","numberformat=0.00","auto_tr=1999|2015","com=true","comp=4"},1,1)</f>
        <v>31/01/2024 @ 15:43</v>
      </c>
      <c r="K12" s="5" t="str">
        <f>INDEX({"31/01/2024 @ 15:43","macro_id=DBGlobal","label_id=90878","calc=SubScal(CPPY=100(L_90878),100)","time=Q","year_from=2000","year_to=2023","direction=V","opt_font=true","fontsize=8","opt_color=true","col_desc=Calculation:10;Footnote 1:9;ID:8;Label:7;Reporter:6:s;Reporter:5:long;Indicator:4:s;Indicator:3:l;Unit:2:s;Unit:1:long;","numberformat=0.00","auto_tr=1999|2015","com=true","comp=4"},1,1)</f>
        <v>31/01/2024 @ 15:43</v>
      </c>
      <c r="L12" s="5" t="str">
        <f>INDEX({"31/01/2024 @ 15:43","macro_id=DBGlobal","label_id=90922","calc=SubScal(CPPY=100(L_90922),100)","time=Q","year_from=2000","year_to=2023","direction=V","opt_font=true","fontsize=8","opt_color=true","col_desc=Calculation:10;Footnote 1:9;ID:8;Label:7;Reporter:6:s;Reporter:5:long;Indicator:4:s;Indicator:3:l;Unit:2:s;Unit:1:long;","numberformat=0.00","auto_tr=1999|2015","com=true","comp=4"},1,1)</f>
        <v>31/01/2024 @ 15:43</v>
      </c>
      <c r="M12" s="5" t="str">
        <f>INDEX({"31/01/2024 @ 15:43","macro_id=DBGlobal","label_id=90944","calc=SubScal(CPPY=100(L_90944),100)","time=Q","year_from=2000","year_to=2023","direction=V","opt_font=true","fontsize=8","opt_color=true","col_desc=Calculation:10;Footnote 1:9;ID:8;Label:7;Reporter:6:s;Reporter:5:long;Indicator:4:s;Indicator:3:l;Unit:2:s;Unit:1:long;","numberformat=0.00","auto_tr=1999|2015","com=true","comp=4"},1,1)</f>
        <v>31/01/2024 @ 15:43</v>
      </c>
      <c r="N12" s="5" t="str">
        <f>INDEX({"31/01/2024 @ 15:43","macro_id=DBGlobal","label_id=90988","calc=SubScal(CPPY=100(L_90988),100)","time=Q","year_from=2000","year_to=2023","direction=V","opt_font=true","fontsize=8","opt_color=true","col_desc=Calculation:10;Footnote 1:9;ID:8;Label:7;Reporter:6:s;Reporter:5:long;Indicator:4:s;Indicator:3:l;Unit:2:s;Unit:1:long;","numberformat=0.00","auto_tr=1999|2015","com=true","comp=4"},1,1)</f>
        <v>31/01/2024 @ 15:43</v>
      </c>
      <c r="O12" s="5" t="str">
        <f>INDEX({"31/01/2024 @ 15:43","macro_id=DBGlobal","label_id=91010","calc=SubScal(CPPY=100(L_91010),100)","time=Q","year_from=2000","year_to=2023","direction=V","opt_font=true","fontsize=8","opt_color=true","col_desc=Calculation:10;Footnote 1:9;ID:8;Label:7;Reporter:6:s;Reporter:5:long;Indicator:4:s;Indicator:3:l;Unit:2:s;Unit:1:long;","numberformat=0.00","auto_tr=1999|2015","com=true","comp=4"},1,1)</f>
        <v>31/01/2024 @ 15:43</v>
      </c>
      <c r="P12" s="1" t="str">
        <f>INDEX({"31/01/2024 @ 15:44","macro_id=DBGlobal","label_id=154","time=Q","year_from=2000","year_to=2023","direction=V","opt_font=true","fontsize=8","opt_color=true","col_desc=Calculation:10;Footnote 1:9;ID:8;Label:7;Reporter:6:s;Reporter:5:long;Indicator:4:s;Indicator:3:l;Unit:2:s;Unit:1:long;","numberformat=0.00","auto_tr=1999|2015","com=true","comp=4"},1,1)</f>
        <v>31/01/2024 @ 15:44</v>
      </c>
      <c r="Q12" s="1" t="str">
        <f>INDEX({"31/01/2024 @ 15:44","macro_id=DBGlobal","label_id=262","time=Q","year_from=2000","year_to=2023","direction=V","opt_font=true","fontsize=8","opt_color=true","col_desc=Calculation:10;Footnote 1:9;ID:8;Label:7;Reporter:6:s;Reporter:5:long;Indicator:4:s;Indicator:3:l;Unit:2:s;Unit:1:long;","numberformat=0.00","auto_tr=1999|2015","com=true","comp=4"},1,1)</f>
        <v>31/01/2024 @ 15:44</v>
      </c>
      <c r="R12" s="1" t="str">
        <f>INDEX({"31/01/2024 @ 15:44","macro_id=DBGlobal","label_id=279","time=Q","year_from=2000","year_to=2023","direction=V","opt_font=true","fontsize=8","opt_color=true","col_desc=Calculation:10;Footnote 1:9;ID:8;Label:7;Reporter:6:s;Reporter:5:long;Indicator:4:s;Indicator:3:l;Unit:2:s;Unit:1:long;","numberformat=0.00","auto_tr=1999|2015","com=true","comp=4"},1,1)</f>
        <v>31/01/2024 @ 15:44</v>
      </c>
      <c r="S12" s="5" t="str">
        <f>INDEX({"31/01/2024 @ 15:44","macro_id=DBGlobal","label_id=316","calc=SubScal(L_316,100)","time=Q","year_from=2000","year_to=2023","direction=V","opt_font=true","fontsize=8","opt_color=true","col_desc=Calculation:10;Footnote 1:9;ID:8;Label:7;Reporter:6:s;Reporter:5:long;Indicator:4:s;Indicator:3:l;Unit:2:s;Unit:1:long;","numberformat=0.00","auto_tr=1999|2015","com=true","comp=4"},1,1)</f>
        <v>31/01/2024 @ 15:44</v>
      </c>
      <c r="T12" s="1" t="str">
        <f>INDEX({"31/01/2024 @ 15:44","macro_id=DBGlobal","label_id=762","time=Q","year_from=2000","year_to=2023","direction=V","opt_font=true","fontsize=8","opt_color=true","col_desc=Calculation:10;Footnote 1:9;ID:8;Label:7;Reporter:6:s;Reporter:5:long;Indicator:4:s;Indicator:3:l;Unit:2:s;Unit:1:long;","numberformat=0.00","auto_tr=1999|2015","com=true","comp=4"},1,1)</f>
        <v>31/01/2024 @ 15:44</v>
      </c>
      <c r="U12" s="1" t="str">
        <f>INDEX({"31/01/2024 @ 15:44","macro_id=DBGlobal","label_id=573","time=Q","year_from=2000","year_to=2023","direction=V","opt_font=true","fontsize=8","opt_color=true","col_desc=Calculation:10;Footnote 1:9;ID:8;Label:7;Reporter:6:s;Reporter:5:long;Indicator:4:s;Indicator:3:l;Unit:2:s;Unit:1:long;","numberformat=0.00","auto_tr=1999|2015","com=true","comp=4"},1,1)</f>
        <v>31/01/2024 @ 15:44</v>
      </c>
      <c r="V12" s="1" t="str">
        <f>INDEX({"31/01/2024 @ 15:44","macro_id=DBGlobal","label_id=965","time=Q","year_from=2000","year_to=2023","direction=V","opt_font=true","fontsize=8","opt_color=true","col_desc=Calculation:10;Footnote 1:9;ID:8;Label:7;Reporter:6:s;Reporter:5:long;Indicator:4:s;Indicator:3:l;Unit:2:s;Unit:1:long;","numberformat=0.00","auto_tr=1999|2015","com=true","comp=4"},1,1)</f>
        <v>31/01/2024 @ 15:44</v>
      </c>
      <c r="W12" s="5" t="str">
        <f>INDEX({"31/01/2024 @ 15:44","macro_id=DBGlobal","label_id=102937","calc=SubScal(L_102937,100)","time=Q","year_from=2000","year_to=2023","direction=V","opt_font=true","fontsize=8","opt_color=true","col_desc=Calculation:10;Footnote 1:9;ID:8;Label:7;Reporter:6:s;Reporter:5:long;Indicator:4:s;Indicator:3:l;Unit:2:s;Unit:1:long;","numberformat=0.00","auto_tr=1999|2015","com=true","comp=4"},1,1)</f>
        <v>31/01/2024 @ 15:44</v>
      </c>
      <c r="X12" s="6" t="str">
        <f>INDEX({"31/01/2024 @ 15:44","macro_id=DBGlobal","label_id=87180","calc=SubScal(CPPY=100(AddNull(L_87180,L_87202)),100)","time=Q","year_from=2000","year_to=2023","direction=V","opt_font=true","fontsize=8","opt_color=true","col_desc=Calculation:10;Footnote 1:9;ID:8;Label:7;Reporter:6:s;Reporter:5:long;Indicator:4:s;Indicator:3:l;Unit:2:s;Unit:1:long;","numberformat=0.00","auto_tr=1999|2015","com=true","comp=4"},1,1)</f>
        <v>31/01/2024 @ 15:44</v>
      </c>
      <c r="Y12" s="6" t="str">
        <f>INDEX({"31/01/2024 @ 15:44","macro_id=DBGlobal","label_id=87191","calc=SubScal(CPPY=100(AddNull(L_87191,L_87213)),100)","time=Q","year_from=2000","year_to=2023","direction=V","opt_font=true","fontsize=8","opt_color=true","col_desc=Calculation:10;Footnote 1:9;ID:8;Label:7;Reporter:6:s;Reporter:5:long;Indicator:4:s;Indicator:3:l;Unit:2:s;Unit:1:long;","numberformat=0.00","auto_tr=1999|2015","com=true","comp=4"},1,1)</f>
        <v>31/01/2024 @ 15:44</v>
      </c>
      <c r="Z12" s="1" t="str">
        <f>INDEX({"31/01/2024 @ 15:44","macro_id=DBGlobal","label_id=88749","time=Q","year_from=2000","year_to=2023","direction=V","opt_font=true","fontsize=8","opt_color=true","col_desc=Calculation:10;Footnote 1:9;ID:8;Label:7;Reporter:6:s;Reporter:5:long;Indicator:4:s;Indicator:3:l;Unit:2:s;Unit:1:long;","numberformat=0.00","auto_tr=1999|2015","com=true","comp=4"},1,1)</f>
        <v>31/01/2024 @ 15:44</v>
      </c>
      <c r="AA12" s="5" t="str">
        <f>INDEX({"31/01/2024 @ 15:44","macro_id=DBGlobal","label_id=90350","calc=AddNull(L_90350,L_90372)","time=Q","year_from=2000","year_to=2023","direction=V","opt_font=true","fontsize=8","opt_color=true","col_desc=Calculation:10;Footnote 1:9;ID:8;Label:7;Reporter:6:s;Reporter:5:long;Indicator:4:s;Indicator:3:l;Unit:2:s;Unit:1:long;","numberformat=0.00","auto_tr=1999|2015","com=true","comp=4"},1,1)</f>
        <v>31/01/2024 @ 15:44</v>
      </c>
      <c r="AB12" s="1" t="str">
        <f>INDEX({"31/01/2024 @ 15:44","macro_id=DBGlobal","label_id=90394","time=Q","year_from=2000","year_to=2023","direction=V","opt_font=true","fontsize=8","opt_color=true","col_desc=Calculation:10;Footnote 1:9;ID:8;Label:7;Reporter:6:s;Reporter:5:long;Indicator:4:s;Indicator:3:l;Unit:2:s;Unit:1:long;","numberformat=0.00","auto_tr=1999|2015","com=true","comp=4"},1,1)</f>
        <v>31/01/2024 @ 15:44</v>
      </c>
      <c r="AC12" s="1" t="str">
        <f>INDEX({"31/01/2024 @ 15:44","macro_id=DBGlobal","label_id=90416","time=Q","year_from=2000","year_to=2023","direction=V","opt_font=true","fontsize=8","opt_color=true","col_desc=Calculation:10;Footnote 1:9;ID:8;Label:7;Reporter:6:s;Reporter:5:long;Indicator:4:s;Indicator:3:l;Unit:2:s;Unit:1:long;","numberformat=0.00","auto_tr=1999|2015","com=true","comp=4"},1,1)</f>
        <v>31/01/2024 @ 15:44</v>
      </c>
      <c r="AD12" s="1" t="str">
        <f>INDEX({"31/01/2024 @ 15:44","macro_id=DBGlobal","label_id=90504","time=Q","year_from=2000","year_to=2023","direction=V","opt_font=true","fontsize=8","opt_color=true","col_desc=Calculation:10;Footnote 1:9;ID:8;Label:7;Reporter:6:s;Reporter:5:long;Indicator:4:s;Indicator:3:l;Unit:2:s;Unit:1:long;","numberformat=0.00","auto_tr=1999|2015","com=true","comp=4"},1,1)</f>
        <v>31/01/2024 @ 15:44</v>
      </c>
      <c r="AE12" s="1" t="str">
        <f>INDEX({"31/01/2024 @ 15:44","macro_id=DBGlobal","label_id=90526","time=Q","year_from=2000","year_to=2023","direction=V","opt_font=true","fontsize=8","opt_color=true","col_desc=Calculation:10;Footnote 1:9;ID:8;Label:7;Reporter:6:s;Reporter:5:long;Indicator:4:s;Indicator:3:l;Unit:2:s;Unit:1:long;","numberformat=0.00","auto_tr=1999|2015","com=true","comp=4"},1,1)</f>
        <v>31/01/2024 @ 15:44</v>
      </c>
      <c r="AF12" s="5" t="str">
        <f>INDEX({"31/01/2024 @ 15:44","macro_id=DBGlobal","label_id=89624","calc=SubScal(L_89624,100)","time=Q","year_from=2000","year_to=2023","direction=V","opt_font=true","fontsize=8","opt_color=true","col_desc=Calculation:10;Footnote 1:9;ID:8;Label:7;Reporter:6:s;Reporter:5:long;Indicator:4:s;Indicator:3:l;Unit:2:s;Unit:1:long;","numberformat=0.00","auto_tr=1999|2015","com=true","comp=4"},1,1)</f>
        <v>31/01/2024 @ 15:44</v>
      </c>
      <c r="AG12" s="4" t="str">
        <f>INDEX({"31/01/2024 @ 15:44","macro_id=DBGlobal","label_id=141285","time=Q","year_from=2000","year_to=2023","direction=V","opt_font=true","fontsize=8","opt_color=true","col_desc=Calculation:10;Footnote 1:9;ID:8;Label:7;Reporter:6:s;Reporter:5:long;Indicator:4:s;Indicator:3:l;Unit:2:s;Unit:1:long;","numberformat=0.00","auto_tr=1999|2015","com=true","comp=4"},1,1)</f>
        <v>31/01/2024 @ 15:44</v>
      </c>
    </row>
    <row r="13" spans="1:33" s="11" customFormat="1" x14ac:dyDescent="0.3">
      <c r="A13" s="11" t="s">
        <v>19</v>
      </c>
      <c r="B13" s="12">
        <v>4.8214176000000002</v>
      </c>
      <c r="C13" s="12">
        <v>73.989999999999995</v>
      </c>
      <c r="D13" s="12">
        <v>1.7557532</v>
      </c>
      <c r="E13" s="12">
        <v>3.25</v>
      </c>
      <c r="F13" s="13">
        <v>26.926666699999998</v>
      </c>
      <c r="G13" s="12">
        <v>74.708994700000005</v>
      </c>
      <c r="H13" s="12">
        <v>113.2053519</v>
      </c>
      <c r="I13" s="12">
        <v>2.3765523000000002</v>
      </c>
      <c r="J13" s="12">
        <v>11.421891</v>
      </c>
      <c r="K13" s="12">
        <v>6.1265627</v>
      </c>
      <c r="L13" s="12">
        <v>1.5030574000000001</v>
      </c>
      <c r="M13" s="12">
        <v>143.1509705</v>
      </c>
      <c r="N13" s="12">
        <v>16.383378400000002</v>
      </c>
      <c r="O13" s="12">
        <v>23.323384799999999</v>
      </c>
      <c r="P13" s="18">
        <v>63232</v>
      </c>
      <c r="Q13" s="18">
        <v>8784</v>
      </c>
      <c r="R13" s="18">
        <v>12.2</v>
      </c>
      <c r="S13" s="12">
        <v>51.604819800000001</v>
      </c>
      <c r="T13" s="12">
        <v>33</v>
      </c>
      <c r="U13" s="12">
        <v>18.9943104</v>
      </c>
      <c r="V13" s="12">
        <v>28.164819699999999</v>
      </c>
      <c r="W13" s="7" t="s">
        <v>107</v>
      </c>
      <c r="X13" s="7" t="s">
        <v>107</v>
      </c>
      <c r="Y13" s="7" t="s">
        <v>107</v>
      </c>
      <c r="Z13" s="12">
        <v>21.6230312</v>
      </c>
      <c r="AA13" s="12">
        <v>48.611297999999998</v>
      </c>
      <c r="AB13" s="12">
        <v>16.707883200000001</v>
      </c>
      <c r="AC13" s="12">
        <v>11.5881478</v>
      </c>
      <c r="AD13" s="12">
        <v>49.442763900000003</v>
      </c>
      <c r="AE13" s="12">
        <v>25.0683717</v>
      </c>
      <c r="AF13" s="7" t="s">
        <v>107</v>
      </c>
      <c r="AG13" s="7" t="s">
        <v>107</v>
      </c>
    </row>
    <row r="14" spans="1:33" s="11" customFormat="1" outlineLevel="1" x14ac:dyDescent="0.3">
      <c r="A14" s="11" t="s">
        <v>20</v>
      </c>
      <c r="B14" s="12">
        <v>4.3154814000000004</v>
      </c>
      <c r="C14" s="12">
        <v>74.493333300000003</v>
      </c>
      <c r="D14" s="12">
        <v>1.6742492</v>
      </c>
      <c r="E14" s="12">
        <v>3.9166666999999999</v>
      </c>
      <c r="F14" s="13">
        <v>26.766666699999998</v>
      </c>
      <c r="G14" s="12">
        <v>44.627266599999999</v>
      </c>
      <c r="H14" s="12">
        <v>88.398988099999997</v>
      </c>
      <c r="I14" s="12">
        <v>5.3399390000000002</v>
      </c>
      <c r="J14" s="12">
        <v>10.232141199999999</v>
      </c>
      <c r="K14" s="12">
        <v>7.2268483999999997</v>
      </c>
      <c r="L14" s="12">
        <v>1.6030639</v>
      </c>
      <c r="M14" s="12">
        <v>98.229590400000006</v>
      </c>
      <c r="N14" s="12">
        <v>8.5844743000000001</v>
      </c>
      <c r="O14" s="12">
        <v>28.228300999999998</v>
      </c>
      <c r="P14" s="18">
        <v>65786</v>
      </c>
      <c r="Q14" s="18">
        <v>7577</v>
      </c>
      <c r="R14" s="18">
        <v>10.3</v>
      </c>
      <c r="S14" s="12">
        <v>42.313647400000001</v>
      </c>
      <c r="T14" s="12">
        <v>33</v>
      </c>
      <c r="U14" s="12">
        <v>19.703376599999999</v>
      </c>
      <c r="V14" s="12">
        <v>26.497852999999999</v>
      </c>
      <c r="W14" s="7" t="s">
        <v>107</v>
      </c>
      <c r="X14" s="7" t="s">
        <v>107</v>
      </c>
      <c r="Y14" s="7" t="s">
        <v>107</v>
      </c>
      <c r="Z14" s="12">
        <v>19.758623199999999</v>
      </c>
      <c r="AA14" s="12">
        <v>45.978878600000002</v>
      </c>
      <c r="AB14" s="12">
        <v>15.6190268</v>
      </c>
      <c r="AC14" s="12">
        <v>16.691729800000001</v>
      </c>
      <c r="AD14" s="12">
        <v>47.328598300000003</v>
      </c>
      <c r="AE14" s="12">
        <v>24.424621599999998</v>
      </c>
      <c r="AF14" s="7" t="s">
        <v>107</v>
      </c>
      <c r="AG14" s="7" t="s">
        <v>107</v>
      </c>
    </row>
    <row r="15" spans="1:33" s="11" customFormat="1" outlineLevel="1" x14ac:dyDescent="0.3">
      <c r="A15" s="11" t="s">
        <v>21</v>
      </c>
      <c r="B15" s="12">
        <v>3.5071058000000002</v>
      </c>
      <c r="C15" s="12">
        <v>74.819999999999993</v>
      </c>
      <c r="D15" s="12">
        <v>1.9670194000000001</v>
      </c>
      <c r="E15" s="17">
        <v>4.3333332999999996</v>
      </c>
      <c r="F15" s="13">
        <v>30.673333299999999</v>
      </c>
      <c r="G15" s="12">
        <v>43.656957900000002</v>
      </c>
      <c r="H15" s="12">
        <v>63.533955599999999</v>
      </c>
      <c r="I15" s="12">
        <v>3.1503868000000002</v>
      </c>
      <c r="J15" s="12">
        <v>10.5473879</v>
      </c>
      <c r="K15" s="12">
        <v>9.2273507000000006</v>
      </c>
      <c r="L15" s="12">
        <v>4.9031582</v>
      </c>
      <c r="M15" s="12">
        <v>37.243516100000001</v>
      </c>
      <c r="N15" s="12">
        <v>11.384077899999999</v>
      </c>
      <c r="O15" s="12">
        <v>37.437519299999998</v>
      </c>
      <c r="P15" s="18">
        <v>65981</v>
      </c>
      <c r="Q15" s="18">
        <v>7266</v>
      </c>
      <c r="R15" s="18">
        <v>9.9</v>
      </c>
      <c r="S15" s="12">
        <v>41.710794300000003</v>
      </c>
      <c r="T15" s="12">
        <v>28</v>
      </c>
      <c r="U15" s="12">
        <v>20.735878799999998</v>
      </c>
      <c r="V15" s="12">
        <v>25.212987300000002</v>
      </c>
      <c r="W15" s="7" t="s">
        <v>107</v>
      </c>
      <c r="X15" s="7" t="s">
        <v>107</v>
      </c>
      <c r="Y15" s="7" t="s">
        <v>107</v>
      </c>
      <c r="Z15" s="12">
        <v>14.390439199999999</v>
      </c>
      <c r="AA15" s="12">
        <v>43.074914900000003</v>
      </c>
      <c r="AB15" s="12">
        <v>14.2061835</v>
      </c>
      <c r="AC15" s="12">
        <v>23.0684866</v>
      </c>
      <c r="AD15" s="12">
        <v>40.930492800000003</v>
      </c>
      <c r="AE15" s="12">
        <v>22.666100700000001</v>
      </c>
      <c r="AF15" s="7" t="s">
        <v>107</v>
      </c>
      <c r="AG15" s="7" t="s">
        <v>107</v>
      </c>
    </row>
    <row r="16" spans="1:33" s="11" customFormat="1" outlineLevel="1" x14ac:dyDescent="0.3">
      <c r="A16" s="11" t="s">
        <v>22</v>
      </c>
      <c r="B16" s="12">
        <v>2.8994336000000001</v>
      </c>
      <c r="C16" s="12">
        <v>75.3</v>
      </c>
      <c r="D16" s="12">
        <v>2.2218200000000001</v>
      </c>
      <c r="E16" s="17">
        <v>4.75</v>
      </c>
      <c r="F16" s="13">
        <v>29.7233333</v>
      </c>
      <c r="G16" s="12">
        <v>63.414106400000001</v>
      </c>
      <c r="H16" s="12">
        <v>54.479418899999999</v>
      </c>
      <c r="I16" s="12">
        <v>-2.6177625999999998</v>
      </c>
      <c r="J16" s="12">
        <v>8.2637785000000008</v>
      </c>
      <c r="K16" s="12">
        <v>6.6266933999999997</v>
      </c>
      <c r="L16" s="12">
        <v>0.1030264</v>
      </c>
      <c r="M16" s="12">
        <v>108.3443456</v>
      </c>
      <c r="N16" s="12">
        <v>3.2852458000000002</v>
      </c>
      <c r="O16" s="12">
        <v>38.638686300000003</v>
      </c>
      <c r="P16" s="18">
        <v>65283</v>
      </c>
      <c r="Q16" s="18">
        <v>7171</v>
      </c>
      <c r="R16" s="18">
        <v>9.9</v>
      </c>
      <c r="S16" s="12">
        <v>37.491361400000002</v>
      </c>
      <c r="T16" s="12">
        <v>25</v>
      </c>
      <c r="U16" s="12">
        <v>21.763986800000001</v>
      </c>
      <c r="V16" s="12">
        <v>24.2409523</v>
      </c>
      <c r="W16" s="7" t="s">
        <v>107</v>
      </c>
      <c r="X16" s="7" t="s">
        <v>107</v>
      </c>
      <c r="Y16" s="7" t="s">
        <v>107</v>
      </c>
      <c r="Z16" s="12">
        <v>17.5712984</v>
      </c>
      <c r="AA16" s="12">
        <v>47.653065699999999</v>
      </c>
      <c r="AB16" s="12">
        <v>14.3267457</v>
      </c>
      <c r="AC16" s="12">
        <v>21.304183999999999</v>
      </c>
      <c r="AD16" s="12">
        <v>40.445655700000003</v>
      </c>
      <c r="AE16" s="12">
        <v>24.298708699999999</v>
      </c>
      <c r="AF16" s="7" t="s">
        <v>107</v>
      </c>
      <c r="AG16" s="7" t="s">
        <v>107</v>
      </c>
    </row>
    <row r="17" spans="1:33" s="11" customFormat="1" outlineLevel="1" x14ac:dyDescent="0.3">
      <c r="A17" s="11" t="s">
        <v>23</v>
      </c>
      <c r="B17" s="12">
        <v>3.0047543999999999</v>
      </c>
      <c r="C17" s="12">
        <v>75.393333299999995</v>
      </c>
      <c r="D17" s="12">
        <v>1.8966527</v>
      </c>
      <c r="E17" s="17">
        <v>4.75</v>
      </c>
      <c r="F17" s="13">
        <v>25.873333299999999</v>
      </c>
      <c r="G17" s="12">
        <v>34.978800700000001</v>
      </c>
      <c r="H17" s="12">
        <v>40.682128200000001</v>
      </c>
      <c r="I17" s="12">
        <v>3.6772581999999998</v>
      </c>
      <c r="J17" s="12">
        <v>4.6858551999999998</v>
      </c>
      <c r="K17" s="12">
        <v>7.4172285000000002</v>
      </c>
      <c r="L17" s="12">
        <v>-0.89988080000000004</v>
      </c>
      <c r="M17" s="12">
        <v>17.608842500000002</v>
      </c>
      <c r="N17" s="12">
        <v>4.6670423000000003</v>
      </c>
      <c r="O17" s="12">
        <v>15.1896086</v>
      </c>
      <c r="P17" s="18">
        <v>63660</v>
      </c>
      <c r="Q17" s="18">
        <v>7128</v>
      </c>
      <c r="R17" s="18">
        <v>10.1</v>
      </c>
      <c r="S17" s="12">
        <v>46.861262500000002</v>
      </c>
      <c r="T17" s="12">
        <v>25</v>
      </c>
      <c r="U17" s="12">
        <v>23.210075100000001</v>
      </c>
      <c r="V17" s="12">
        <v>26.3644</v>
      </c>
      <c r="W17" s="7" t="s">
        <v>107</v>
      </c>
      <c r="X17" s="7" t="s">
        <v>107</v>
      </c>
      <c r="Y17" s="7" t="s">
        <v>107</v>
      </c>
      <c r="Z17" s="12">
        <v>17.537442299999999</v>
      </c>
      <c r="AA17" s="12">
        <v>50.5241592</v>
      </c>
      <c r="AB17" s="12">
        <v>18.196904100000001</v>
      </c>
      <c r="AC17" s="12">
        <v>13.346500600000001</v>
      </c>
      <c r="AD17" s="12">
        <v>41.701896099999999</v>
      </c>
      <c r="AE17" s="12">
        <v>22.915789</v>
      </c>
      <c r="AF17" s="7" t="s">
        <v>107</v>
      </c>
      <c r="AG17" s="7" t="s">
        <v>107</v>
      </c>
    </row>
    <row r="18" spans="1:33" s="11" customFormat="1" outlineLevel="1" x14ac:dyDescent="0.3">
      <c r="A18" s="11" t="s">
        <v>24</v>
      </c>
      <c r="B18" s="12">
        <v>2.2522867999999998</v>
      </c>
      <c r="C18" s="12">
        <v>76.483333299999998</v>
      </c>
      <c r="D18" s="12">
        <v>2.6713800000000001</v>
      </c>
      <c r="E18" s="17">
        <v>4.5833332999999996</v>
      </c>
      <c r="F18" s="13">
        <v>27.273333300000001</v>
      </c>
      <c r="G18" s="12">
        <v>34.850243800000001</v>
      </c>
      <c r="H18" s="12">
        <v>32.3422214</v>
      </c>
      <c r="I18" s="12">
        <v>5.1828837999999999</v>
      </c>
      <c r="J18" s="12">
        <v>5.0502966000000002</v>
      </c>
      <c r="K18" s="12">
        <v>10.3176919</v>
      </c>
      <c r="L18" s="12">
        <v>-1.0998538</v>
      </c>
      <c r="M18" s="12">
        <v>35.625503999999999</v>
      </c>
      <c r="N18" s="12">
        <v>3.3674648999999999</v>
      </c>
      <c r="O18" s="12">
        <v>29.388337199999999</v>
      </c>
      <c r="P18" s="18">
        <v>65248</v>
      </c>
      <c r="Q18" s="18">
        <v>6100</v>
      </c>
      <c r="R18" s="18">
        <v>8.5</v>
      </c>
      <c r="S18" s="12">
        <v>43.938451999999998</v>
      </c>
      <c r="T18" s="12">
        <v>25</v>
      </c>
      <c r="U18" s="12">
        <v>24.512970599999999</v>
      </c>
      <c r="V18" s="12">
        <v>25.3512667</v>
      </c>
      <c r="W18" s="7" t="s">
        <v>107</v>
      </c>
      <c r="X18" s="7" t="s">
        <v>107</v>
      </c>
      <c r="Y18" s="7" t="s">
        <v>107</v>
      </c>
      <c r="Z18" s="12">
        <v>12.3415672</v>
      </c>
      <c r="AA18" s="12">
        <v>49.762335499999999</v>
      </c>
      <c r="AB18" s="12">
        <v>17.349121700000001</v>
      </c>
      <c r="AC18" s="12">
        <v>19.458379600000001</v>
      </c>
      <c r="AD18" s="12">
        <v>39.847873100000001</v>
      </c>
      <c r="AE18" s="12">
        <v>25.847911</v>
      </c>
      <c r="AF18" s="7" t="s">
        <v>107</v>
      </c>
      <c r="AG18" s="7" t="s">
        <v>107</v>
      </c>
    </row>
    <row r="19" spans="1:33" s="11" customFormat="1" outlineLevel="1" x14ac:dyDescent="0.3">
      <c r="A19" s="11" t="s">
        <v>25</v>
      </c>
      <c r="B19" s="12">
        <v>1.8991327</v>
      </c>
      <c r="C19" s="12">
        <v>76.516666700000002</v>
      </c>
      <c r="D19" s="12">
        <v>2.2676647000000001</v>
      </c>
      <c r="E19" s="17">
        <v>4.1666667000000004</v>
      </c>
      <c r="F19" s="13">
        <v>25.303333299999998</v>
      </c>
      <c r="G19" s="12">
        <v>41.743636000000002</v>
      </c>
      <c r="H19" s="12">
        <v>33.044676199999998</v>
      </c>
      <c r="I19" s="12">
        <v>1.8811256000000001</v>
      </c>
      <c r="J19" s="12">
        <v>6.0292481000000002</v>
      </c>
      <c r="K19" s="12">
        <v>10.117668200000001</v>
      </c>
      <c r="L19" s="12">
        <v>-0.89985930000000003</v>
      </c>
      <c r="M19" s="12">
        <v>13.204742700000001</v>
      </c>
      <c r="N19" s="12">
        <v>4.1672140000000004</v>
      </c>
      <c r="O19" s="12">
        <v>15.8895596</v>
      </c>
      <c r="P19" s="18">
        <v>66194</v>
      </c>
      <c r="Q19" s="18">
        <v>6156</v>
      </c>
      <c r="R19" s="18">
        <v>8.5</v>
      </c>
      <c r="S19" s="12">
        <v>45.8033918</v>
      </c>
      <c r="T19" s="12">
        <v>25</v>
      </c>
      <c r="U19" s="12">
        <v>25.084669099999999</v>
      </c>
      <c r="V19" s="12">
        <v>26.100533299999999</v>
      </c>
      <c r="W19" s="7" t="s">
        <v>107</v>
      </c>
      <c r="X19" s="7" t="s">
        <v>107</v>
      </c>
      <c r="Y19" s="7" t="s">
        <v>107</v>
      </c>
      <c r="Z19" s="12">
        <v>8.3661706999999996</v>
      </c>
      <c r="AA19" s="12">
        <v>46.2282589</v>
      </c>
      <c r="AB19" s="12">
        <v>15.0248875</v>
      </c>
      <c r="AC19" s="12">
        <v>27.4411202</v>
      </c>
      <c r="AD19" s="12">
        <v>34.113488599999997</v>
      </c>
      <c r="AE19" s="12">
        <v>23.0799637</v>
      </c>
      <c r="AF19" s="7" t="s">
        <v>107</v>
      </c>
      <c r="AG19" s="7" t="s">
        <v>107</v>
      </c>
    </row>
    <row r="20" spans="1:33" s="11" customFormat="1" outlineLevel="1" x14ac:dyDescent="0.3">
      <c r="A20" s="11" t="s">
        <v>26</v>
      </c>
      <c r="B20" s="12">
        <v>1.4300580000000001</v>
      </c>
      <c r="C20" s="12">
        <v>76.746666700000006</v>
      </c>
      <c r="D20" s="12">
        <v>1.9212041</v>
      </c>
      <c r="E20" s="17">
        <v>3.4166666999999999</v>
      </c>
      <c r="F20" s="13">
        <v>19.350000000000001</v>
      </c>
      <c r="G20" s="12">
        <v>1.1121409</v>
      </c>
      <c r="H20" s="12">
        <v>14.306070099999999</v>
      </c>
      <c r="I20" s="12">
        <v>1.5715364999999999</v>
      </c>
      <c r="J20" s="12">
        <v>4.5407131999999999</v>
      </c>
      <c r="K20" s="12">
        <v>10.017649799999999</v>
      </c>
      <c r="L20" s="12">
        <v>-0.29988049999999999</v>
      </c>
      <c r="M20" s="12">
        <v>7.5995678</v>
      </c>
      <c r="N20" s="12">
        <v>4.5670769</v>
      </c>
      <c r="O20" s="12">
        <v>15.2896061</v>
      </c>
      <c r="P20" s="18">
        <v>65390</v>
      </c>
      <c r="Q20" s="18">
        <v>6311</v>
      </c>
      <c r="R20" s="18">
        <v>8.8000000000000007</v>
      </c>
      <c r="S20" s="12">
        <v>46.1925107</v>
      </c>
      <c r="T20" s="12">
        <v>25</v>
      </c>
      <c r="U20" s="12">
        <v>25.828641999999999</v>
      </c>
      <c r="V20" s="12">
        <v>26.704433300000002</v>
      </c>
      <c r="W20" s="7" t="s">
        <v>107</v>
      </c>
      <c r="X20" s="7" t="s">
        <v>107</v>
      </c>
      <c r="Y20" s="7" t="s">
        <v>107</v>
      </c>
      <c r="Z20" s="12">
        <v>7.5471541999999996</v>
      </c>
      <c r="AA20" s="12">
        <v>51.387203499999998</v>
      </c>
      <c r="AB20" s="12">
        <v>15.7153653</v>
      </c>
      <c r="AC20" s="12">
        <v>25.1894855</v>
      </c>
      <c r="AD20" s="12">
        <v>33.447195600000001</v>
      </c>
      <c r="AE20" s="12">
        <v>24.981307900000001</v>
      </c>
      <c r="AF20" s="7" t="s">
        <v>107</v>
      </c>
      <c r="AG20" s="7" t="s">
        <v>107</v>
      </c>
    </row>
    <row r="21" spans="1:33" s="11" customFormat="1" outlineLevel="1" x14ac:dyDescent="0.3">
      <c r="A21" s="11" t="s">
        <v>27</v>
      </c>
      <c r="B21" s="12">
        <v>7.1740499999999999E-2</v>
      </c>
      <c r="C21" s="12">
        <v>77.180000000000007</v>
      </c>
      <c r="D21" s="12">
        <v>2.3697940000000002</v>
      </c>
      <c r="E21" s="17">
        <v>3.25</v>
      </c>
      <c r="F21" s="13">
        <v>21.1333333</v>
      </c>
      <c r="G21" s="12">
        <v>31.658066000000002</v>
      </c>
      <c r="H21" s="12">
        <v>37.606671800000001</v>
      </c>
      <c r="I21" s="12">
        <v>5.4239556999999996</v>
      </c>
      <c r="J21" s="12">
        <v>3.7982654</v>
      </c>
      <c r="K21" s="12">
        <v>9.0009166999999994</v>
      </c>
      <c r="L21" s="12">
        <v>1.7225035</v>
      </c>
      <c r="M21" s="12">
        <v>3.1678367000000001</v>
      </c>
      <c r="N21" s="12">
        <v>5.6377768000000001</v>
      </c>
      <c r="O21" s="12">
        <v>15.3461427</v>
      </c>
      <c r="P21" s="18">
        <v>65600</v>
      </c>
      <c r="Q21" s="18">
        <v>5949</v>
      </c>
      <c r="R21" s="18">
        <v>8.3000000000000007</v>
      </c>
      <c r="S21" s="12">
        <v>37.883141799999997</v>
      </c>
      <c r="T21" s="12">
        <v>25</v>
      </c>
      <c r="U21" s="12">
        <v>27.336970399999998</v>
      </c>
      <c r="V21" s="12">
        <v>26.9778667</v>
      </c>
      <c r="W21" s="7" t="s">
        <v>107</v>
      </c>
      <c r="X21" s="7" t="s">
        <v>107</v>
      </c>
      <c r="Y21" s="7" t="s">
        <v>107</v>
      </c>
      <c r="Z21" s="12">
        <v>8.7368921000000004</v>
      </c>
      <c r="AA21" s="12">
        <v>54.500190199999999</v>
      </c>
      <c r="AB21" s="12">
        <v>20.199651100000001</v>
      </c>
      <c r="AC21" s="12">
        <v>15.617571099999999</v>
      </c>
      <c r="AD21" s="12">
        <v>33.5730085</v>
      </c>
      <c r="AE21" s="12">
        <v>23.153333199999999</v>
      </c>
      <c r="AF21" s="7" t="s">
        <v>107</v>
      </c>
      <c r="AG21" s="7" t="s">
        <v>107</v>
      </c>
    </row>
    <row r="22" spans="1:33" s="11" customFormat="1" outlineLevel="1" x14ac:dyDescent="0.3">
      <c r="A22" s="11" t="s">
        <v>28</v>
      </c>
      <c r="B22" s="12">
        <v>1.2490021</v>
      </c>
      <c r="C22" s="12">
        <v>77.933333300000001</v>
      </c>
      <c r="D22" s="12">
        <v>1.8958379000000001</v>
      </c>
      <c r="E22" s="17">
        <v>3.25</v>
      </c>
      <c r="F22" s="13">
        <v>25.053333299999998</v>
      </c>
      <c r="G22" s="12">
        <v>38.722451800000002</v>
      </c>
      <c r="H22" s="12">
        <v>25.757356099999999</v>
      </c>
      <c r="I22" s="12">
        <v>2.4479261999999999</v>
      </c>
      <c r="J22" s="12">
        <v>4.4058786000000003</v>
      </c>
      <c r="K22" s="12">
        <v>8.1009031</v>
      </c>
      <c r="L22" s="12">
        <v>2.3226448</v>
      </c>
      <c r="M22" s="12">
        <v>-17.0063055</v>
      </c>
      <c r="N22" s="12">
        <v>13.6406312</v>
      </c>
      <c r="O22" s="12">
        <v>9.2436901000000002</v>
      </c>
      <c r="P22" s="18">
        <v>66580</v>
      </c>
      <c r="Q22" s="18">
        <v>5515</v>
      </c>
      <c r="R22" s="18">
        <v>7.6</v>
      </c>
      <c r="S22" s="12">
        <v>37.749703099999998</v>
      </c>
      <c r="T22" s="12">
        <v>23</v>
      </c>
      <c r="U22" s="12">
        <v>28.3241926</v>
      </c>
      <c r="V22" s="12">
        <v>28.7476667</v>
      </c>
      <c r="W22" s="7" t="s">
        <v>107</v>
      </c>
      <c r="X22" s="7" t="s">
        <v>107</v>
      </c>
      <c r="Y22" s="7" t="s">
        <v>107</v>
      </c>
      <c r="Z22" s="12">
        <v>9.4922342000000004</v>
      </c>
      <c r="AA22" s="12">
        <v>51.588680400000001</v>
      </c>
      <c r="AB22" s="12">
        <v>18.750485900000001</v>
      </c>
      <c r="AC22" s="12">
        <v>18.036518000000001</v>
      </c>
      <c r="AD22" s="12">
        <v>36.758091499999999</v>
      </c>
      <c r="AE22" s="12">
        <v>25.263923200000001</v>
      </c>
      <c r="AF22" s="7" t="s">
        <v>107</v>
      </c>
      <c r="AG22" s="7" t="s">
        <v>107</v>
      </c>
    </row>
    <row r="23" spans="1:33" s="11" customFormat="1" outlineLevel="1" x14ac:dyDescent="0.3">
      <c r="A23" s="11" t="s">
        <v>29</v>
      </c>
      <c r="B23" s="12">
        <v>1.6677649999999999</v>
      </c>
      <c r="C23" s="12">
        <v>77.973333299999993</v>
      </c>
      <c r="D23" s="12">
        <v>1.9037246000000001</v>
      </c>
      <c r="E23" s="17">
        <v>3.25</v>
      </c>
      <c r="F23" s="13">
        <v>26.93</v>
      </c>
      <c r="G23" s="12">
        <v>34.615384599999999</v>
      </c>
      <c r="H23" s="12">
        <v>37.085798799999999</v>
      </c>
      <c r="I23" s="12">
        <v>2.6453744000000001</v>
      </c>
      <c r="J23" s="12">
        <v>4.4293813000000002</v>
      </c>
      <c r="K23" s="12">
        <v>8.1009036999999999</v>
      </c>
      <c r="L23" s="12">
        <v>2.8227587999999999</v>
      </c>
      <c r="M23" s="12">
        <v>-0.127911</v>
      </c>
      <c r="N23" s="12">
        <v>10.6395651</v>
      </c>
      <c r="O23" s="12">
        <v>16.446597199999999</v>
      </c>
      <c r="P23" s="18">
        <v>68105</v>
      </c>
      <c r="Q23" s="18">
        <v>5190</v>
      </c>
      <c r="R23" s="18">
        <v>7.1</v>
      </c>
      <c r="S23" s="12">
        <v>34.342040400000002</v>
      </c>
      <c r="T23" s="12">
        <v>21</v>
      </c>
      <c r="U23" s="12">
        <v>28.843635299999999</v>
      </c>
      <c r="V23" s="12">
        <v>31.067966699999999</v>
      </c>
      <c r="W23" s="7" t="s">
        <v>107</v>
      </c>
      <c r="X23" s="7" t="s">
        <v>107</v>
      </c>
      <c r="Y23" s="7" t="s">
        <v>107</v>
      </c>
      <c r="Z23" s="12">
        <v>7.5256682000000001</v>
      </c>
      <c r="AA23" s="12">
        <v>47.221097299999997</v>
      </c>
      <c r="AB23" s="12">
        <v>16.029823499999999</v>
      </c>
      <c r="AC23" s="12">
        <v>20.418038200000002</v>
      </c>
      <c r="AD23" s="12">
        <v>34.624242799999998</v>
      </c>
      <c r="AE23" s="12">
        <v>23.680780500000001</v>
      </c>
      <c r="AF23" s="7" t="s">
        <v>107</v>
      </c>
      <c r="AG23" s="7" t="s">
        <v>107</v>
      </c>
    </row>
    <row r="24" spans="1:33" s="11" customFormat="1" outlineLevel="1" x14ac:dyDescent="0.3">
      <c r="A24" s="11" t="s">
        <v>30</v>
      </c>
      <c r="B24" s="12">
        <v>1.208337</v>
      </c>
      <c r="C24" s="12">
        <v>78.4033333</v>
      </c>
      <c r="D24" s="12">
        <v>2.158617</v>
      </c>
      <c r="E24" s="17">
        <v>3.0833333000000001</v>
      </c>
      <c r="F24" s="13">
        <v>26.736666700000001</v>
      </c>
      <c r="G24" s="12">
        <v>54.864475599999999</v>
      </c>
      <c r="H24" s="12">
        <v>26.5769135</v>
      </c>
      <c r="I24" s="12">
        <v>-5.5271593000000001</v>
      </c>
      <c r="J24" s="12">
        <v>6.1648082000000004</v>
      </c>
      <c r="K24" s="12">
        <v>8.8009149999999998</v>
      </c>
      <c r="L24" s="12">
        <v>3.5228815</v>
      </c>
      <c r="M24" s="12">
        <v>3.6672186</v>
      </c>
      <c r="N24" s="12">
        <v>11.139739199999999</v>
      </c>
      <c r="O24" s="12">
        <v>17.146851300000002</v>
      </c>
      <c r="P24" s="18">
        <v>66351</v>
      </c>
      <c r="Q24" s="18">
        <v>6138</v>
      </c>
      <c r="R24" s="18">
        <v>8.5</v>
      </c>
      <c r="S24" s="12">
        <v>29.602888100000001</v>
      </c>
      <c r="T24" s="12">
        <v>21</v>
      </c>
      <c r="U24" s="12">
        <v>29.7049865</v>
      </c>
      <c r="V24" s="12">
        <v>31.792533299999999</v>
      </c>
      <c r="W24" s="7" t="s">
        <v>107</v>
      </c>
      <c r="X24" s="7" t="s">
        <v>107</v>
      </c>
      <c r="Y24" s="7" t="s">
        <v>107</v>
      </c>
      <c r="Z24" s="12">
        <v>8.2294040000000006</v>
      </c>
      <c r="AA24" s="12">
        <v>51.927566300000002</v>
      </c>
      <c r="AB24" s="12">
        <v>16.429350700000001</v>
      </c>
      <c r="AC24" s="12">
        <v>24.6054399</v>
      </c>
      <c r="AD24" s="12">
        <v>35.731879300000003</v>
      </c>
      <c r="AE24" s="12">
        <v>25.443268799999998</v>
      </c>
      <c r="AF24" s="7" t="s">
        <v>107</v>
      </c>
      <c r="AG24" s="7" t="s">
        <v>107</v>
      </c>
    </row>
    <row r="25" spans="1:33" s="11" customFormat="1" outlineLevel="1" x14ac:dyDescent="0.3">
      <c r="A25" s="11" t="s">
        <v>31</v>
      </c>
      <c r="B25" s="12">
        <v>1.0748135000000001</v>
      </c>
      <c r="C25" s="12">
        <v>78.856666700000005</v>
      </c>
      <c r="D25" s="12">
        <v>2.1724109</v>
      </c>
      <c r="E25" s="17">
        <v>2.6666666999999999</v>
      </c>
      <c r="F25" s="13">
        <v>31.52</v>
      </c>
      <c r="G25" s="12">
        <v>31.220177199999998</v>
      </c>
      <c r="H25" s="12">
        <v>23.396758299999998</v>
      </c>
      <c r="I25" s="12">
        <v>3.7003191000000002</v>
      </c>
      <c r="J25" s="12">
        <v>7.5879114999999997</v>
      </c>
      <c r="K25" s="12">
        <v>7.6105609000000003</v>
      </c>
      <c r="L25" s="12">
        <v>2.6887710999999999</v>
      </c>
      <c r="M25" s="12">
        <v>13.5782761</v>
      </c>
      <c r="N25" s="12">
        <v>14.367339100000001</v>
      </c>
      <c r="O25" s="12">
        <v>18.2264458</v>
      </c>
      <c r="P25" s="18">
        <v>64626</v>
      </c>
      <c r="Q25" s="18">
        <v>6545</v>
      </c>
      <c r="R25" s="18">
        <v>9.1999999999999993</v>
      </c>
      <c r="S25" s="12">
        <v>24.895797099999999</v>
      </c>
      <c r="T25" s="12">
        <v>18</v>
      </c>
      <c r="U25" s="12">
        <v>31.336484899999999</v>
      </c>
      <c r="V25" s="12">
        <v>33.982333300000001</v>
      </c>
      <c r="W25" s="7" t="s">
        <v>107</v>
      </c>
      <c r="X25" s="7" t="s">
        <v>107</v>
      </c>
      <c r="Y25" s="7" t="s">
        <v>107</v>
      </c>
      <c r="Z25" s="12">
        <v>12.696350900000001</v>
      </c>
      <c r="AA25" s="12">
        <v>53.084671899999996</v>
      </c>
      <c r="AB25" s="12">
        <v>19.774785600000001</v>
      </c>
      <c r="AC25" s="12">
        <v>13.4158487</v>
      </c>
      <c r="AD25" s="12">
        <v>37.915117500000001</v>
      </c>
      <c r="AE25" s="12">
        <v>23.394434199999999</v>
      </c>
      <c r="AF25" s="7" t="s">
        <v>107</v>
      </c>
      <c r="AG25" s="7" t="s">
        <v>107</v>
      </c>
    </row>
    <row r="26" spans="1:33" s="11" customFormat="1" outlineLevel="1" x14ac:dyDescent="0.3">
      <c r="A26" s="11" t="s">
        <v>32</v>
      </c>
      <c r="B26" s="12">
        <v>0.33264589999999999</v>
      </c>
      <c r="C26" s="12">
        <v>79.37</v>
      </c>
      <c r="D26" s="12">
        <v>1.843456</v>
      </c>
      <c r="E26" s="17">
        <v>2.3333333000000001</v>
      </c>
      <c r="F26" s="13">
        <v>26.17</v>
      </c>
      <c r="G26" s="12">
        <v>19.411691699999999</v>
      </c>
      <c r="H26" s="12">
        <v>23.432457400000001</v>
      </c>
      <c r="I26" s="12">
        <v>3.5077611000000002</v>
      </c>
      <c r="J26" s="12">
        <v>7.9688764000000001</v>
      </c>
      <c r="K26" s="12">
        <v>7.3102492999999997</v>
      </c>
      <c r="L26" s="12">
        <v>2.5886822</v>
      </c>
      <c r="M26" s="12">
        <v>22.454734200000001</v>
      </c>
      <c r="N26" s="12">
        <v>10.661912900000001</v>
      </c>
      <c r="O26" s="12">
        <v>14.8371508</v>
      </c>
      <c r="P26" s="18">
        <v>66026</v>
      </c>
      <c r="Q26" s="18">
        <v>5831</v>
      </c>
      <c r="R26" s="18">
        <v>8.1</v>
      </c>
      <c r="S26" s="12">
        <v>24.410127800000001</v>
      </c>
      <c r="T26" s="12">
        <v>16</v>
      </c>
      <c r="U26" s="12">
        <v>32.304737500000002</v>
      </c>
      <c r="V26" s="12">
        <v>35.066333299999997</v>
      </c>
      <c r="W26" s="7" t="s">
        <v>107</v>
      </c>
      <c r="X26" s="7" t="s">
        <v>107</v>
      </c>
      <c r="Y26" s="7" t="s">
        <v>107</v>
      </c>
      <c r="Z26" s="12">
        <v>8.1064792000000008</v>
      </c>
      <c r="AA26" s="12">
        <v>51.107562700000003</v>
      </c>
      <c r="AB26" s="12">
        <v>18.9380408</v>
      </c>
      <c r="AC26" s="12">
        <v>18.712357699999998</v>
      </c>
      <c r="AD26" s="12">
        <v>35.564441299999999</v>
      </c>
      <c r="AE26" s="12">
        <v>24.2319228</v>
      </c>
      <c r="AF26" s="7" t="s">
        <v>107</v>
      </c>
      <c r="AG26" s="7" t="s">
        <v>107</v>
      </c>
    </row>
    <row r="27" spans="1:33" s="11" customFormat="1" outlineLevel="1" x14ac:dyDescent="0.3">
      <c r="A27" s="11" t="s">
        <v>33</v>
      </c>
      <c r="B27" s="12">
        <v>0.71308099999999996</v>
      </c>
      <c r="C27" s="12">
        <v>79.47</v>
      </c>
      <c r="D27" s="12">
        <v>1.9194597</v>
      </c>
      <c r="E27" s="17">
        <v>2</v>
      </c>
      <c r="F27" s="13">
        <v>28.45</v>
      </c>
      <c r="G27" s="12">
        <v>18.736717800000001</v>
      </c>
      <c r="H27" s="12">
        <v>13.531887299999999</v>
      </c>
      <c r="I27" s="12">
        <v>1.2888097999999999</v>
      </c>
      <c r="J27" s="12">
        <v>6.2135689000000003</v>
      </c>
      <c r="K27" s="12">
        <v>7.1100456999999997</v>
      </c>
      <c r="L27" s="12">
        <v>1.8880693</v>
      </c>
      <c r="M27" s="12">
        <v>6.4165894999999997</v>
      </c>
      <c r="N27" s="12">
        <v>12.664843599999999</v>
      </c>
      <c r="O27" s="12">
        <v>17.628347900000001</v>
      </c>
      <c r="P27" s="18">
        <v>67925</v>
      </c>
      <c r="Q27" s="18">
        <v>5778</v>
      </c>
      <c r="R27" s="18">
        <v>7.8</v>
      </c>
      <c r="S27" s="12">
        <v>22.2540172</v>
      </c>
      <c r="T27" s="12">
        <v>16</v>
      </c>
      <c r="U27" s="12">
        <v>32.741057599999998</v>
      </c>
      <c r="V27" s="12">
        <v>34.245333299999999</v>
      </c>
      <c r="W27" s="7" t="s">
        <v>107</v>
      </c>
      <c r="X27" s="7" t="s">
        <v>107</v>
      </c>
      <c r="Y27" s="7" t="s">
        <v>107</v>
      </c>
      <c r="Z27" s="12">
        <v>6.1502311000000001</v>
      </c>
      <c r="AA27" s="12">
        <v>47.227658900000002</v>
      </c>
      <c r="AB27" s="12">
        <v>16.543429799999998</v>
      </c>
      <c r="AC27" s="12">
        <v>27.362210699999999</v>
      </c>
      <c r="AD27" s="12">
        <v>33.514611100000003</v>
      </c>
      <c r="AE27" s="12">
        <v>23.509669200000001</v>
      </c>
      <c r="AF27" s="7" t="s">
        <v>107</v>
      </c>
      <c r="AG27" s="7" t="s">
        <v>107</v>
      </c>
    </row>
    <row r="28" spans="1:33" s="11" customFormat="1" outlineLevel="1" x14ac:dyDescent="0.3">
      <c r="A28" s="11" t="s">
        <v>34</v>
      </c>
      <c r="B28" s="12">
        <v>1.3127310999999999</v>
      </c>
      <c r="C28" s="12">
        <v>79.913333300000005</v>
      </c>
      <c r="D28" s="12">
        <v>1.9259385</v>
      </c>
      <c r="E28" s="17">
        <v>2</v>
      </c>
      <c r="F28" s="13">
        <v>29.39</v>
      </c>
      <c r="G28" s="12">
        <v>3.7541218999999999</v>
      </c>
      <c r="H28" s="12">
        <v>12.2907229</v>
      </c>
      <c r="I28" s="12">
        <v>-2.3774258000000001</v>
      </c>
      <c r="J28" s="12">
        <v>7.7227136999999999</v>
      </c>
      <c r="K28" s="12">
        <v>8.3112817000000003</v>
      </c>
      <c r="L28" s="12">
        <v>1.8880615000000001</v>
      </c>
      <c r="M28" s="12">
        <v>19.630384299999999</v>
      </c>
      <c r="N28" s="12">
        <v>12.965281900000001</v>
      </c>
      <c r="O28" s="12">
        <v>18.326135399999998</v>
      </c>
      <c r="P28" s="18">
        <v>67152</v>
      </c>
      <c r="Q28" s="18">
        <v>5683</v>
      </c>
      <c r="R28" s="18">
        <v>7.8</v>
      </c>
      <c r="S28" s="12">
        <v>27.324578899999999</v>
      </c>
      <c r="T28" s="12">
        <v>16</v>
      </c>
      <c r="U28" s="12">
        <v>33.432321100000003</v>
      </c>
      <c r="V28" s="12">
        <v>35.451333300000002</v>
      </c>
      <c r="W28" s="7" t="s">
        <v>107</v>
      </c>
      <c r="X28" s="7" t="s">
        <v>107</v>
      </c>
      <c r="Y28" s="7" t="s">
        <v>107</v>
      </c>
      <c r="Z28" s="12">
        <v>6.9735825</v>
      </c>
      <c r="AA28" s="12">
        <v>51.797242300000001</v>
      </c>
      <c r="AB28" s="12">
        <v>16.951128400000002</v>
      </c>
      <c r="AC28" s="12">
        <v>22.080787099999998</v>
      </c>
      <c r="AD28" s="12">
        <v>34.613569400000003</v>
      </c>
      <c r="AE28" s="12">
        <v>24.318686199999998</v>
      </c>
      <c r="AF28" s="7" t="s">
        <v>107</v>
      </c>
      <c r="AG28" s="7" t="s">
        <v>107</v>
      </c>
    </row>
    <row r="29" spans="1:33" s="11" customFormat="1" outlineLevel="1" x14ac:dyDescent="0.3">
      <c r="A29" s="11" t="s">
        <v>35</v>
      </c>
      <c r="B29" s="12">
        <v>2.4350660999999998</v>
      </c>
      <c r="C29" s="12">
        <v>80.113333299999994</v>
      </c>
      <c r="D29" s="12">
        <v>1.5936086</v>
      </c>
      <c r="E29" s="17">
        <v>2</v>
      </c>
      <c r="F29" s="13">
        <v>31.923333299999999</v>
      </c>
      <c r="G29" s="12">
        <v>15.5454545</v>
      </c>
      <c r="H29" s="12">
        <v>19.3717875</v>
      </c>
      <c r="I29" s="12">
        <v>4.4202271</v>
      </c>
      <c r="J29" s="12">
        <v>7.2411396000000003</v>
      </c>
      <c r="K29" s="12">
        <v>11.9</v>
      </c>
      <c r="L29" s="12">
        <v>2.2000000000000002</v>
      </c>
      <c r="M29" s="12">
        <v>14.6</v>
      </c>
      <c r="N29" s="12">
        <v>11.3</v>
      </c>
      <c r="O29" s="12">
        <v>21.7</v>
      </c>
      <c r="P29" s="18">
        <v>65787</v>
      </c>
      <c r="Q29" s="18">
        <v>6606</v>
      </c>
      <c r="R29" s="18">
        <v>9.1</v>
      </c>
      <c r="S29" s="12">
        <v>28.631022699999999</v>
      </c>
      <c r="T29" s="12">
        <v>14</v>
      </c>
      <c r="U29" s="12">
        <v>34.688149199999998</v>
      </c>
      <c r="V29" s="12">
        <v>35.856666699999998</v>
      </c>
      <c r="W29" s="7" t="s">
        <v>107</v>
      </c>
      <c r="X29" s="7" t="s">
        <v>107</v>
      </c>
      <c r="Y29" s="7" t="s">
        <v>107</v>
      </c>
      <c r="Z29" s="12">
        <v>10.410657199999999</v>
      </c>
      <c r="AA29" s="12">
        <v>54.009827199999997</v>
      </c>
      <c r="AB29" s="12">
        <v>19.663468300000002</v>
      </c>
      <c r="AC29" s="12">
        <v>14.022985500000001</v>
      </c>
      <c r="AD29" s="12">
        <v>33.564143700000002</v>
      </c>
      <c r="AE29" s="12">
        <v>21.458296600000001</v>
      </c>
      <c r="AF29" s="7" t="s">
        <v>107</v>
      </c>
      <c r="AG29" s="7" t="s">
        <v>107</v>
      </c>
    </row>
    <row r="30" spans="1:33" s="11" customFormat="1" outlineLevel="1" x14ac:dyDescent="0.3">
      <c r="A30" s="11" t="s">
        <v>36</v>
      </c>
      <c r="B30" s="12">
        <v>2.9592486</v>
      </c>
      <c r="C30" s="12">
        <v>81.069999999999993</v>
      </c>
      <c r="D30" s="12">
        <v>2.1418672000000001</v>
      </c>
      <c r="E30" s="17">
        <v>2</v>
      </c>
      <c r="F30" s="13">
        <v>35.446666700000002</v>
      </c>
      <c r="G30" s="12">
        <v>16.6926515</v>
      </c>
      <c r="H30" s="12">
        <v>28.798207099999999</v>
      </c>
      <c r="I30" s="12">
        <v>6.4608591999999998</v>
      </c>
      <c r="J30" s="12">
        <v>8.0295793</v>
      </c>
      <c r="K30" s="12">
        <v>12</v>
      </c>
      <c r="L30" s="12">
        <v>2</v>
      </c>
      <c r="M30" s="12">
        <v>15.5</v>
      </c>
      <c r="N30" s="12">
        <v>11.8</v>
      </c>
      <c r="O30" s="12">
        <v>22.6</v>
      </c>
      <c r="P30" s="18">
        <v>68074</v>
      </c>
      <c r="Q30" s="18">
        <v>5224</v>
      </c>
      <c r="R30" s="18">
        <v>7.1</v>
      </c>
      <c r="S30" s="12">
        <v>25.858484000000001</v>
      </c>
      <c r="T30" s="12">
        <v>13</v>
      </c>
      <c r="U30" s="12">
        <v>35.588180700000002</v>
      </c>
      <c r="V30" s="12">
        <v>34.8466667</v>
      </c>
      <c r="W30" s="7" t="s">
        <v>107</v>
      </c>
      <c r="X30" s="7" t="s">
        <v>107</v>
      </c>
      <c r="Y30" s="7" t="s">
        <v>107</v>
      </c>
      <c r="Z30" s="12">
        <v>9.8860562000000005</v>
      </c>
      <c r="AA30" s="12">
        <v>50.928994000000003</v>
      </c>
      <c r="AB30" s="12">
        <v>17.929765499999998</v>
      </c>
      <c r="AC30" s="12">
        <v>19.1408618</v>
      </c>
      <c r="AD30" s="12">
        <v>35.031151100000002</v>
      </c>
      <c r="AE30" s="12">
        <v>22.570203299999999</v>
      </c>
      <c r="AF30" s="7" t="s">
        <v>107</v>
      </c>
      <c r="AG30" s="7" t="s">
        <v>107</v>
      </c>
    </row>
    <row r="31" spans="1:33" s="11" customFormat="1" outlineLevel="1" x14ac:dyDescent="0.3">
      <c r="A31" s="11" t="s">
        <v>37</v>
      </c>
      <c r="B31" s="12">
        <v>2.4141233999999998</v>
      </c>
      <c r="C31" s="12">
        <v>81.156666700000002</v>
      </c>
      <c r="D31" s="12">
        <v>2.1223942</v>
      </c>
      <c r="E31" s="17">
        <v>2</v>
      </c>
      <c r="F31" s="13">
        <v>41.386666699999999</v>
      </c>
      <c r="G31" s="12">
        <v>12.647906900000001</v>
      </c>
      <c r="H31" s="12">
        <v>36.0326965</v>
      </c>
      <c r="I31" s="12">
        <v>6.4932204999999996</v>
      </c>
      <c r="J31" s="12">
        <v>7.3241836999999999</v>
      </c>
      <c r="K31" s="12">
        <v>14.2</v>
      </c>
      <c r="L31" s="12">
        <v>2.1</v>
      </c>
      <c r="M31" s="12">
        <v>7.8</v>
      </c>
      <c r="N31" s="12">
        <v>11.2</v>
      </c>
      <c r="O31" s="12">
        <v>20.9</v>
      </c>
      <c r="P31" s="18">
        <v>68345</v>
      </c>
      <c r="Q31" s="18">
        <v>5088</v>
      </c>
      <c r="R31" s="18">
        <v>6.9</v>
      </c>
      <c r="S31" s="12">
        <v>24.672908400000001</v>
      </c>
      <c r="T31" s="12">
        <v>13</v>
      </c>
      <c r="U31" s="12">
        <v>36.343675699999999</v>
      </c>
      <c r="V31" s="12">
        <v>35.65</v>
      </c>
      <c r="W31" s="7" t="s">
        <v>107</v>
      </c>
      <c r="X31" s="7" t="s">
        <v>107</v>
      </c>
      <c r="Y31" s="7" t="s">
        <v>107</v>
      </c>
      <c r="Z31" s="12">
        <v>9.5948135000000008</v>
      </c>
      <c r="AA31" s="12">
        <v>48.162587299999998</v>
      </c>
      <c r="AB31" s="12">
        <v>15.805321599999999</v>
      </c>
      <c r="AC31" s="12">
        <v>26.2623888</v>
      </c>
      <c r="AD31" s="12">
        <v>34.514416699999998</v>
      </c>
      <c r="AE31" s="12">
        <v>22.379081599999999</v>
      </c>
      <c r="AF31" s="7" t="s">
        <v>107</v>
      </c>
      <c r="AG31" s="7" t="s">
        <v>107</v>
      </c>
    </row>
    <row r="32" spans="1:33" s="11" customFormat="1" outlineLevel="1" x14ac:dyDescent="0.3">
      <c r="A32" s="11" t="s">
        <v>38</v>
      </c>
      <c r="B32" s="12">
        <v>2.308249</v>
      </c>
      <c r="C32" s="12">
        <v>81.663333300000005</v>
      </c>
      <c r="D32" s="12">
        <v>2.1898724000000001</v>
      </c>
      <c r="E32" s="17">
        <v>2</v>
      </c>
      <c r="F32" s="13">
        <v>44.163333299999998</v>
      </c>
      <c r="G32" s="12">
        <v>24.227854300000001</v>
      </c>
      <c r="H32" s="12">
        <v>38.072268000000001</v>
      </c>
      <c r="I32" s="12">
        <v>1.0089155999999999</v>
      </c>
      <c r="J32" s="12">
        <v>6.2195982000000001</v>
      </c>
      <c r="K32" s="12">
        <v>11.7</v>
      </c>
      <c r="L32" s="12">
        <v>2.2000000000000002</v>
      </c>
      <c r="M32" s="12">
        <v>13.5</v>
      </c>
      <c r="N32" s="12">
        <v>13.1</v>
      </c>
      <c r="O32" s="12">
        <v>27.6</v>
      </c>
      <c r="P32" s="18">
        <v>67068</v>
      </c>
      <c r="Q32" s="18">
        <v>5746</v>
      </c>
      <c r="R32" s="18">
        <v>7.9</v>
      </c>
      <c r="S32" s="12">
        <v>18.517553899999999</v>
      </c>
      <c r="T32" s="12">
        <v>13</v>
      </c>
      <c r="U32" s="12">
        <v>37.329607000000003</v>
      </c>
      <c r="V32" s="12">
        <v>36.906666700000002</v>
      </c>
      <c r="W32" s="7" t="s">
        <v>107</v>
      </c>
      <c r="X32" s="7" t="s">
        <v>107</v>
      </c>
      <c r="Y32" s="7" t="s">
        <v>107</v>
      </c>
      <c r="Z32" s="12">
        <v>10.4067252</v>
      </c>
      <c r="AA32" s="12">
        <v>49.616813200000003</v>
      </c>
      <c r="AB32" s="12">
        <v>15.3723159</v>
      </c>
      <c r="AC32" s="12">
        <v>22.224450300000001</v>
      </c>
      <c r="AD32" s="12">
        <v>34.442641100000003</v>
      </c>
      <c r="AE32" s="12">
        <v>22.139531600000002</v>
      </c>
      <c r="AF32" s="12">
        <v>106.79900859999999</v>
      </c>
      <c r="AG32" s="7" t="s">
        <v>107</v>
      </c>
    </row>
    <row r="33" spans="1:33" s="11" customFormat="1" outlineLevel="1" x14ac:dyDescent="0.3">
      <c r="A33" s="11" t="s">
        <v>39</v>
      </c>
      <c r="B33" s="12">
        <v>1.1277817999999999</v>
      </c>
      <c r="C33" s="12">
        <v>81.773333300000004</v>
      </c>
      <c r="D33" s="12">
        <v>2.0720646</v>
      </c>
      <c r="E33" s="17">
        <v>2</v>
      </c>
      <c r="F33" s="13">
        <v>47.696666700000002</v>
      </c>
      <c r="G33" s="12">
        <v>19.242441299999999</v>
      </c>
      <c r="H33" s="12">
        <v>64.223519300000007</v>
      </c>
      <c r="I33" s="12">
        <v>14.6996518</v>
      </c>
      <c r="J33" s="12">
        <v>5.5760687000000004</v>
      </c>
      <c r="K33" s="12">
        <v>9.4</v>
      </c>
      <c r="L33" s="12">
        <v>-0.1</v>
      </c>
      <c r="M33" s="12">
        <v>17.399999999999999</v>
      </c>
      <c r="N33" s="12">
        <v>3.8</v>
      </c>
      <c r="O33" s="12">
        <v>14.4</v>
      </c>
      <c r="P33" s="18">
        <v>66907</v>
      </c>
      <c r="Q33" s="18">
        <v>5724</v>
      </c>
      <c r="R33" s="18">
        <v>7.9</v>
      </c>
      <c r="S33" s="12">
        <v>23.798713599999999</v>
      </c>
      <c r="T33" s="12">
        <v>13</v>
      </c>
      <c r="U33" s="12">
        <v>39.231723500000001</v>
      </c>
      <c r="V33" s="12">
        <v>36.643333300000002</v>
      </c>
      <c r="W33" s="7" t="s">
        <v>107</v>
      </c>
      <c r="X33" s="7" t="s">
        <v>107</v>
      </c>
      <c r="Y33" s="7" t="s">
        <v>107</v>
      </c>
      <c r="Z33" s="12">
        <v>12.572751500000001</v>
      </c>
      <c r="AA33" s="12">
        <v>52.502921899999997</v>
      </c>
      <c r="AB33" s="12">
        <v>19.3872125</v>
      </c>
      <c r="AC33" s="12">
        <v>15.1998078</v>
      </c>
      <c r="AD33" s="12">
        <v>34.344792300000002</v>
      </c>
      <c r="AE33" s="12">
        <v>20.5041528</v>
      </c>
      <c r="AF33" s="12">
        <v>91.060698400000007</v>
      </c>
      <c r="AG33" s="7" t="s">
        <v>107</v>
      </c>
    </row>
    <row r="34" spans="1:33" s="11" customFormat="1" outlineLevel="1" x14ac:dyDescent="0.3">
      <c r="A34" s="11" t="s">
        <v>40</v>
      </c>
      <c r="B34" s="12">
        <v>2.2042253999999999</v>
      </c>
      <c r="C34" s="12">
        <v>82.71</v>
      </c>
      <c r="D34" s="12">
        <v>2.0229431</v>
      </c>
      <c r="E34" s="17">
        <v>2</v>
      </c>
      <c r="F34" s="13">
        <v>51.626666700000001</v>
      </c>
      <c r="G34" s="12">
        <v>23.1139218</v>
      </c>
      <c r="H34" s="12">
        <v>30.319727400000001</v>
      </c>
      <c r="I34" s="12">
        <v>8.1786285000000003</v>
      </c>
      <c r="J34" s="12">
        <v>6.0139673</v>
      </c>
      <c r="K34" s="12">
        <v>13.8</v>
      </c>
      <c r="L34" s="12">
        <v>0.7</v>
      </c>
      <c r="M34" s="12">
        <v>4.0999999999999996</v>
      </c>
      <c r="N34" s="12">
        <v>6</v>
      </c>
      <c r="O34" s="12">
        <v>14.3</v>
      </c>
      <c r="P34" s="18">
        <v>68459</v>
      </c>
      <c r="Q34" s="18">
        <v>5077</v>
      </c>
      <c r="R34" s="18">
        <v>6.9</v>
      </c>
      <c r="S34" s="12">
        <v>23.794743400000002</v>
      </c>
      <c r="T34" s="12">
        <v>13</v>
      </c>
      <c r="U34" s="12">
        <v>40.486716100000002</v>
      </c>
      <c r="V34" s="12">
        <v>35.42</v>
      </c>
      <c r="W34" s="7" t="s">
        <v>107</v>
      </c>
      <c r="X34" s="7" t="s">
        <v>107</v>
      </c>
      <c r="Y34" s="7" t="s">
        <v>107</v>
      </c>
      <c r="Z34" s="12">
        <v>12.3587273</v>
      </c>
      <c r="AA34" s="12">
        <v>50.633449800000001</v>
      </c>
      <c r="AB34" s="12">
        <v>17.7594201</v>
      </c>
      <c r="AC34" s="12">
        <v>17.259210199999998</v>
      </c>
      <c r="AD34" s="12">
        <v>36.330204299999998</v>
      </c>
      <c r="AE34" s="12">
        <v>21.302245200000002</v>
      </c>
      <c r="AF34" s="12">
        <v>83.203095200000007</v>
      </c>
      <c r="AG34" s="7" t="s">
        <v>107</v>
      </c>
    </row>
    <row r="35" spans="1:33" s="11" customFormat="1" outlineLevel="1" x14ac:dyDescent="0.3">
      <c r="A35" s="11" t="s">
        <v>41</v>
      </c>
      <c r="B35" s="12">
        <v>2.0830310000000001</v>
      </c>
      <c r="C35" s="12">
        <v>83.016666700000002</v>
      </c>
      <c r="D35" s="12">
        <v>2.2918634999999998</v>
      </c>
      <c r="E35" s="17">
        <v>2</v>
      </c>
      <c r="F35" s="13">
        <v>61.47</v>
      </c>
      <c r="G35" s="12">
        <v>46.094094800000001</v>
      </c>
      <c r="H35" s="12">
        <v>33.475405299999998</v>
      </c>
      <c r="I35" s="12">
        <v>4.3659471999999999</v>
      </c>
      <c r="J35" s="12">
        <v>5.9607763</v>
      </c>
      <c r="K35" s="12">
        <v>12.6</v>
      </c>
      <c r="L35" s="12">
        <v>2</v>
      </c>
      <c r="M35" s="12">
        <v>8.5</v>
      </c>
      <c r="N35" s="12">
        <v>5.5</v>
      </c>
      <c r="O35" s="12">
        <v>17.600000000000001</v>
      </c>
      <c r="P35" s="18">
        <v>69123</v>
      </c>
      <c r="Q35" s="18">
        <v>5047</v>
      </c>
      <c r="R35" s="18">
        <v>6.8</v>
      </c>
      <c r="S35" s="12">
        <v>25.624608899999998</v>
      </c>
      <c r="T35" s="12">
        <v>13</v>
      </c>
      <c r="U35" s="12">
        <v>40.950094200000002</v>
      </c>
      <c r="V35" s="12">
        <v>34.813333299999996</v>
      </c>
      <c r="W35" s="7" t="s">
        <v>107</v>
      </c>
      <c r="X35" s="7" t="s">
        <v>107</v>
      </c>
      <c r="Y35" s="7" t="s">
        <v>107</v>
      </c>
      <c r="Z35" s="12">
        <v>9.7944569000000001</v>
      </c>
      <c r="AA35" s="12">
        <v>47.736294899999997</v>
      </c>
      <c r="AB35" s="12">
        <v>15.7444404</v>
      </c>
      <c r="AC35" s="12">
        <v>25.157230999999999</v>
      </c>
      <c r="AD35" s="12">
        <v>35.066151900000001</v>
      </c>
      <c r="AE35" s="12">
        <v>21.571406</v>
      </c>
      <c r="AF35" s="12">
        <v>88.6374493</v>
      </c>
      <c r="AG35" s="7" t="s">
        <v>107</v>
      </c>
    </row>
    <row r="36" spans="1:33" s="11" customFormat="1" outlineLevel="1" x14ac:dyDescent="0.3">
      <c r="A36" s="11" t="s">
        <v>42</v>
      </c>
      <c r="B36" s="12">
        <v>2.0666498999999998</v>
      </c>
      <c r="C36" s="12">
        <v>83.51</v>
      </c>
      <c r="D36" s="12">
        <v>2.2613167999999999</v>
      </c>
      <c r="E36" s="17">
        <v>2.0833333000000001</v>
      </c>
      <c r="F36" s="13">
        <v>56.88</v>
      </c>
      <c r="G36" s="12">
        <v>78.588296999999997</v>
      </c>
      <c r="H36" s="12">
        <v>100.43828999999999</v>
      </c>
      <c r="I36" s="12">
        <v>6.9540224000000004</v>
      </c>
      <c r="J36" s="12">
        <v>7.7803956999999997</v>
      </c>
      <c r="K36" s="12">
        <v>12.9</v>
      </c>
      <c r="L36" s="12">
        <v>3.1</v>
      </c>
      <c r="M36" s="12">
        <v>10.4</v>
      </c>
      <c r="N36" s="12">
        <v>10.6</v>
      </c>
      <c r="O36" s="12">
        <v>19.600000000000001</v>
      </c>
      <c r="P36" s="18">
        <v>68867</v>
      </c>
      <c r="Q36" s="18">
        <v>5120</v>
      </c>
      <c r="R36" s="18">
        <v>6.9</v>
      </c>
      <c r="S36" s="12">
        <v>27.240363899999998</v>
      </c>
      <c r="T36" s="12">
        <v>12</v>
      </c>
      <c r="U36" s="12">
        <v>41.541528399999997</v>
      </c>
      <c r="V36" s="12">
        <v>34.1666667</v>
      </c>
      <c r="W36" s="7" t="s">
        <v>107</v>
      </c>
      <c r="X36" s="7" t="s">
        <v>107</v>
      </c>
      <c r="Y36" s="7" t="s">
        <v>107</v>
      </c>
      <c r="Z36" s="12">
        <v>10.1583355</v>
      </c>
      <c r="AA36" s="12">
        <v>49.614244499999998</v>
      </c>
      <c r="AB36" s="12">
        <v>15.4045004</v>
      </c>
      <c r="AC36" s="12">
        <v>21.099701799999998</v>
      </c>
      <c r="AD36" s="12">
        <v>35.027014299999998</v>
      </c>
      <c r="AE36" s="12">
        <v>22.342466399999999</v>
      </c>
      <c r="AF36" s="12">
        <v>90.625778400000002</v>
      </c>
      <c r="AG36" s="7" t="s">
        <v>107</v>
      </c>
    </row>
    <row r="37" spans="1:33" s="11" customFormat="1" outlineLevel="1" x14ac:dyDescent="0.3">
      <c r="A37" s="11" t="s">
        <v>43</v>
      </c>
      <c r="B37" s="12">
        <v>3.8191847000000001</v>
      </c>
      <c r="C37" s="12">
        <v>83.573333300000002</v>
      </c>
      <c r="D37" s="12">
        <v>2.2012065999999999</v>
      </c>
      <c r="E37" s="17">
        <v>2.3333333000000001</v>
      </c>
      <c r="F37" s="13">
        <v>61.753333300000001</v>
      </c>
      <c r="G37" s="12">
        <v>20.105570700000001</v>
      </c>
      <c r="H37" s="12">
        <v>15.9179631</v>
      </c>
      <c r="I37" s="12">
        <v>12.3477707</v>
      </c>
      <c r="J37" s="12">
        <v>7.2975833000000003</v>
      </c>
      <c r="K37" s="12">
        <v>11.3</v>
      </c>
      <c r="L37" s="12">
        <v>2.2999999999999998</v>
      </c>
      <c r="M37" s="12">
        <v>13.3</v>
      </c>
      <c r="N37" s="12">
        <v>9</v>
      </c>
      <c r="O37" s="12">
        <v>23.1</v>
      </c>
      <c r="P37" s="18">
        <v>68118</v>
      </c>
      <c r="Q37" s="18">
        <v>5727</v>
      </c>
      <c r="R37" s="18">
        <v>7.8</v>
      </c>
      <c r="S37" s="12">
        <v>23.057107899999998</v>
      </c>
      <c r="T37" s="12">
        <v>12</v>
      </c>
      <c r="U37" s="12">
        <v>43.481487899999998</v>
      </c>
      <c r="V37" s="12">
        <v>33.823333300000002</v>
      </c>
      <c r="W37" s="7" t="s">
        <v>107</v>
      </c>
      <c r="X37" s="7" t="s">
        <v>107</v>
      </c>
      <c r="Y37" s="7" t="s">
        <v>107</v>
      </c>
      <c r="Z37" s="12">
        <v>14.8134713</v>
      </c>
      <c r="AA37" s="12">
        <v>49.247805399999997</v>
      </c>
      <c r="AB37" s="12">
        <v>19.428793500000001</v>
      </c>
      <c r="AC37" s="12">
        <v>14.660927900000001</v>
      </c>
      <c r="AD37" s="12">
        <v>35.610535800000001</v>
      </c>
      <c r="AE37" s="12">
        <v>18.997234299999999</v>
      </c>
      <c r="AF37" s="12">
        <v>93.738861700000001</v>
      </c>
      <c r="AG37" s="7" t="s">
        <v>107</v>
      </c>
    </row>
    <row r="38" spans="1:33" s="11" customFormat="1" outlineLevel="1" x14ac:dyDescent="0.3">
      <c r="A38" s="11" t="s">
        <v>44</v>
      </c>
      <c r="B38" s="12">
        <v>2.9723983</v>
      </c>
      <c r="C38" s="12">
        <v>84.693333300000006</v>
      </c>
      <c r="D38" s="12">
        <v>2.3979365000000001</v>
      </c>
      <c r="E38" s="17">
        <v>2.5833333000000001</v>
      </c>
      <c r="F38" s="13">
        <v>69.533333299999995</v>
      </c>
      <c r="G38" s="12">
        <v>95.8906092</v>
      </c>
      <c r="H38" s="12">
        <v>88.873435299999997</v>
      </c>
      <c r="I38" s="12">
        <v>10.7944788</v>
      </c>
      <c r="J38" s="12">
        <v>8.0817373999999997</v>
      </c>
      <c r="K38" s="12">
        <v>11.8</v>
      </c>
      <c r="L38" s="12">
        <v>3.5</v>
      </c>
      <c r="M38" s="12">
        <v>20.9</v>
      </c>
      <c r="N38" s="12">
        <v>6.6</v>
      </c>
      <c r="O38" s="12">
        <v>21.6</v>
      </c>
      <c r="P38" s="18">
        <v>68975</v>
      </c>
      <c r="Q38" s="18">
        <v>5500</v>
      </c>
      <c r="R38" s="18">
        <v>7.4</v>
      </c>
      <c r="S38" s="12">
        <v>26.156583600000001</v>
      </c>
      <c r="T38" s="12">
        <v>11.5</v>
      </c>
      <c r="U38" s="12">
        <v>44.293517600000001</v>
      </c>
      <c r="V38" s="12">
        <v>34.156666700000002</v>
      </c>
      <c r="W38" s="7" t="s">
        <v>107</v>
      </c>
      <c r="X38" s="7" t="s">
        <v>107</v>
      </c>
      <c r="Y38" s="7" t="s">
        <v>107</v>
      </c>
      <c r="Z38" s="12">
        <v>10.429253299999999</v>
      </c>
      <c r="AA38" s="12">
        <v>49.214280799999997</v>
      </c>
      <c r="AB38" s="12">
        <v>18.297536699999998</v>
      </c>
      <c r="AC38" s="12">
        <v>18.184472599999999</v>
      </c>
      <c r="AD38" s="12">
        <v>35.940243899999999</v>
      </c>
      <c r="AE38" s="12">
        <v>21.1005836</v>
      </c>
      <c r="AF38" s="12">
        <v>91.354359200000005</v>
      </c>
      <c r="AG38" s="7" t="s">
        <v>107</v>
      </c>
    </row>
    <row r="39" spans="1:33" s="11" customFormat="1" outlineLevel="1" x14ac:dyDescent="0.3">
      <c r="A39" s="11" t="s">
        <v>45</v>
      </c>
      <c r="B39" s="12">
        <v>3.3099788999999999</v>
      </c>
      <c r="C39" s="12">
        <v>84.873333299999999</v>
      </c>
      <c r="D39" s="12">
        <v>2.2364986</v>
      </c>
      <c r="E39" s="17">
        <v>2.9166666999999999</v>
      </c>
      <c r="F39" s="13">
        <v>69.62</v>
      </c>
      <c r="G39" s="12">
        <v>-9.4072866000000008</v>
      </c>
      <c r="H39" s="12">
        <v>16.615191299999999</v>
      </c>
      <c r="I39" s="12">
        <v>10.009831</v>
      </c>
      <c r="J39" s="12">
        <v>8.1909065000000005</v>
      </c>
      <c r="K39" s="12">
        <v>11.4</v>
      </c>
      <c r="L39" s="12">
        <v>2.5</v>
      </c>
      <c r="M39" s="12">
        <v>15.6</v>
      </c>
      <c r="N39" s="12">
        <v>6.2</v>
      </c>
      <c r="O39" s="12">
        <v>18.600000000000001</v>
      </c>
      <c r="P39" s="18">
        <v>70183</v>
      </c>
      <c r="Q39" s="18">
        <v>4838</v>
      </c>
      <c r="R39" s="18">
        <v>6.4</v>
      </c>
      <c r="S39" s="12">
        <v>25.9311772</v>
      </c>
      <c r="T39" s="12">
        <v>11.5</v>
      </c>
      <c r="U39" s="12">
        <v>44.814750099999998</v>
      </c>
      <c r="V39" s="12">
        <v>34.176666699999998</v>
      </c>
      <c r="W39" s="7" t="s">
        <v>107</v>
      </c>
      <c r="X39" s="7" t="s">
        <v>107</v>
      </c>
      <c r="Y39" s="7" t="s">
        <v>107</v>
      </c>
      <c r="Z39" s="12">
        <v>8.8287671999999997</v>
      </c>
      <c r="AA39" s="12">
        <v>46.533413299999999</v>
      </c>
      <c r="AB39" s="12">
        <v>16.209796399999998</v>
      </c>
      <c r="AC39" s="12">
        <v>25.614886800000001</v>
      </c>
      <c r="AD39" s="12">
        <v>32.625754299999997</v>
      </c>
      <c r="AE39" s="12">
        <v>20.544686800000001</v>
      </c>
      <c r="AF39" s="12">
        <v>87.415834399999994</v>
      </c>
      <c r="AG39" s="7" t="s">
        <v>107</v>
      </c>
    </row>
    <row r="40" spans="1:33" s="11" customFormat="1" outlineLevel="1" x14ac:dyDescent="0.3">
      <c r="A40" s="11" t="s">
        <v>46</v>
      </c>
      <c r="B40" s="12">
        <v>3.7478780999999999</v>
      </c>
      <c r="C40" s="12">
        <v>85.166666699999993</v>
      </c>
      <c r="D40" s="12">
        <v>1.9837944000000001</v>
      </c>
      <c r="E40" s="17">
        <v>3.3333333000000001</v>
      </c>
      <c r="F40" s="13">
        <v>59.68</v>
      </c>
      <c r="G40" s="12">
        <v>6.3032617999999996</v>
      </c>
      <c r="H40" s="12">
        <v>-4.4969102000000003</v>
      </c>
      <c r="I40" s="12">
        <v>1.5988587999999999</v>
      </c>
      <c r="J40" s="12">
        <v>8.8806809999999992</v>
      </c>
      <c r="K40" s="12">
        <v>13.9</v>
      </c>
      <c r="L40" s="12">
        <v>1.1000000000000001</v>
      </c>
      <c r="M40" s="12">
        <v>20.399999999999999</v>
      </c>
      <c r="N40" s="12">
        <v>7.7</v>
      </c>
      <c r="O40" s="12">
        <v>22.3</v>
      </c>
      <c r="P40" s="18">
        <v>69399</v>
      </c>
      <c r="Q40" s="18">
        <v>4936</v>
      </c>
      <c r="R40" s="18">
        <v>6.6</v>
      </c>
      <c r="S40" s="12">
        <v>26.461953000000001</v>
      </c>
      <c r="T40" s="12">
        <v>11</v>
      </c>
      <c r="U40" s="12">
        <v>45.303838599999999</v>
      </c>
      <c r="V40" s="12">
        <v>34.286666699999998</v>
      </c>
      <c r="W40" s="7" t="s">
        <v>107</v>
      </c>
      <c r="X40" s="7" t="s">
        <v>107</v>
      </c>
      <c r="Y40" s="7" t="s">
        <v>107</v>
      </c>
      <c r="Z40" s="12">
        <v>5.6312819999999997</v>
      </c>
      <c r="AA40" s="12">
        <v>50.221010200000002</v>
      </c>
      <c r="AB40" s="12">
        <v>16.179755799999999</v>
      </c>
      <c r="AC40" s="12">
        <v>24.4347332</v>
      </c>
      <c r="AD40" s="12">
        <v>31.467840299999999</v>
      </c>
      <c r="AE40" s="12">
        <v>22.918758400000002</v>
      </c>
      <c r="AF40" s="12">
        <v>78.299968800000002</v>
      </c>
      <c r="AG40" s="7" t="s">
        <v>107</v>
      </c>
    </row>
    <row r="41" spans="1:33" s="11" customFormat="1" outlineLevel="1" x14ac:dyDescent="0.3">
      <c r="A41" s="11" t="s">
        <v>47</v>
      </c>
      <c r="B41" s="12">
        <v>3.5234725999999998</v>
      </c>
      <c r="C41" s="12">
        <v>85.39</v>
      </c>
      <c r="D41" s="12">
        <v>2.1737397000000001</v>
      </c>
      <c r="E41" s="17">
        <v>3.5833333000000001</v>
      </c>
      <c r="F41" s="13">
        <v>57.763333299999999</v>
      </c>
      <c r="G41" s="12">
        <v>37.709935600000001</v>
      </c>
      <c r="H41" s="12">
        <v>27.182709200000001</v>
      </c>
      <c r="I41" s="12">
        <v>11.439152099999999</v>
      </c>
      <c r="J41" s="12">
        <v>8.0698699999999999</v>
      </c>
      <c r="K41" s="12">
        <v>13.9</v>
      </c>
      <c r="L41" s="12">
        <v>3.3</v>
      </c>
      <c r="M41" s="12">
        <v>28.9</v>
      </c>
      <c r="N41" s="12">
        <v>3.6</v>
      </c>
      <c r="O41" s="12">
        <v>28.9</v>
      </c>
      <c r="P41" s="18">
        <v>69543</v>
      </c>
      <c r="Q41" s="18">
        <v>5307</v>
      </c>
      <c r="R41" s="18">
        <v>7.1</v>
      </c>
      <c r="S41" s="12">
        <v>26.4324996</v>
      </c>
      <c r="T41" s="12">
        <v>10.5</v>
      </c>
      <c r="U41" s="12">
        <v>46.839156699999997</v>
      </c>
      <c r="V41" s="12">
        <v>34.483333299999998</v>
      </c>
      <c r="W41" s="7" t="s">
        <v>107</v>
      </c>
      <c r="X41" s="7" t="s">
        <v>107</v>
      </c>
      <c r="Y41" s="7" t="s">
        <v>107</v>
      </c>
      <c r="Z41" s="12">
        <v>8.8450349999999993</v>
      </c>
      <c r="AA41" s="12">
        <v>50.852311200000003</v>
      </c>
      <c r="AB41" s="12">
        <v>20.222049299999998</v>
      </c>
      <c r="AC41" s="12">
        <v>17.938938499999999</v>
      </c>
      <c r="AD41" s="12">
        <v>30.7689004</v>
      </c>
      <c r="AE41" s="12">
        <v>20.692535400000001</v>
      </c>
      <c r="AF41" s="12">
        <v>76.199930499999994</v>
      </c>
      <c r="AG41" s="7" t="s">
        <v>107</v>
      </c>
    </row>
    <row r="42" spans="1:33" s="11" customFormat="1" outlineLevel="1" x14ac:dyDescent="0.3">
      <c r="A42" s="11" t="s">
        <v>48</v>
      </c>
      <c r="B42" s="12">
        <v>3.1678283999999999</v>
      </c>
      <c r="C42" s="12">
        <v>86.5</v>
      </c>
      <c r="D42" s="12">
        <v>2.1331864</v>
      </c>
      <c r="E42" s="17">
        <v>3.8333333000000001</v>
      </c>
      <c r="F42" s="13">
        <v>68.583333300000007</v>
      </c>
      <c r="G42" s="12">
        <v>-8.5906338000000009</v>
      </c>
      <c r="H42" s="12">
        <v>-6.8070691999999999</v>
      </c>
      <c r="I42" s="12">
        <v>8.8689859000000002</v>
      </c>
      <c r="J42" s="12">
        <v>8.6181655999999993</v>
      </c>
      <c r="K42" s="12">
        <v>14.1</v>
      </c>
      <c r="L42" s="12">
        <v>3.1</v>
      </c>
      <c r="M42" s="12">
        <v>26.8</v>
      </c>
      <c r="N42" s="12">
        <v>5.5</v>
      </c>
      <c r="O42" s="12">
        <v>27.5</v>
      </c>
      <c r="P42" s="18">
        <v>71111</v>
      </c>
      <c r="Q42" s="18">
        <v>4416</v>
      </c>
      <c r="R42" s="18">
        <v>5.8</v>
      </c>
      <c r="S42" s="12">
        <v>24.993588899999999</v>
      </c>
      <c r="T42" s="12">
        <v>10</v>
      </c>
      <c r="U42" s="12">
        <v>47.815011200000001</v>
      </c>
      <c r="V42" s="12">
        <v>34.856666699999998</v>
      </c>
      <c r="W42" s="7" t="s">
        <v>107</v>
      </c>
      <c r="X42" s="7" t="s">
        <v>107</v>
      </c>
      <c r="Y42" s="7" t="s">
        <v>107</v>
      </c>
      <c r="Z42" s="12">
        <v>4.8929622999999998</v>
      </c>
      <c r="AA42" s="12">
        <v>49.376138500000003</v>
      </c>
      <c r="AB42" s="12">
        <v>18.273535599999999</v>
      </c>
      <c r="AC42" s="12">
        <v>22.460201600000001</v>
      </c>
      <c r="AD42" s="12">
        <v>30.968712</v>
      </c>
      <c r="AE42" s="12">
        <v>22.084277100000001</v>
      </c>
      <c r="AF42" s="12">
        <v>69.799959799999996</v>
      </c>
      <c r="AG42" s="7" t="s">
        <v>107</v>
      </c>
    </row>
    <row r="43" spans="1:33" s="11" customFormat="1" outlineLevel="1" x14ac:dyDescent="0.3">
      <c r="A43" s="11" t="s">
        <v>49</v>
      </c>
      <c r="B43" s="12">
        <v>3.1476855000000001</v>
      </c>
      <c r="C43" s="12">
        <v>86.6</v>
      </c>
      <c r="D43" s="12">
        <v>2.0344042999999998</v>
      </c>
      <c r="E43" s="17">
        <v>4</v>
      </c>
      <c r="F43" s="13">
        <v>74.953333299999997</v>
      </c>
      <c r="G43" s="12">
        <v>66.139789199999996</v>
      </c>
      <c r="H43" s="12">
        <v>44.058894799999997</v>
      </c>
      <c r="I43" s="12">
        <v>8.0660617999999999</v>
      </c>
      <c r="J43" s="12">
        <v>8.1725445000000008</v>
      </c>
      <c r="K43" s="12">
        <v>15.1</v>
      </c>
      <c r="L43" s="12">
        <v>2</v>
      </c>
      <c r="M43" s="12">
        <v>20</v>
      </c>
      <c r="N43" s="12">
        <v>4.3</v>
      </c>
      <c r="O43" s="12">
        <v>26.7</v>
      </c>
      <c r="P43" s="18">
        <v>71623</v>
      </c>
      <c r="Q43" s="18">
        <v>4169</v>
      </c>
      <c r="R43" s="18">
        <v>5.5</v>
      </c>
      <c r="S43" s="12">
        <v>23.217600300000001</v>
      </c>
      <c r="T43" s="12">
        <v>10</v>
      </c>
      <c r="U43" s="12">
        <v>48.794051600000003</v>
      </c>
      <c r="V43" s="12">
        <v>35.016666700000002</v>
      </c>
      <c r="W43" s="7" t="s">
        <v>107</v>
      </c>
      <c r="X43" s="7" t="s">
        <v>107</v>
      </c>
      <c r="Y43" s="7" t="s">
        <v>107</v>
      </c>
      <c r="Z43" s="12">
        <v>4.5448300000000001</v>
      </c>
      <c r="AA43" s="12">
        <v>47.239422599999997</v>
      </c>
      <c r="AB43" s="12">
        <v>16.202888300000001</v>
      </c>
      <c r="AC43" s="12">
        <v>28.0239765</v>
      </c>
      <c r="AD43" s="12">
        <v>28.7361173</v>
      </c>
      <c r="AE43" s="12">
        <v>21.5136167</v>
      </c>
      <c r="AF43" s="12">
        <v>63.000046500000003</v>
      </c>
      <c r="AG43" s="7" t="s">
        <v>107</v>
      </c>
    </row>
    <row r="44" spans="1:33" s="11" customFormat="1" outlineLevel="1" x14ac:dyDescent="0.3">
      <c r="A44" s="11" t="s">
        <v>50</v>
      </c>
      <c r="B44" s="12">
        <v>2.7223932</v>
      </c>
      <c r="C44" s="12">
        <v>87.72</v>
      </c>
      <c r="D44" s="12">
        <v>2.998043</v>
      </c>
      <c r="E44" s="17">
        <v>4</v>
      </c>
      <c r="F44" s="13">
        <v>88.56</v>
      </c>
      <c r="G44" s="12">
        <v>60.946786500000002</v>
      </c>
      <c r="H44" s="12">
        <v>48.158348799999999</v>
      </c>
      <c r="I44" s="12">
        <v>-1.9689620999999999</v>
      </c>
      <c r="J44" s="12">
        <v>9.1855428000000003</v>
      </c>
      <c r="K44" s="12">
        <v>14.1</v>
      </c>
      <c r="L44" s="12">
        <v>2.5</v>
      </c>
      <c r="M44" s="12">
        <v>16.600000000000001</v>
      </c>
      <c r="N44" s="12">
        <v>11.6</v>
      </c>
      <c r="O44" s="12">
        <v>22.6</v>
      </c>
      <c r="P44" s="18">
        <v>70804</v>
      </c>
      <c r="Q44" s="18">
        <v>4182</v>
      </c>
      <c r="R44" s="18">
        <v>5.6</v>
      </c>
      <c r="S44" s="12">
        <v>29.009614299999999</v>
      </c>
      <c r="T44" s="12">
        <v>10</v>
      </c>
      <c r="U44" s="12">
        <v>50.468777099999997</v>
      </c>
      <c r="V44" s="12">
        <v>35.700000000000003</v>
      </c>
      <c r="W44" s="7" t="s">
        <v>107</v>
      </c>
      <c r="X44" s="7" t="s">
        <v>107</v>
      </c>
      <c r="Y44" s="7" t="s">
        <v>107</v>
      </c>
      <c r="Z44" s="12">
        <v>6.1413142000000001</v>
      </c>
      <c r="AA44" s="12">
        <v>48.267642000000002</v>
      </c>
      <c r="AB44" s="12">
        <v>15.494476499999999</v>
      </c>
      <c r="AC44" s="12">
        <v>26.317133599999998</v>
      </c>
      <c r="AD44" s="12">
        <v>30.405103199999999</v>
      </c>
      <c r="AE44" s="12">
        <v>21.7259508</v>
      </c>
      <c r="AF44" s="12">
        <v>57.800006400000001</v>
      </c>
      <c r="AG44" s="7" t="s">
        <v>107</v>
      </c>
    </row>
    <row r="45" spans="1:33" s="11" customFormat="1" outlineLevel="1" x14ac:dyDescent="0.3">
      <c r="A45" s="11" t="s">
        <v>51</v>
      </c>
      <c r="B45" s="12">
        <v>1.9060995000000001</v>
      </c>
      <c r="C45" s="12">
        <v>88.42</v>
      </c>
      <c r="D45" s="12">
        <v>3.5484249000000001</v>
      </c>
      <c r="E45" s="17">
        <v>4</v>
      </c>
      <c r="F45" s="13">
        <v>96.936666700000004</v>
      </c>
      <c r="G45" s="12">
        <v>33.116772099999999</v>
      </c>
      <c r="H45" s="12">
        <v>31.770936299999999</v>
      </c>
      <c r="I45" s="12">
        <v>11.246215100000001</v>
      </c>
      <c r="J45" s="12">
        <v>9.1757878999999996</v>
      </c>
      <c r="K45" s="12">
        <v>14.4</v>
      </c>
      <c r="L45" s="12">
        <v>3.4</v>
      </c>
      <c r="M45" s="12">
        <v>12.9</v>
      </c>
      <c r="N45" s="12">
        <v>9.9</v>
      </c>
      <c r="O45" s="12">
        <v>20.7</v>
      </c>
      <c r="P45" s="18">
        <v>69746</v>
      </c>
      <c r="Q45" s="18">
        <v>5204</v>
      </c>
      <c r="R45" s="18">
        <v>6.9</v>
      </c>
      <c r="S45" s="12">
        <v>29.920022400000001</v>
      </c>
      <c r="T45" s="12">
        <v>10.25</v>
      </c>
      <c r="U45" s="12">
        <v>52.862187599999999</v>
      </c>
      <c r="V45" s="12">
        <v>36.296666700000003</v>
      </c>
      <c r="W45" s="7" t="s">
        <v>107</v>
      </c>
      <c r="X45" s="7" t="s">
        <v>107</v>
      </c>
      <c r="Y45" s="7" t="s">
        <v>107</v>
      </c>
      <c r="Z45" s="12">
        <v>10.3757015</v>
      </c>
      <c r="AA45" s="12">
        <v>49.095180999999997</v>
      </c>
      <c r="AB45" s="12">
        <v>19.580624799999999</v>
      </c>
      <c r="AC45" s="12">
        <v>19.4567181</v>
      </c>
      <c r="AD45" s="12">
        <v>32.912976800000003</v>
      </c>
      <c r="AE45" s="12">
        <v>20.456982499999999</v>
      </c>
      <c r="AF45" s="12">
        <v>56.500010600000003</v>
      </c>
      <c r="AG45" s="7" t="s">
        <v>107</v>
      </c>
    </row>
    <row r="46" spans="1:33" s="11" customFormat="1" outlineLevel="1" x14ac:dyDescent="0.3">
      <c r="A46" s="11" t="s">
        <v>52</v>
      </c>
      <c r="B46" s="12">
        <v>1.9101475000000001</v>
      </c>
      <c r="C46" s="12">
        <v>89.906666700000002</v>
      </c>
      <c r="D46" s="12">
        <v>3.9383430000000001</v>
      </c>
      <c r="E46" s="17">
        <v>4</v>
      </c>
      <c r="F46" s="13">
        <v>121.3966667</v>
      </c>
      <c r="G46" s="12">
        <v>28.4767677</v>
      </c>
      <c r="H46" s="12">
        <v>33.047820700000003</v>
      </c>
      <c r="I46" s="12">
        <v>10.0573534</v>
      </c>
      <c r="J46" s="12">
        <v>7.9013439999999999</v>
      </c>
      <c r="K46" s="12">
        <v>11.9</v>
      </c>
      <c r="L46" s="12">
        <v>3.1</v>
      </c>
      <c r="M46" s="12">
        <v>23.2</v>
      </c>
      <c r="N46" s="12">
        <v>0.4</v>
      </c>
      <c r="O46" s="12">
        <v>19</v>
      </c>
      <c r="P46" s="18">
        <v>71839</v>
      </c>
      <c r="Q46" s="18">
        <v>4020</v>
      </c>
      <c r="R46" s="18">
        <v>5.3</v>
      </c>
      <c r="S46" s="12">
        <v>30.5259918</v>
      </c>
      <c r="T46" s="12">
        <v>10.75</v>
      </c>
      <c r="U46" s="12">
        <v>54.919682100000003</v>
      </c>
      <c r="V46" s="12">
        <v>36.9166667</v>
      </c>
      <c r="W46" s="7" t="s">
        <v>107</v>
      </c>
      <c r="X46" s="7" t="s">
        <v>107</v>
      </c>
      <c r="Y46" s="7" t="s">
        <v>107</v>
      </c>
      <c r="Z46" s="12">
        <v>6.4011857000000001</v>
      </c>
      <c r="AA46" s="12">
        <v>47.258914599999997</v>
      </c>
      <c r="AB46" s="12">
        <v>17.8252597</v>
      </c>
      <c r="AC46" s="12">
        <v>25.380239599999999</v>
      </c>
      <c r="AD46" s="12">
        <v>32.301324100000002</v>
      </c>
      <c r="AE46" s="12">
        <v>21.873791300000001</v>
      </c>
      <c r="AF46" s="12">
        <v>53.499987599999997</v>
      </c>
      <c r="AG46" s="7" t="s">
        <v>107</v>
      </c>
    </row>
    <row r="47" spans="1:33" s="11" customFormat="1" outlineLevel="1" x14ac:dyDescent="0.3">
      <c r="A47" s="11" t="s">
        <v>53</v>
      </c>
      <c r="B47" s="12">
        <v>0.87131639999999999</v>
      </c>
      <c r="C47" s="12">
        <v>90.323333300000002</v>
      </c>
      <c r="D47" s="12">
        <v>4.2994611000000003</v>
      </c>
      <c r="E47" s="17">
        <v>4.25</v>
      </c>
      <c r="F47" s="13">
        <v>114.3966667</v>
      </c>
      <c r="G47" s="12">
        <v>29.4970094</v>
      </c>
      <c r="H47" s="12">
        <v>44.434750100000002</v>
      </c>
      <c r="I47" s="12">
        <v>12.210138600000001</v>
      </c>
      <c r="J47" s="12">
        <v>6.4120511000000002</v>
      </c>
      <c r="K47" s="12">
        <v>11</v>
      </c>
      <c r="L47" s="12">
        <v>3.5</v>
      </c>
      <c r="M47" s="12">
        <v>14.6</v>
      </c>
      <c r="N47" s="12">
        <v>2.2000000000000002</v>
      </c>
      <c r="O47" s="12">
        <v>21</v>
      </c>
      <c r="P47" s="18">
        <v>71961</v>
      </c>
      <c r="Q47" s="18">
        <v>4401</v>
      </c>
      <c r="R47" s="18">
        <v>5.8</v>
      </c>
      <c r="S47" s="12">
        <v>30.247203200000001</v>
      </c>
      <c r="T47" s="12">
        <v>11</v>
      </c>
      <c r="U47" s="12">
        <v>56.085817200000001</v>
      </c>
      <c r="V47" s="12">
        <v>36.479999999999997</v>
      </c>
      <c r="W47" s="7" t="s">
        <v>107</v>
      </c>
      <c r="X47" s="7" t="s">
        <v>107</v>
      </c>
      <c r="Y47" s="7" t="s">
        <v>107</v>
      </c>
      <c r="Z47" s="12">
        <v>5.8304621000000001</v>
      </c>
      <c r="AA47" s="12">
        <v>46.004835800000002</v>
      </c>
      <c r="AB47" s="12">
        <v>16.110659699999999</v>
      </c>
      <c r="AC47" s="12">
        <v>30.151496099999999</v>
      </c>
      <c r="AD47" s="12">
        <v>31.841837399999999</v>
      </c>
      <c r="AE47" s="12">
        <v>22.263814100000001</v>
      </c>
      <c r="AF47" s="12">
        <v>50.699973700000001</v>
      </c>
      <c r="AG47" s="7" t="s">
        <v>107</v>
      </c>
    </row>
    <row r="48" spans="1:33" s="11" customFormat="1" outlineLevel="1" x14ac:dyDescent="0.3">
      <c r="A48" s="11" t="s">
        <v>54</v>
      </c>
      <c r="B48" s="12">
        <v>-1.9881508000000001</v>
      </c>
      <c r="C48" s="12">
        <v>90.23</v>
      </c>
      <c r="D48" s="12">
        <v>2.8613770999999999</v>
      </c>
      <c r="E48" s="17">
        <v>3.1666666999999999</v>
      </c>
      <c r="F48" s="13">
        <v>54.66</v>
      </c>
      <c r="G48" s="12">
        <v>16.267336499999999</v>
      </c>
      <c r="H48" s="12">
        <v>-10.631817099999999</v>
      </c>
      <c r="I48" s="12">
        <v>-13.422334299999999</v>
      </c>
      <c r="J48" s="12">
        <v>-1.3220202000000001</v>
      </c>
      <c r="K48" s="12">
        <v>6.1</v>
      </c>
      <c r="L48" s="12">
        <v>3.5</v>
      </c>
      <c r="M48" s="12">
        <v>-6.1</v>
      </c>
      <c r="N48" s="12">
        <v>-8.6999999999999993</v>
      </c>
      <c r="O48" s="12">
        <v>0.3</v>
      </c>
      <c r="P48" s="18">
        <v>70446</v>
      </c>
      <c r="Q48" s="18">
        <v>5163</v>
      </c>
      <c r="R48" s="18">
        <v>6.8</v>
      </c>
      <c r="S48" s="12">
        <v>20.5132005</v>
      </c>
      <c r="T48" s="12">
        <v>13</v>
      </c>
      <c r="U48" s="12">
        <v>57.4124883</v>
      </c>
      <c r="V48" s="12">
        <v>35.986666700000001</v>
      </c>
      <c r="W48" s="7" t="s">
        <v>107</v>
      </c>
      <c r="X48" s="7" t="s">
        <v>107</v>
      </c>
      <c r="Y48" s="7" t="s">
        <v>107</v>
      </c>
      <c r="Z48" s="12">
        <v>2.6923390999999999</v>
      </c>
      <c r="AA48" s="12">
        <v>53.458615799999997</v>
      </c>
      <c r="AB48" s="12">
        <v>18.242056900000001</v>
      </c>
      <c r="AC48" s="12">
        <v>25.6166658</v>
      </c>
      <c r="AD48" s="12">
        <v>28.4342918</v>
      </c>
      <c r="AE48" s="12">
        <v>23.4083325</v>
      </c>
      <c r="AF48" s="12">
        <v>35.199984299999997</v>
      </c>
      <c r="AG48" s="7" t="s">
        <v>107</v>
      </c>
    </row>
    <row r="49" spans="1:33" s="11" customFormat="1" outlineLevel="1" x14ac:dyDescent="0.3">
      <c r="A49" s="11" t="s">
        <v>55</v>
      </c>
      <c r="B49" s="12">
        <v>-5.4359460999999998</v>
      </c>
      <c r="C49" s="12">
        <v>89.88</v>
      </c>
      <c r="D49" s="12">
        <v>1.6512100999999999</v>
      </c>
      <c r="E49" s="17">
        <v>1.8333333000000001</v>
      </c>
      <c r="F49" s="13">
        <v>44.433333300000001</v>
      </c>
      <c r="G49" s="12">
        <v>20.177241200000001</v>
      </c>
      <c r="H49" s="12">
        <v>-9.0186551000000001</v>
      </c>
      <c r="I49" s="12">
        <v>2.7163764000000001</v>
      </c>
      <c r="J49" s="12">
        <v>-9.2017573000000006</v>
      </c>
      <c r="K49" s="12">
        <v>-0.5</v>
      </c>
      <c r="L49" s="12">
        <v>-1.1000000000000001</v>
      </c>
      <c r="M49" s="12">
        <v>-53.5</v>
      </c>
      <c r="N49" s="12">
        <v>-14.9</v>
      </c>
      <c r="O49" s="12">
        <v>-34.4</v>
      </c>
      <c r="P49" s="18">
        <v>68102</v>
      </c>
      <c r="Q49" s="18">
        <v>6941</v>
      </c>
      <c r="R49" s="18">
        <v>9.1999999999999993</v>
      </c>
      <c r="S49" s="12">
        <v>13.065641400000001</v>
      </c>
      <c r="T49" s="12">
        <v>13</v>
      </c>
      <c r="U49" s="12">
        <v>60.1190286</v>
      </c>
      <c r="V49" s="12">
        <v>44.446666700000002</v>
      </c>
      <c r="W49" s="7" t="s">
        <v>107</v>
      </c>
      <c r="X49" s="12">
        <v>-36.078603600000001</v>
      </c>
      <c r="Y49" s="12">
        <v>-23.553642700000001</v>
      </c>
      <c r="Z49" s="12">
        <v>4.3070250999999997</v>
      </c>
      <c r="AA49" s="12">
        <v>58.850822999999998</v>
      </c>
      <c r="AB49" s="12">
        <v>23.242775600000002</v>
      </c>
      <c r="AC49" s="12">
        <v>12.3388759</v>
      </c>
      <c r="AD49" s="12">
        <v>26.683838999999999</v>
      </c>
      <c r="AE49" s="12">
        <v>20.559994</v>
      </c>
      <c r="AF49" s="12">
        <v>21.0427064</v>
      </c>
      <c r="AG49" s="7" t="s">
        <v>107</v>
      </c>
    </row>
    <row r="50" spans="1:33" s="11" customFormat="1" outlineLevel="1" x14ac:dyDescent="0.3">
      <c r="A50" s="11" t="s">
        <v>56</v>
      </c>
      <c r="B50" s="12">
        <v>-5.8020649999999998</v>
      </c>
      <c r="C50" s="12">
        <v>90.723333299999993</v>
      </c>
      <c r="D50" s="12">
        <v>0.90834930000000003</v>
      </c>
      <c r="E50" s="17">
        <v>1.0833333000000001</v>
      </c>
      <c r="F50" s="13">
        <v>58.696666700000002</v>
      </c>
      <c r="G50" s="12">
        <v>19.9006227</v>
      </c>
      <c r="H50" s="12">
        <v>-28.514075299999998</v>
      </c>
      <c r="I50" s="12">
        <v>-8.6902636999999991</v>
      </c>
      <c r="J50" s="12">
        <v>-11.151284800000001</v>
      </c>
      <c r="K50" s="12">
        <v>-5.3</v>
      </c>
      <c r="L50" s="12">
        <v>-0.6</v>
      </c>
      <c r="M50" s="12">
        <v>-56.4</v>
      </c>
      <c r="N50" s="12">
        <v>-9.3000000000000007</v>
      </c>
      <c r="O50" s="12">
        <v>-38.700000000000003</v>
      </c>
      <c r="P50" s="18">
        <v>69616</v>
      </c>
      <c r="Q50" s="18">
        <v>6406</v>
      </c>
      <c r="R50" s="18">
        <v>8.4</v>
      </c>
      <c r="S50" s="12">
        <v>8.5802420999999995</v>
      </c>
      <c r="T50" s="12">
        <v>11.5</v>
      </c>
      <c r="U50" s="12">
        <v>61.747706299999997</v>
      </c>
      <c r="V50" s="12">
        <v>43.796666700000003</v>
      </c>
      <c r="W50" s="7" t="s">
        <v>107</v>
      </c>
      <c r="X50" s="12">
        <v>-38.627579599999997</v>
      </c>
      <c r="Y50" s="12">
        <v>-30.772257400000001</v>
      </c>
      <c r="Z50" s="12">
        <v>1.8503674999999999</v>
      </c>
      <c r="AA50" s="12">
        <v>55.481827799999998</v>
      </c>
      <c r="AB50" s="12">
        <v>21.751619699999999</v>
      </c>
      <c r="AC50" s="12">
        <v>17.2831756</v>
      </c>
      <c r="AD50" s="12">
        <v>27.4228983</v>
      </c>
      <c r="AE50" s="12">
        <v>20.3746337</v>
      </c>
      <c r="AF50" s="12">
        <v>3.0131043000000002</v>
      </c>
      <c r="AG50" s="7" t="s">
        <v>107</v>
      </c>
    </row>
    <row r="51" spans="1:33" s="11" customFormat="1" outlineLevel="1" x14ac:dyDescent="0.3">
      <c r="A51" s="11" t="s">
        <v>57</v>
      </c>
      <c r="B51" s="12">
        <v>-4.1677857999999999</v>
      </c>
      <c r="C51" s="12">
        <v>90.663333300000005</v>
      </c>
      <c r="D51" s="12">
        <v>0.37642540000000002</v>
      </c>
      <c r="E51" s="17">
        <v>1</v>
      </c>
      <c r="F51" s="13">
        <v>68.2</v>
      </c>
      <c r="G51" s="12">
        <v>20.406708200000001</v>
      </c>
      <c r="H51" s="12">
        <v>-24.225491900000002</v>
      </c>
      <c r="I51" s="12">
        <v>-3.5720687</v>
      </c>
      <c r="J51" s="12">
        <v>-8.6186918000000006</v>
      </c>
      <c r="K51" s="12">
        <v>-8</v>
      </c>
      <c r="L51" s="12">
        <v>-0.8</v>
      </c>
      <c r="M51" s="12">
        <v>-37.299999999999997</v>
      </c>
      <c r="N51" s="12">
        <v>-2.5</v>
      </c>
      <c r="O51" s="12">
        <v>-33.200000000000003</v>
      </c>
      <c r="P51" s="18">
        <v>70396</v>
      </c>
      <c r="Q51" s="18">
        <v>5689</v>
      </c>
      <c r="R51" s="18">
        <v>7.65</v>
      </c>
      <c r="S51" s="12">
        <v>6.2645758999999996</v>
      </c>
      <c r="T51" s="12">
        <v>10</v>
      </c>
      <c r="U51" s="12">
        <v>62.496363500000001</v>
      </c>
      <c r="V51" s="12">
        <v>44.753333300000001</v>
      </c>
      <c r="W51" s="7" t="s">
        <v>107</v>
      </c>
      <c r="X51" s="12">
        <v>-34.300003599999997</v>
      </c>
      <c r="Y51" s="12">
        <v>-35.792453600000002</v>
      </c>
      <c r="Z51" s="12">
        <v>5.1961956999999996</v>
      </c>
      <c r="AA51" s="12">
        <v>51.725360000000002</v>
      </c>
      <c r="AB51" s="12">
        <v>19.4528386</v>
      </c>
      <c r="AC51" s="12">
        <v>22.828966999999999</v>
      </c>
      <c r="AD51" s="12">
        <v>28.229811900000001</v>
      </c>
      <c r="AE51" s="12">
        <v>20.073316299999998</v>
      </c>
      <c r="AF51" s="12">
        <v>-9.9318785999999992</v>
      </c>
      <c r="AG51" s="7" t="s">
        <v>107</v>
      </c>
    </row>
    <row r="52" spans="1:33" s="11" customFormat="1" outlineLevel="1" x14ac:dyDescent="0.3">
      <c r="A52" s="11" t="s">
        <v>58</v>
      </c>
      <c r="B52" s="12">
        <v>-1.8288317999999999</v>
      </c>
      <c r="C52" s="12">
        <v>91.146666699999997</v>
      </c>
      <c r="D52" s="12">
        <v>1.0159222999999999</v>
      </c>
      <c r="E52" s="17">
        <v>1</v>
      </c>
      <c r="F52" s="13">
        <v>74.63</v>
      </c>
      <c r="G52" s="12">
        <v>2.3802050000000001</v>
      </c>
      <c r="H52" s="12">
        <v>1.3658463000000001</v>
      </c>
      <c r="I52" s="12">
        <v>-13.865027299999999</v>
      </c>
      <c r="J52" s="12">
        <v>-2.5879139000000002</v>
      </c>
      <c r="K52" s="12">
        <v>-5.9</v>
      </c>
      <c r="L52" s="12">
        <v>0.1</v>
      </c>
      <c r="M52" s="12">
        <v>-19.899999999999999</v>
      </c>
      <c r="N52" s="12">
        <v>8.3000000000000007</v>
      </c>
      <c r="O52" s="12">
        <v>-14.3</v>
      </c>
      <c r="P52" s="12">
        <v>69494</v>
      </c>
      <c r="Q52" s="12">
        <v>5964.6666667</v>
      </c>
      <c r="R52" s="12">
        <v>7.9</v>
      </c>
      <c r="S52" s="12">
        <v>8.9508449999999993</v>
      </c>
      <c r="T52" s="12">
        <v>8.75</v>
      </c>
      <c r="U52" s="12">
        <v>62.690307400000002</v>
      </c>
      <c r="V52" s="12">
        <v>43.546666700000003</v>
      </c>
      <c r="W52" s="7" t="s">
        <v>107</v>
      </c>
      <c r="X52" s="12">
        <v>-14.8422869</v>
      </c>
      <c r="Y52" s="12">
        <v>-25.303124499999999</v>
      </c>
      <c r="Z52" s="12">
        <v>4.6939910999999999</v>
      </c>
      <c r="AA52" s="12">
        <v>53.468692900000001</v>
      </c>
      <c r="AB52" s="12">
        <v>19.3529783</v>
      </c>
      <c r="AC52" s="12">
        <v>21.650410699999998</v>
      </c>
      <c r="AD52" s="12">
        <v>29.064136999999999</v>
      </c>
      <c r="AE52" s="12">
        <v>20.960718700000001</v>
      </c>
      <c r="AF52" s="12">
        <v>-11.0390125</v>
      </c>
      <c r="AG52" s="7" t="s">
        <v>107</v>
      </c>
    </row>
    <row r="53" spans="1:33" s="11" customFormat="1" outlineLevel="1" x14ac:dyDescent="0.3">
      <c r="A53" s="11" t="s">
        <v>59</v>
      </c>
      <c r="B53" s="12">
        <v>1.1991562</v>
      </c>
      <c r="C53" s="12">
        <v>91.416666699999993</v>
      </c>
      <c r="D53" s="12">
        <v>1.709687</v>
      </c>
      <c r="E53" s="17">
        <v>1</v>
      </c>
      <c r="F53" s="13">
        <v>76.25</v>
      </c>
      <c r="G53" s="12">
        <v>14.7340672</v>
      </c>
      <c r="H53" s="12">
        <v>14.1618592</v>
      </c>
      <c r="I53" s="12">
        <v>2.4250286000000001</v>
      </c>
      <c r="J53" s="12">
        <v>4.0692820999999997</v>
      </c>
      <c r="K53" s="12">
        <v>2</v>
      </c>
      <c r="L53" s="12">
        <v>0.1</v>
      </c>
      <c r="M53" s="12">
        <v>1.9</v>
      </c>
      <c r="N53" s="12">
        <v>18.899999999999999</v>
      </c>
      <c r="O53" s="12">
        <v>12</v>
      </c>
      <c r="P53" s="12">
        <v>68161</v>
      </c>
      <c r="Q53" s="12">
        <v>6472.3333333</v>
      </c>
      <c r="R53" s="12">
        <v>8.6666667000000004</v>
      </c>
      <c r="S53" s="12">
        <v>11.8404463</v>
      </c>
      <c r="T53" s="12">
        <v>8.25</v>
      </c>
      <c r="U53" s="12">
        <v>64.456040999999999</v>
      </c>
      <c r="V53" s="12">
        <v>41.406666700000002</v>
      </c>
      <c r="W53" s="7" t="s">
        <v>107</v>
      </c>
      <c r="X53" s="12">
        <v>41.543575400000002</v>
      </c>
      <c r="Y53" s="12">
        <v>11.2098779</v>
      </c>
      <c r="Z53" s="12">
        <v>9.8105632000000007</v>
      </c>
      <c r="AA53" s="12">
        <v>53.428662799999998</v>
      </c>
      <c r="AB53" s="12">
        <v>20.970895200000001</v>
      </c>
      <c r="AC53" s="12">
        <v>12.8234393</v>
      </c>
      <c r="AD53" s="12">
        <v>30.336867999999999</v>
      </c>
      <c r="AE53" s="12">
        <v>17.829562800000001</v>
      </c>
      <c r="AF53" s="12">
        <v>-8.6624958000000003</v>
      </c>
      <c r="AG53" s="7" t="s">
        <v>107</v>
      </c>
    </row>
    <row r="54" spans="1:33" s="11" customFormat="1" outlineLevel="1" x14ac:dyDescent="0.3">
      <c r="A54" s="11" t="s">
        <v>60</v>
      </c>
      <c r="B54" s="12">
        <v>2.6157658000000001</v>
      </c>
      <c r="C54" s="12">
        <v>92.57</v>
      </c>
      <c r="D54" s="12">
        <v>2.0354926</v>
      </c>
      <c r="E54" s="17">
        <v>1</v>
      </c>
      <c r="F54" s="13">
        <v>78.510000000000005</v>
      </c>
      <c r="G54" s="12">
        <v>7.8135655000000002</v>
      </c>
      <c r="H54" s="12">
        <v>37.591386399999998</v>
      </c>
      <c r="I54" s="12">
        <v>0.27238679999999998</v>
      </c>
      <c r="J54" s="12">
        <v>5.0002152999999998</v>
      </c>
      <c r="K54" s="12">
        <v>6</v>
      </c>
      <c r="L54" s="12">
        <v>-1.1000000000000001</v>
      </c>
      <c r="M54" s="12">
        <v>31.8</v>
      </c>
      <c r="N54" s="12">
        <v>4.4000000000000004</v>
      </c>
      <c r="O54" s="12">
        <v>22.3</v>
      </c>
      <c r="P54" s="12">
        <v>70140.333333300005</v>
      </c>
      <c r="Q54" s="12">
        <v>5529</v>
      </c>
      <c r="R54" s="12">
        <v>7.3333332999999996</v>
      </c>
      <c r="S54" s="12">
        <v>12.972513299999999</v>
      </c>
      <c r="T54" s="12">
        <v>7.75</v>
      </c>
      <c r="U54" s="12">
        <v>65.400578199999998</v>
      </c>
      <c r="V54" s="12">
        <v>38.56</v>
      </c>
      <c r="W54" s="7" t="s">
        <v>107</v>
      </c>
      <c r="X54" s="12">
        <v>52.566293999999999</v>
      </c>
      <c r="Y54" s="12">
        <v>39.644425099999999</v>
      </c>
      <c r="Z54" s="12">
        <v>4.9362598000000002</v>
      </c>
      <c r="AA54" s="12">
        <v>52.115164499999999</v>
      </c>
      <c r="AB54" s="12">
        <v>19.545350299999999</v>
      </c>
      <c r="AC54" s="12">
        <v>20.8790437</v>
      </c>
      <c r="AD54" s="12">
        <v>29.849589699999999</v>
      </c>
      <c r="AE54" s="12">
        <v>20.723264</v>
      </c>
      <c r="AF54" s="12">
        <v>-0.69032830000000001</v>
      </c>
      <c r="AG54" s="7" t="s">
        <v>107</v>
      </c>
    </row>
    <row r="55" spans="1:33" s="11" customFormat="1" outlineLevel="1" x14ac:dyDescent="0.3">
      <c r="A55" s="11" t="s">
        <v>61</v>
      </c>
      <c r="B55" s="12">
        <v>2.4618717000000001</v>
      </c>
      <c r="C55" s="12">
        <v>92.583333300000007</v>
      </c>
      <c r="D55" s="12">
        <v>2.1177248999999998</v>
      </c>
      <c r="E55" s="17">
        <v>1</v>
      </c>
      <c r="F55" s="13">
        <v>76.819999999999993</v>
      </c>
      <c r="G55" s="12">
        <v>2.4277844000000002</v>
      </c>
      <c r="H55" s="12">
        <v>8.6439085000000002</v>
      </c>
      <c r="I55" s="12">
        <v>-1.3453066</v>
      </c>
      <c r="J55" s="12">
        <v>3.8262646999999999</v>
      </c>
      <c r="K55" s="12">
        <v>7.3</v>
      </c>
      <c r="L55" s="12">
        <v>-1.8</v>
      </c>
      <c r="M55" s="12">
        <v>30.4</v>
      </c>
      <c r="N55" s="12">
        <v>2.2000000000000002</v>
      </c>
      <c r="O55" s="12">
        <v>35.1</v>
      </c>
      <c r="P55" s="12">
        <v>71172.333333300005</v>
      </c>
      <c r="Q55" s="12">
        <v>5091.3333333</v>
      </c>
      <c r="R55" s="12">
        <v>6.6666667000000004</v>
      </c>
      <c r="S55" s="12">
        <v>12.547060399999999</v>
      </c>
      <c r="T55" s="12">
        <v>7.75</v>
      </c>
      <c r="U55" s="12">
        <v>66.342892699999993</v>
      </c>
      <c r="V55" s="12">
        <v>39.47</v>
      </c>
      <c r="W55" s="7" t="s">
        <v>107</v>
      </c>
      <c r="X55" s="12">
        <v>28.059207799999999</v>
      </c>
      <c r="Y55" s="12">
        <v>52.815582900000003</v>
      </c>
      <c r="Z55" s="12">
        <v>1.2251354000000001</v>
      </c>
      <c r="AA55" s="12">
        <v>50.682316999999998</v>
      </c>
      <c r="AB55" s="12">
        <v>17.933284700000002</v>
      </c>
      <c r="AC55" s="12">
        <v>27.354567899999999</v>
      </c>
      <c r="AD55" s="12">
        <v>27.7517064</v>
      </c>
      <c r="AE55" s="12">
        <v>22.7808563</v>
      </c>
      <c r="AF55" s="12">
        <v>6.9933500000000004</v>
      </c>
      <c r="AG55" s="7" t="s">
        <v>107</v>
      </c>
    </row>
    <row r="56" spans="1:33" s="11" customFormat="1" outlineLevel="1" x14ac:dyDescent="0.3">
      <c r="A56" s="11" t="s">
        <v>62</v>
      </c>
      <c r="B56" s="12">
        <v>2.3931737000000002</v>
      </c>
      <c r="C56" s="12">
        <v>93.383333300000004</v>
      </c>
      <c r="D56" s="12">
        <v>2.4539203000000001</v>
      </c>
      <c r="E56" s="17">
        <v>1</v>
      </c>
      <c r="F56" s="13">
        <v>86.466666700000005</v>
      </c>
      <c r="G56" s="12">
        <v>13.7526153</v>
      </c>
      <c r="H56" s="12">
        <v>14.038124</v>
      </c>
      <c r="I56" s="12">
        <v>-12.7886159</v>
      </c>
      <c r="J56" s="12">
        <v>5.0800530999999998</v>
      </c>
      <c r="K56" s="12">
        <v>6.6</v>
      </c>
      <c r="L56" s="12">
        <v>-3</v>
      </c>
      <c r="M56" s="12">
        <v>36.4</v>
      </c>
      <c r="N56" s="12">
        <v>4.4000000000000004</v>
      </c>
      <c r="O56" s="12">
        <v>29.8</v>
      </c>
      <c r="P56" s="12">
        <v>70261</v>
      </c>
      <c r="Q56" s="12">
        <v>5083.6666667</v>
      </c>
      <c r="R56" s="12">
        <v>6.7666667</v>
      </c>
      <c r="S56" s="12">
        <v>13.651095700000001</v>
      </c>
      <c r="T56" s="12">
        <v>7.75</v>
      </c>
      <c r="U56" s="12">
        <v>67.775550499999994</v>
      </c>
      <c r="V56" s="12">
        <v>41.763333299999999</v>
      </c>
      <c r="W56" s="7" t="s">
        <v>107</v>
      </c>
      <c r="X56" s="12">
        <v>27.475194399999999</v>
      </c>
      <c r="Y56" s="12">
        <v>41.218106800000001</v>
      </c>
      <c r="Z56" s="12">
        <v>2.7578168000000001</v>
      </c>
      <c r="AA56" s="12">
        <v>50.238942299999998</v>
      </c>
      <c r="AB56" s="12">
        <v>17.073375800000001</v>
      </c>
      <c r="AC56" s="12">
        <v>27.1169376</v>
      </c>
      <c r="AD56" s="12">
        <v>29.179690699999998</v>
      </c>
      <c r="AE56" s="12">
        <v>22.485743899999999</v>
      </c>
      <c r="AF56" s="12">
        <v>14.300640599999999</v>
      </c>
      <c r="AG56" s="7" t="s">
        <v>107</v>
      </c>
    </row>
    <row r="57" spans="1:33" s="11" customFormat="1" outlineLevel="1" x14ac:dyDescent="0.3">
      <c r="A57" s="11" t="s">
        <v>63</v>
      </c>
      <c r="B57" s="12">
        <v>3.2110127999999998</v>
      </c>
      <c r="C57" s="12">
        <v>94.073333300000002</v>
      </c>
      <c r="D57" s="12">
        <v>2.9061075000000001</v>
      </c>
      <c r="E57" s="17">
        <v>1</v>
      </c>
      <c r="F57" s="13">
        <v>104.96</v>
      </c>
      <c r="G57" s="12">
        <v>11.0146186</v>
      </c>
      <c r="H57" s="12">
        <v>26.836948100000001</v>
      </c>
      <c r="I57" s="12">
        <v>6.8347563999999998</v>
      </c>
      <c r="J57" s="12">
        <v>3.2741788999999999</v>
      </c>
      <c r="K57" s="12">
        <v>4.5</v>
      </c>
      <c r="L57" s="12">
        <v>1.7</v>
      </c>
      <c r="M57" s="12">
        <v>47.6</v>
      </c>
      <c r="N57" s="12">
        <v>-0.4</v>
      </c>
      <c r="O57" s="12">
        <v>28.8</v>
      </c>
      <c r="P57" s="12">
        <v>69505</v>
      </c>
      <c r="Q57" s="12">
        <v>5514.6666667</v>
      </c>
      <c r="R57" s="12">
        <v>7.3333332999999996</v>
      </c>
      <c r="S57" s="12">
        <v>9.3570647999999998</v>
      </c>
      <c r="T57" s="12">
        <v>8</v>
      </c>
      <c r="U57" s="12">
        <v>70.576854699999998</v>
      </c>
      <c r="V57" s="12">
        <v>40.03</v>
      </c>
      <c r="W57" s="7" t="s">
        <v>107</v>
      </c>
      <c r="X57" s="12">
        <v>24.171287700000001</v>
      </c>
      <c r="Y57" s="12">
        <v>40.297145700000002</v>
      </c>
      <c r="Z57" s="12">
        <v>7.2956422999999999</v>
      </c>
      <c r="AA57" s="12">
        <v>51.0421817</v>
      </c>
      <c r="AB57" s="12">
        <v>20.670506700000001</v>
      </c>
      <c r="AC57" s="12">
        <v>17.9417656</v>
      </c>
      <c r="AD57" s="12">
        <v>30.298897400000001</v>
      </c>
      <c r="AE57" s="12">
        <v>20.063190299999999</v>
      </c>
      <c r="AF57" s="12">
        <v>18.564795700000001</v>
      </c>
      <c r="AG57" s="7" t="s">
        <v>107</v>
      </c>
    </row>
    <row r="58" spans="1:33" s="11" customFormat="1" outlineLevel="1" x14ac:dyDescent="0.3">
      <c r="A58" s="11" t="s">
        <v>64</v>
      </c>
      <c r="B58" s="12">
        <v>2.1036085</v>
      </c>
      <c r="C58" s="12">
        <v>95.516666700000002</v>
      </c>
      <c r="D58" s="12">
        <v>3.1831767000000002</v>
      </c>
      <c r="E58" s="17">
        <v>1.25</v>
      </c>
      <c r="F58" s="13">
        <v>117.36</v>
      </c>
      <c r="G58" s="12">
        <v>11.0150104</v>
      </c>
      <c r="H58" s="12">
        <v>32.658938200000001</v>
      </c>
      <c r="I58" s="12">
        <v>6.9476107000000003</v>
      </c>
      <c r="J58" s="12">
        <v>3.2938033999999998</v>
      </c>
      <c r="K58" s="12">
        <v>5.6</v>
      </c>
      <c r="L58" s="12">
        <v>1.6</v>
      </c>
      <c r="M58" s="12">
        <v>21.8</v>
      </c>
      <c r="N58" s="12">
        <v>2</v>
      </c>
      <c r="O58" s="12">
        <v>23.7</v>
      </c>
      <c r="P58" s="12">
        <v>70858.333333300005</v>
      </c>
      <c r="Q58" s="12">
        <v>4846.6666667</v>
      </c>
      <c r="R58" s="12">
        <v>6.4333333000000001</v>
      </c>
      <c r="S58" s="12">
        <v>11.2170041</v>
      </c>
      <c r="T58" s="12">
        <v>8.25</v>
      </c>
      <c r="U58" s="12">
        <v>71.639723799999999</v>
      </c>
      <c r="V58" s="12">
        <v>40.296666700000003</v>
      </c>
      <c r="W58" s="7" t="s">
        <v>107</v>
      </c>
      <c r="X58" s="12">
        <v>22.040334999999999</v>
      </c>
      <c r="Y58" s="12">
        <v>23.8341739</v>
      </c>
      <c r="Z58" s="12">
        <v>4.7915606000000004</v>
      </c>
      <c r="AA58" s="12">
        <v>49.3182829</v>
      </c>
      <c r="AB58" s="12">
        <v>18.899734899999999</v>
      </c>
      <c r="AC58" s="12">
        <v>23.275358799999999</v>
      </c>
      <c r="AD58" s="12">
        <v>30.878313800000001</v>
      </c>
      <c r="AE58" s="12">
        <v>22.0119376</v>
      </c>
      <c r="AF58" s="12">
        <v>23.976654400000001</v>
      </c>
      <c r="AG58" s="7" t="s">
        <v>107</v>
      </c>
    </row>
    <row r="59" spans="1:33" s="11" customFormat="1" outlineLevel="1" x14ac:dyDescent="0.3">
      <c r="A59" s="11" t="s">
        <v>65</v>
      </c>
      <c r="B59" s="12">
        <v>1.8176159000000001</v>
      </c>
      <c r="C59" s="12">
        <v>95.433333300000001</v>
      </c>
      <c r="D59" s="12">
        <v>3.0783078000000001</v>
      </c>
      <c r="E59" s="17">
        <v>1.5</v>
      </c>
      <c r="F59" s="13">
        <v>113.34</v>
      </c>
      <c r="G59" s="12">
        <v>15.7895276</v>
      </c>
      <c r="H59" s="12">
        <v>38.517122299999997</v>
      </c>
      <c r="I59" s="12">
        <v>4.6086451000000004</v>
      </c>
      <c r="J59" s="12">
        <v>5.0461944000000001</v>
      </c>
      <c r="K59" s="12">
        <v>8.3000000000000007</v>
      </c>
      <c r="L59" s="12">
        <v>1.4</v>
      </c>
      <c r="M59" s="12">
        <v>18.399999999999999</v>
      </c>
      <c r="N59" s="12">
        <v>-1.5</v>
      </c>
      <c r="O59" s="12">
        <v>17.899999999999999</v>
      </c>
      <c r="P59" s="12">
        <v>71988</v>
      </c>
      <c r="Q59" s="12">
        <v>4692.6666667</v>
      </c>
      <c r="R59" s="12">
        <v>6.1333333000000003</v>
      </c>
      <c r="S59" s="12">
        <v>11.160962</v>
      </c>
      <c r="T59" s="12">
        <v>8.25</v>
      </c>
      <c r="U59" s="12">
        <v>71.732117500000001</v>
      </c>
      <c r="V59" s="12">
        <v>41.086666700000002</v>
      </c>
      <c r="W59" s="7" t="s">
        <v>107</v>
      </c>
      <c r="X59" s="12">
        <v>21.212429400000001</v>
      </c>
      <c r="Y59" s="12">
        <v>12.127310700000001</v>
      </c>
      <c r="Z59" s="12">
        <v>3.4378302000000001</v>
      </c>
      <c r="AA59" s="12">
        <v>48.049501499999998</v>
      </c>
      <c r="AB59" s="12">
        <v>17.142549299999999</v>
      </c>
      <c r="AC59" s="12">
        <v>28.726802200000002</v>
      </c>
      <c r="AD59" s="12">
        <v>28.679289600000001</v>
      </c>
      <c r="AE59" s="12">
        <v>22.041099299999999</v>
      </c>
      <c r="AF59" s="12">
        <v>30.826035900000001</v>
      </c>
      <c r="AG59" s="7" t="s">
        <v>107</v>
      </c>
    </row>
    <row r="60" spans="1:33" s="11" customFormat="1" outlineLevel="1" x14ac:dyDescent="0.3">
      <c r="A60" s="11" t="s">
        <v>66</v>
      </c>
      <c r="B60" s="12">
        <v>0.47384009999999999</v>
      </c>
      <c r="C60" s="12">
        <v>96.41</v>
      </c>
      <c r="D60" s="12">
        <v>3.2411208999999999</v>
      </c>
      <c r="E60" s="17">
        <v>1.25</v>
      </c>
      <c r="F60" s="13">
        <v>109.3966667</v>
      </c>
      <c r="G60" s="12">
        <v>14.941390999999999</v>
      </c>
      <c r="H60" s="12">
        <v>23.243196999999999</v>
      </c>
      <c r="I60" s="12">
        <v>-9.8382603</v>
      </c>
      <c r="J60" s="12">
        <v>5.1737796999999999</v>
      </c>
      <c r="K60" s="12">
        <v>8.5</v>
      </c>
      <c r="L60" s="12">
        <v>0.9</v>
      </c>
      <c r="M60" s="12">
        <v>14.3</v>
      </c>
      <c r="N60" s="12">
        <v>1.2</v>
      </c>
      <c r="O60" s="12">
        <v>14.8</v>
      </c>
      <c r="P60" s="12">
        <v>71075.333333300005</v>
      </c>
      <c r="Q60" s="12">
        <v>4635.3333333</v>
      </c>
      <c r="R60" s="12">
        <v>6.1333333000000003</v>
      </c>
      <c r="S60" s="12">
        <v>14.505625500000001</v>
      </c>
      <c r="T60" s="12">
        <v>8</v>
      </c>
      <c r="U60" s="12">
        <v>72.307104199999998</v>
      </c>
      <c r="V60" s="12">
        <v>42.1</v>
      </c>
      <c r="W60" s="7" t="s">
        <v>107</v>
      </c>
      <c r="X60" s="12">
        <v>26.894598999999999</v>
      </c>
      <c r="Y60" s="12">
        <v>17.2161072</v>
      </c>
      <c r="Z60" s="12">
        <v>5.3271291999999999</v>
      </c>
      <c r="AA60" s="12">
        <v>48.094507900000004</v>
      </c>
      <c r="AB60" s="12">
        <v>16.210706399999999</v>
      </c>
      <c r="AC60" s="12">
        <v>28.2450227</v>
      </c>
      <c r="AD60" s="12">
        <v>31.207857600000001</v>
      </c>
      <c r="AE60" s="12">
        <v>22.474662599999998</v>
      </c>
      <c r="AF60" s="12">
        <v>35.890512200000003</v>
      </c>
      <c r="AG60" s="7" t="s">
        <v>107</v>
      </c>
    </row>
    <row r="61" spans="1:33" s="11" customFormat="1" outlineLevel="1" x14ac:dyDescent="0.3">
      <c r="A61" s="11" t="s">
        <v>67</v>
      </c>
      <c r="B61" s="12">
        <v>3.7986600000000002E-2</v>
      </c>
      <c r="C61" s="12">
        <v>96.803333300000006</v>
      </c>
      <c r="D61" s="12">
        <v>2.9019914</v>
      </c>
      <c r="E61" s="17">
        <v>1</v>
      </c>
      <c r="F61" s="13">
        <v>118.49</v>
      </c>
      <c r="G61" s="12">
        <v>28.1974412</v>
      </c>
      <c r="H61" s="12">
        <v>16.186674</v>
      </c>
      <c r="I61" s="12">
        <v>3.4239839999999999</v>
      </c>
      <c r="J61" s="12">
        <v>5.7</v>
      </c>
      <c r="K61" s="12">
        <v>8</v>
      </c>
      <c r="L61" s="12">
        <v>2.9</v>
      </c>
      <c r="M61" s="12">
        <v>10.5</v>
      </c>
      <c r="N61" s="12">
        <v>4.2</v>
      </c>
      <c r="O61" s="12">
        <v>12.2</v>
      </c>
      <c r="P61" s="12">
        <v>70076</v>
      </c>
      <c r="Q61" s="12">
        <v>4702.6666667</v>
      </c>
      <c r="R61" s="12">
        <v>6.2666667</v>
      </c>
      <c r="S61" s="12">
        <v>14.4434726</v>
      </c>
      <c r="T61" s="12">
        <v>8</v>
      </c>
      <c r="U61" s="12">
        <v>73.304736500000004</v>
      </c>
      <c r="V61" s="12">
        <v>39.673333300000003</v>
      </c>
      <c r="W61" s="7" t="s">
        <v>107</v>
      </c>
      <c r="X61" s="12">
        <v>21.965817900000001</v>
      </c>
      <c r="Y61" s="12">
        <v>19.248303700000001</v>
      </c>
      <c r="Z61" s="12">
        <v>7.8281727999999999</v>
      </c>
      <c r="AA61" s="12">
        <v>51.855469599999999</v>
      </c>
      <c r="AB61" s="12">
        <v>19.500385999999999</v>
      </c>
      <c r="AC61" s="12">
        <v>19.293572699999999</v>
      </c>
      <c r="AD61" s="12">
        <v>28.712798500000002</v>
      </c>
      <c r="AE61" s="12">
        <v>18.583557599999999</v>
      </c>
      <c r="AF61" s="12">
        <v>40.600346299999998</v>
      </c>
      <c r="AG61" s="7" t="s">
        <v>107</v>
      </c>
    </row>
    <row r="62" spans="1:33" s="11" customFormat="1" outlineLevel="1" x14ac:dyDescent="0.3">
      <c r="A62" s="11" t="s">
        <v>68</v>
      </c>
      <c r="B62" s="12">
        <v>-0.91019320000000004</v>
      </c>
      <c r="C62" s="12">
        <v>97.993333300000003</v>
      </c>
      <c r="D62" s="12">
        <v>2.5929156999999998</v>
      </c>
      <c r="E62" s="17">
        <v>1</v>
      </c>
      <c r="F62" s="13">
        <v>108.41666669999999</v>
      </c>
      <c r="G62" s="12">
        <v>17.845313999999998</v>
      </c>
      <c r="H62" s="12">
        <v>9.2009124999999994</v>
      </c>
      <c r="I62" s="12">
        <v>3.7745128000000001</v>
      </c>
      <c r="J62" s="12">
        <v>4.9000000000000004</v>
      </c>
      <c r="K62" s="12">
        <v>7.7</v>
      </c>
      <c r="L62" s="12">
        <v>2.2999999999999998</v>
      </c>
      <c r="M62" s="12">
        <v>8.6</v>
      </c>
      <c r="N62" s="12">
        <v>-2.1</v>
      </c>
      <c r="O62" s="12">
        <v>5</v>
      </c>
      <c r="P62" s="12">
        <v>71941</v>
      </c>
      <c r="Q62" s="12">
        <v>4059.6666667</v>
      </c>
      <c r="R62" s="12">
        <v>5.3333332999999996</v>
      </c>
      <c r="S62" s="12">
        <v>14.7533665</v>
      </c>
      <c r="T62" s="12">
        <v>8</v>
      </c>
      <c r="U62" s="12">
        <v>74.383000699999997</v>
      </c>
      <c r="V62" s="12">
        <v>39.81</v>
      </c>
      <c r="W62" s="7" t="s">
        <v>107</v>
      </c>
      <c r="X62" s="12">
        <v>10.983740900000001</v>
      </c>
      <c r="Y62" s="12">
        <v>15.381305299999999</v>
      </c>
      <c r="Z62" s="12">
        <v>3.0362357000000002</v>
      </c>
      <c r="AA62" s="12">
        <v>51.0982129</v>
      </c>
      <c r="AB62" s="12">
        <v>18.390124199999999</v>
      </c>
      <c r="AC62" s="12">
        <v>23.464352900000002</v>
      </c>
      <c r="AD62" s="12">
        <v>27.693485200000001</v>
      </c>
      <c r="AE62" s="12">
        <v>20.240939999999998</v>
      </c>
      <c r="AF62" s="12">
        <v>44.359189600000001</v>
      </c>
      <c r="AG62" s="7" t="s">
        <v>107</v>
      </c>
    </row>
    <row r="63" spans="1:33" s="11" customFormat="1" outlineLevel="1" x14ac:dyDescent="0.3">
      <c r="A63" s="11" t="s">
        <v>69</v>
      </c>
      <c r="B63" s="12">
        <v>-1.0352741000000001</v>
      </c>
      <c r="C63" s="12">
        <v>97.9566667</v>
      </c>
      <c r="D63" s="12">
        <v>2.6440796999999998</v>
      </c>
      <c r="E63" s="17">
        <v>0.75</v>
      </c>
      <c r="F63" s="13">
        <v>109.61333329999999</v>
      </c>
      <c r="G63" s="12">
        <v>11.546537300000001</v>
      </c>
      <c r="H63" s="12">
        <v>5.6396581000000001</v>
      </c>
      <c r="I63" s="12">
        <v>2.5128419000000002</v>
      </c>
      <c r="J63" s="12">
        <v>3.5</v>
      </c>
      <c r="K63" s="12">
        <v>7.4</v>
      </c>
      <c r="L63" s="12">
        <v>2.2999999999999998</v>
      </c>
      <c r="M63" s="12">
        <v>5.2</v>
      </c>
      <c r="N63" s="12">
        <v>1.4</v>
      </c>
      <c r="O63" s="12">
        <v>12</v>
      </c>
      <c r="P63" s="12">
        <v>72539.333333300005</v>
      </c>
      <c r="Q63" s="12">
        <v>3873.3333333</v>
      </c>
      <c r="R63" s="12">
        <v>5.0666666999999999</v>
      </c>
      <c r="S63" s="12">
        <v>11.81026</v>
      </c>
      <c r="T63" s="12">
        <v>8</v>
      </c>
      <c r="U63" s="12">
        <v>76.063628699999995</v>
      </c>
      <c r="V63" s="12">
        <v>40.013333299999999</v>
      </c>
      <c r="W63" s="7" t="s">
        <v>107</v>
      </c>
      <c r="X63" s="12">
        <v>10.7157114</v>
      </c>
      <c r="Y63" s="12">
        <v>21.708518699999999</v>
      </c>
      <c r="Z63" s="12">
        <v>0.99672000000000005</v>
      </c>
      <c r="AA63" s="12">
        <v>51.1193746</v>
      </c>
      <c r="AB63" s="12">
        <v>17.421748399999998</v>
      </c>
      <c r="AC63" s="12">
        <v>27.6758788</v>
      </c>
      <c r="AD63" s="12">
        <v>25.568718799999999</v>
      </c>
      <c r="AE63" s="12">
        <v>21.366817099999999</v>
      </c>
      <c r="AF63" s="12">
        <v>41.673101899999999</v>
      </c>
      <c r="AG63" s="7" t="s">
        <v>107</v>
      </c>
    </row>
    <row r="64" spans="1:33" s="11" customFormat="1" outlineLevel="1" x14ac:dyDescent="0.3">
      <c r="A64" s="11" t="s">
        <v>70</v>
      </c>
      <c r="B64" s="12">
        <v>-0.98067590000000004</v>
      </c>
      <c r="C64" s="12">
        <v>98.773333300000004</v>
      </c>
      <c r="D64" s="12">
        <v>2.4513362999999999</v>
      </c>
      <c r="E64" s="17">
        <v>0.75</v>
      </c>
      <c r="F64" s="13">
        <v>110.08666669999999</v>
      </c>
      <c r="G64" s="12">
        <v>11.389404600000001</v>
      </c>
      <c r="H64" s="12">
        <v>18.739671999999999</v>
      </c>
      <c r="I64" s="12">
        <v>-7.0596464000000001</v>
      </c>
      <c r="J64" s="12">
        <v>2.4</v>
      </c>
      <c r="K64" s="12">
        <v>7.4</v>
      </c>
      <c r="L64" s="12">
        <v>1.5</v>
      </c>
      <c r="M64" s="12">
        <v>0.9</v>
      </c>
      <c r="N64" s="12">
        <v>2.1</v>
      </c>
      <c r="O64" s="12">
        <v>10.3</v>
      </c>
      <c r="P64" s="12">
        <v>71625.333333300005</v>
      </c>
      <c r="Q64" s="12">
        <v>3887.3333333</v>
      </c>
      <c r="R64" s="12">
        <v>5.1333333000000003</v>
      </c>
      <c r="S64" s="12">
        <v>12.3830647</v>
      </c>
      <c r="T64" s="12">
        <v>8.25</v>
      </c>
      <c r="U64" s="12">
        <v>77.031150999999994</v>
      </c>
      <c r="V64" s="12">
        <v>40.306666700000001</v>
      </c>
      <c r="W64" s="7" t="s">
        <v>107</v>
      </c>
      <c r="X64" s="12">
        <v>4.0117441999999999</v>
      </c>
      <c r="Y64" s="12">
        <v>14.5588765</v>
      </c>
      <c r="Z64" s="12">
        <v>1.7196536</v>
      </c>
      <c r="AA64" s="12">
        <v>51.730817000000002</v>
      </c>
      <c r="AB64" s="12">
        <v>16.8715361</v>
      </c>
      <c r="AC64" s="12">
        <v>26.815651200000001</v>
      </c>
      <c r="AD64" s="12">
        <v>26.0217843</v>
      </c>
      <c r="AE64" s="12">
        <v>20.5302501</v>
      </c>
      <c r="AF64" s="12">
        <v>39.384477500000003</v>
      </c>
      <c r="AG64" s="7" t="s">
        <v>107</v>
      </c>
    </row>
    <row r="65" spans="1:33" s="11" customFormat="1" outlineLevel="1" x14ac:dyDescent="0.3">
      <c r="A65" s="11" t="s">
        <v>71</v>
      </c>
      <c r="B65" s="12">
        <v>-1.6415721999999999</v>
      </c>
      <c r="C65" s="12">
        <v>98.726666699999996</v>
      </c>
      <c r="D65" s="12">
        <v>1.9868463000000001</v>
      </c>
      <c r="E65" s="17">
        <v>0.75</v>
      </c>
      <c r="F65" s="13">
        <v>112.4933333</v>
      </c>
      <c r="G65" s="12">
        <v>11.4985091</v>
      </c>
      <c r="H65" s="12">
        <v>5.8405221000000003</v>
      </c>
      <c r="I65" s="12">
        <v>1.7768889999999999</v>
      </c>
      <c r="J65" s="12">
        <v>1.1000000000000001</v>
      </c>
      <c r="K65" s="12">
        <v>5.3</v>
      </c>
      <c r="L65" s="12">
        <v>0.1</v>
      </c>
      <c r="M65" s="12">
        <v>0.8</v>
      </c>
      <c r="N65" s="12">
        <v>0.7</v>
      </c>
      <c r="O65" s="12">
        <v>7.7</v>
      </c>
      <c r="P65" s="12">
        <v>70899.333333300005</v>
      </c>
      <c r="Q65" s="12">
        <v>4355.3333333</v>
      </c>
      <c r="R65" s="12">
        <v>5.8333332999999996</v>
      </c>
      <c r="S65" s="12">
        <v>11.277620799999999</v>
      </c>
      <c r="T65" s="12">
        <v>8.25</v>
      </c>
      <c r="U65" s="12">
        <v>78.5267652</v>
      </c>
      <c r="V65" s="12">
        <v>40.200000000000003</v>
      </c>
      <c r="W65" s="7" t="s">
        <v>107</v>
      </c>
      <c r="X65" s="12">
        <v>-3.6242926</v>
      </c>
      <c r="Y65" s="12">
        <v>8.2905373000000004</v>
      </c>
      <c r="Z65" s="12">
        <v>4.5927284000000004</v>
      </c>
      <c r="AA65" s="12">
        <v>53.608420600000002</v>
      </c>
      <c r="AB65" s="12">
        <v>20.316428899999998</v>
      </c>
      <c r="AC65" s="12">
        <v>19.6554638</v>
      </c>
      <c r="AD65" s="12">
        <v>26.011602</v>
      </c>
      <c r="AE65" s="12">
        <v>18.907754700000002</v>
      </c>
      <c r="AF65" s="12">
        <v>37.363277699999998</v>
      </c>
      <c r="AG65" s="7" t="s">
        <v>107</v>
      </c>
    </row>
    <row r="66" spans="1:33" s="11" customFormat="1" outlineLevel="1" x14ac:dyDescent="0.3">
      <c r="A66" s="11" t="s">
        <v>72</v>
      </c>
      <c r="B66" s="12">
        <v>-0.1331087</v>
      </c>
      <c r="C66" s="12">
        <v>99.533333299999995</v>
      </c>
      <c r="D66" s="12">
        <v>1.5715355</v>
      </c>
      <c r="E66" s="17">
        <v>0.58333330000000005</v>
      </c>
      <c r="F66" s="13">
        <v>102.5766667</v>
      </c>
      <c r="G66" s="12">
        <v>6.4546938999999997</v>
      </c>
      <c r="H66" s="12">
        <v>-0.48096030000000001</v>
      </c>
      <c r="I66" s="12">
        <v>1.3960745999999999</v>
      </c>
      <c r="J66" s="12">
        <v>1.7</v>
      </c>
      <c r="K66" s="12">
        <v>5.6</v>
      </c>
      <c r="L66" s="12">
        <v>0</v>
      </c>
      <c r="M66" s="12">
        <v>-6.3</v>
      </c>
      <c r="N66" s="12">
        <v>5.2</v>
      </c>
      <c r="O66" s="12">
        <v>3.9</v>
      </c>
      <c r="P66" s="12">
        <v>71400</v>
      </c>
      <c r="Q66" s="12">
        <v>4058</v>
      </c>
      <c r="R66" s="12">
        <v>5.4</v>
      </c>
      <c r="S66" s="12">
        <v>13.1402252</v>
      </c>
      <c r="T66" s="12">
        <v>8.25</v>
      </c>
      <c r="U66" s="12">
        <v>79.713298399999999</v>
      </c>
      <c r="V66" s="12">
        <v>41.3</v>
      </c>
      <c r="W66" s="7" t="s">
        <v>107</v>
      </c>
      <c r="X66" s="12">
        <v>-3.1331216</v>
      </c>
      <c r="Y66" s="12">
        <v>5.7514500999999996</v>
      </c>
      <c r="Z66" s="12">
        <v>0.26023790000000002</v>
      </c>
      <c r="AA66" s="12">
        <v>53.682679200000003</v>
      </c>
      <c r="AB66" s="12">
        <v>19.299307800000001</v>
      </c>
      <c r="AC66" s="12">
        <v>22.363070799999999</v>
      </c>
      <c r="AD66" s="12">
        <v>26.144796100000001</v>
      </c>
      <c r="AE66" s="12">
        <v>20.864888400000002</v>
      </c>
      <c r="AF66" s="12">
        <v>33.854082200000001</v>
      </c>
      <c r="AG66" s="7" t="s">
        <v>107</v>
      </c>
    </row>
    <row r="67" spans="1:33" s="11" customFormat="1" outlineLevel="1" x14ac:dyDescent="0.3">
      <c r="A67" s="11" t="s">
        <v>73</v>
      </c>
      <c r="B67" s="12">
        <v>0.53477319999999995</v>
      </c>
      <c r="C67" s="12">
        <v>99.423333299999996</v>
      </c>
      <c r="D67" s="12">
        <v>1.4972605999999999</v>
      </c>
      <c r="E67" s="17">
        <v>0.5</v>
      </c>
      <c r="F67" s="13">
        <v>110.27</v>
      </c>
      <c r="G67" s="12">
        <v>10.3189606</v>
      </c>
      <c r="H67" s="12">
        <v>8.2925497999999997</v>
      </c>
      <c r="I67" s="12">
        <v>1.9888817999999999</v>
      </c>
      <c r="J67" s="12">
        <v>1.5</v>
      </c>
      <c r="K67" s="12">
        <v>5.8</v>
      </c>
      <c r="L67" s="12">
        <v>0</v>
      </c>
      <c r="M67" s="12">
        <v>-8.1</v>
      </c>
      <c r="N67" s="12">
        <v>7.6</v>
      </c>
      <c r="O67" s="12">
        <v>4.0999999999999996</v>
      </c>
      <c r="P67" s="12">
        <v>71992</v>
      </c>
      <c r="Q67" s="12">
        <v>3988.3333333</v>
      </c>
      <c r="R67" s="12">
        <v>5.2666667</v>
      </c>
      <c r="S67" s="12">
        <v>12.558993900000001</v>
      </c>
      <c r="T67" s="12">
        <v>5.5</v>
      </c>
      <c r="U67" s="12">
        <v>80.899938000000006</v>
      </c>
      <c r="V67" s="12">
        <v>43.433333300000001</v>
      </c>
      <c r="W67" s="7" t="s">
        <v>107</v>
      </c>
      <c r="X67" s="12">
        <v>-0.57310970000000006</v>
      </c>
      <c r="Y67" s="12">
        <v>-0.20497480000000001</v>
      </c>
      <c r="Z67" s="12">
        <v>-0.1071047</v>
      </c>
      <c r="AA67" s="12">
        <v>52.925599200000001</v>
      </c>
      <c r="AB67" s="12">
        <v>18.0224987</v>
      </c>
      <c r="AC67" s="12">
        <v>25.8900094</v>
      </c>
      <c r="AD67" s="12">
        <v>25.716883200000002</v>
      </c>
      <c r="AE67" s="12">
        <v>21.558695100000001</v>
      </c>
      <c r="AF67" s="12">
        <v>31.017055200000001</v>
      </c>
      <c r="AG67" s="7" t="s">
        <v>107</v>
      </c>
    </row>
    <row r="68" spans="1:33" s="11" customFormat="1" outlineLevel="1" x14ac:dyDescent="0.3">
      <c r="A68" s="11" t="s">
        <v>74</v>
      </c>
      <c r="B68" s="12">
        <v>0.83200640000000003</v>
      </c>
      <c r="C68" s="12">
        <v>99.72</v>
      </c>
      <c r="D68" s="12">
        <v>0.95842340000000004</v>
      </c>
      <c r="E68" s="17">
        <v>0.3333333</v>
      </c>
      <c r="F68" s="13">
        <v>109.21</v>
      </c>
      <c r="G68" s="12">
        <v>8.8147967999999999</v>
      </c>
      <c r="H68" s="12">
        <v>4.0789217000000004</v>
      </c>
      <c r="I68" s="12">
        <v>-8.7616875000000007</v>
      </c>
      <c r="J68" s="12">
        <v>2.5</v>
      </c>
      <c r="K68" s="12">
        <v>3.9</v>
      </c>
      <c r="L68" s="12">
        <v>0.1</v>
      </c>
      <c r="M68" s="12">
        <v>-4.5999999999999996</v>
      </c>
      <c r="N68" s="12">
        <v>4.9000000000000004</v>
      </c>
      <c r="O68" s="12">
        <v>-0.7</v>
      </c>
      <c r="P68" s="12">
        <v>71274</v>
      </c>
      <c r="Q68" s="12">
        <v>4148.3333333</v>
      </c>
      <c r="R68" s="12">
        <v>5.5</v>
      </c>
      <c r="S68" s="12">
        <v>10.0472983</v>
      </c>
      <c r="T68" s="12">
        <v>5.5</v>
      </c>
      <c r="U68" s="12">
        <v>81.956515600000003</v>
      </c>
      <c r="V68" s="12">
        <v>44.273333299999997</v>
      </c>
      <c r="W68" s="7" t="s">
        <v>107</v>
      </c>
      <c r="X68" s="12">
        <v>-4.1710814999999997</v>
      </c>
      <c r="Y68" s="12">
        <v>-3.630789</v>
      </c>
      <c r="Z68" s="12">
        <v>1.2753371</v>
      </c>
      <c r="AA68" s="12">
        <v>52.581662700000003</v>
      </c>
      <c r="AB68" s="12">
        <v>17.412652000000001</v>
      </c>
      <c r="AC68" s="12">
        <v>24.532505199999999</v>
      </c>
      <c r="AD68" s="12">
        <v>25.570589099999999</v>
      </c>
      <c r="AE68" s="12">
        <v>20.2667611</v>
      </c>
      <c r="AF68" s="12">
        <v>28.693337499999998</v>
      </c>
      <c r="AG68" s="7" t="s">
        <v>107</v>
      </c>
    </row>
    <row r="69" spans="1:33" s="11" customFormat="1" outlineLevel="1" x14ac:dyDescent="0.3">
      <c r="A69" s="11" t="s">
        <v>75</v>
      </c>
      <c r="B69" s="12">
        <v>1.8456245</v>
      </c>
      <c r="C69" s="12">
        <v>99.49</v>
      </c>
      <c r="D69" s="12">
        <v>0.77317840000000004</v>
      </c>
      <c r="E69" s="17">
        <v>0.25</v>
      </c>
      <c r="F69" s="13">
        <v>108.16666669999999</v>
      </c>
      <c r="G69" s="12">
        <v>6.2880440000000002</v>
      </c>
      <c r="H69" s="12">
        <v>10.346326400000001</v>
      </c>
      <c r="I69" s="12">
        <v>3.0521965999999998</v>
      </c>
      <c r="J69" s="12">
        <v>0</v>
      </c>
      <c r="K69" s="12">
        <v>3.7</v>
      </c>
      <c r="L69" s="12">
        <v>-2.2999999999999998</v>
      </c>
      <c r="M69" s="12">
        <v>-16.2</v>
      </c>
      <c r="N69" s="12">
        <v>4.2</v>
      </c>
      <c r="O69" s="12">
        <v>-4.2</v>
      </c>
      <c r="P69" s="12">
        <v>70835</v>
      </c>
      <c r="Q69" s="12">
        <v>4144.3333333</v>
      </c>
      <c r="R69" s="12">
        <v>5.5333332999999998</v>
      </c>
      <c r="S69" s="12">
        <v>10.724868799999999</v>
      </c>
      <c r="T69" s="12">
        <v>7</v>
      </c>
      <c r="U69" s="12">
        <v>83.543938999999995</v>
      </c>
      <c r="V69" s="12">
        <v>47.946666700000002</v>
      </c>
      <c r="W69" s="7" t="s">
        <v>107</v>
      </c>
      <c r="X69" s="12">
        <v>-5.0770206</v>
      </c>
      <c r="Y69" s="12">
        <v>-7.0401511000000001</v>
      </c>
      <c r="Z69" s="12">
        <v>5.1799511999999996</v>
      </c>
      <c r="AA69" s="12">
        <v>55.368159300000002</v>
      </c>
      <c r="AB69" s="12">
        <v>19.802565099999999</v>
      </c>
      <c r="AC69" s="12">
        <v>17.580329299999999</v>
      </c>
      <c r="AD69" s="12">
        <v>27.8429346</v>
      </c>
      <c r="AE69" s="12">
        <v>19.9082759</v>
      </c>
      <c r="AF69" s="12">
        <v>26.3078237</v>
      </c>
      <c r="AG69" s="7" t="s">
        <v>107</v>
      </c>
    </row>
    <row r="70" spans="1:33" s="11" customFormat="1" outlineLevel="1" x14ac:dyDescent="0.3">
      <c r="A70" s="11" t="s">
        <v>76</v>
      </c>
      <c r="B70" s="12">
        <v>1.1953549000000001</v>
      </c>
      <c r="C70" s="12">
        <v>100.22333329999999</v>
      </c>
      <c r="D70" s="12">
        <v>0.69323509999999999</v>
      </c>
      <c r="E70" s="17">
        <v>0.21666669999999999</v>
      </c>
      <c r="F70" s="13">
        <v>109.7</v>
      </c>
      <c r="G70" s="12">
        <v>7.4559249000000003</v>
      </c>
      <c r="H70" s="12">
        <v>12.4241651</v>
      </c>
      <c r="I70" s="12">
        <v>2.9363705000000002</v>
      </c>
      <c r="J70" s="12">
        <v>0.6</v>
      </c>
      <c r="K70" s="12">
        <v>2</v>
      </c>
      <c r="L70" s="12">
        <v>-2.5</v>
      </c>
      <c r="M70" s="12">
        <v>-9.3000000000000007</v>
      </c>
      <c r="N70" s="12">
        <v>3.1</v>
      </c>
      <c r="O70" s="12">
        <v>-7.5</v>
      </c>
      <c r="P70" s="12">
        <v>71435.666666699995</v>
      </c>
      <c r="Q70" s="12">
        <v>3791.6666667</v>
      </c>
      <c r="R70" s="12">
        <v>5.0333332999999998</v>
      </c>
      <c r="S70" s="12">
        <v>9.7574015999999997</v>
      </c>
      <c r="T70" s="12">
        <v>7.5</v>
      </c>
      <c r="U70" s="12">
        <v>85.751299200000005</v>
      </c>
      <c r="V70" s="12">
        <v>48.023333299999997</v>
      </c>
      <c r="W70" s="7" t="s">
        <v>107</v>
      </c>
      <c r="X70" s="12">
        <v>-1.7786278</v>
      </c>
      <c r="Y70" s="12">
        <v>-7.7951981999999997</v>
      </c>
      <c r="Z70" s="12">
        <v>2.1766369000000001</v>
      </c>
      <c r="AA70" s="12">
        <v>53.612678299999999</v>
      </c>
      <c r="AB70" s="12">
        <v>18.527961099999999</v>
      </c>
      <c r="AC70" s="12">
        <v>21.645447399999998</v>
      </c>
      <c r="AD70" s="12">
        <v>27.449842499999999</v>
      </c>
      <c r="AE70" s="12">
        <v>20.645667400000001</v>
      </c>
      <c r="AF70" s="12">
        <v>20.932052500000001</v>
      </c>
      <c r="AG70" s="7" t="s">
        <v>107</v>
      </c>
    </row>
    <row r="71" spans="1:33" s="11" customFormat="1" outlineLevel="1" x14ac:dyDescent="0.3">
      <c r="A71" s="11" t="s">
        <v>77</v>
      </c>
      <c r="B71" s="12">
        <v>1.5779679</v>
      </c>
      <c r="C71" s="12">
        <v>99.91</v>
      </c>
      <c r="D71" s="12">
        <v>0.48948940000000002</v>
      </c>
      <c r="E71" s="17">
        <v>0.1166667</v>
      </c>
      <c r="F71" s="13">
        <v>101.8233333</v>
      </c>
      <c r="G71" s="12">
        <v>7.5265825</v>
      </c>
      <c r="H71" s="12">
        <v>8.3258490999999992</v>
      </c>
      <c r="I71" s="12">
        <v>2.2134626000000002</v>
      </c>
      <c r="J71" s="12">
        <v>1.4</v>
      </c>
      <c r="K71" s="12">
        <v>1.2</v>
      </c>
      <c r="L71" s="12">
        <v>-2.5</v>
      </c>
      <c r="M71" s="12">
        <v>-1.4</v>
      </c>
      <c r="N71" s="12">
        <v>0</v>
      </c>
      <c r="O71" s="12">
        <v>-5.7</v>
      </c>
      <c r="P71" s="12">
        <v>72160.666666699995</v>
      </c>
      <c r="Q71" s="12">
        <v>3694</v>
      </c>
      <c r="R71" s="12">
        <v>4.8666666999999997</v>
      </c>
      <c r="S71" s="12">
        <v>7.8907347999999997</v>
      </c>
      <c r="T71" s="12">
        <v>8</v>
      </c>
      <c r="U71" s="12">
        <v>87.111759500000005</v>
      </c>
      <c r="V71" s="12">
        <v>48</v>
      </c>
      <c r="W71" s="7" t="s">
        <v>107</v>
      </c>
      <c r="X71" s="12">
        <v>-3.8242357999999999</v>
      </c>
      <c r="Y71" s="12">
        <v>-6.9482973000000001</v>
      </c>
      <c r="Z71" s="12">
        <v>1.0638719999999999</v>
      </c>
      <c r="AA71" s="12">
        <v>53.109412900000002</v>
      </c>
      <c r="AB71" s="12">
        <v>17.4303898</v>
      </c>
      <c r="AC71" s="12">
        <v>25.062787</v>
      </c>
      <c r="AD71" s="12">
        <v>25.2711203</v>
      </c>
      <c r="AE71" s="12">
        <v>20.586541799999999</v>
      </c>
      <c r="AF71" s="12">
        <v>18.0265363</v>
      </c>
      <c r="AG71" s="7" t="s">
        <v>107</v>
      </c>
    </row>
    <row r="72" spans="1:33" s="11" customFormat="1" outlineLevel="1" x14ac:dyDescent="0.3">
      <c r="A72" s="11" t="s">
        <v>78</v>
      </c>
      <c r="B72" s="12">
        <v>1.7505474000000001</v>
      </c>
      <c r="C72" s="12">
        <v>99.97</v>
      </c>
      <c r="D72" s="12">
        <v>0.25070199999999998</v>
      </c>
      <c r="E72" s="17">
        <v>0.05</v>
      </c>
      <c r="F72" s="13">
        <v>76.4033333</v>
      </c>
      <c r="G72" s="12">
        <v>13.041282300000001</v>
      </c>
      <c r="H72" s="12">
        <v>7.3943674000000001</v>
      </c>
      <c r="I72" s="12">
        <v>-10.7901364</v>
      </c>
      <c r="J72" s="12">
        <v>0.9</v>
      </c>
      <c r="K72" s="12">
        <v>1.7</v>
      </c>
      <c r="L72" s="12">
        <v>-2.7</v>
      </c>
      <c r="M72" s="12">
        <v>-3</v>
      </c>
      <c r="N72" s="12">
        <v>-4.5999999999999996</v>
      </c>
      <c r="O72" s="12">
        <v>-11.4</v>
      </c>
      <c r="P72" s="12">
        <v>71665</v>
      </c>
      <c r="Q72" s="12">
        <v>3927.3333333</v>
      </c>
      <c r="R72" s="12">
        <v>5.2</v>
      </c>
      <c r="S72" s="12">
        <v>7.3205162000000001</v>
      </c>
      <c r="T72" s="12">
        <v>17</v>
      </c>
      <c r="U72" s="12">
        <v>89.810234899999998</v>
      </c>
      <c r="V72" s="12">
        <v>59.103333300000003</v>
      </c>
      <c r="W72" s="7" t="s">
        <v>107</v>
      </c>
      <c r="X72" s="12">
        <v>-9.1187760000000004</v>
      </c>
      <c r="Y72" s="12">
        <v>-12.5007184</v>
      </c>
      <c r="Z72" s="12">
        <v>2.9918513</v>
      </c>
      <c r="AA72" s="12">
        <v>53.243375</v>
      </c>
      <c r="AB72" s="12">
        <v>16.761970600000001</v>
      </c>
      <c r="AC72" s="12">
        <v>24.3149114</v>
      </c>
      <c r="AD72" s="12">
        <v>27.955144099999998</v>
      </c>
      <c r="AE72" s="12">
        <v>21.4365247</v>
      </c>
      <c r="AF72" s="12">
        <v>13.7836848</v>
      </c>
      <c r="AG72" s="7" t="s">
        <v>107</v>
      </c>
    </row>
    <row r="73" spans="1:33" s="11" customFormat="1" outlineLevel="1" x14ac:dyDescent="0.3">
      <c r="A73" s="11" t="s">
        <v>79</v>
      </c>
      <c r="B73" s="12">
        <v>2.0633189000000001</v>
      </c>
      <c r="C73" s="12">
        <v>99.203333299999997</v>
      </c>
      <c r="D73" s="12">
        <v>-0.28813620000000001</v>
      </c>
      <c r="E73" s="17">
        <v>0.05</v>
      </c>
      <c r="F73" s="13">
        <v>53.9166667</v>
      </c>
      <c r="G73" s="12">
        <v>19.5099956</v>
      </c>
      <c r="H73" s="12">
        <v>1.4115515000000001</v>
      </c>
      <c r="I73" s="12">
        <v>-2.4219268999999999</v>
      </c>
      <c r="J73" s="12">
        <v>-1.5</v>
      </c>
      <c r="K73" s="12">
        <v>-7.5</v>
      </c>
      <c r="L73" s="12">
        <v>-3.7</v>
      </c>
      <c r="M73" s="12">
        <v>-20.2</v>
      </c>
      <c r="N73" s="12">
        <v>4.9000000000000004</v>
      </c>
      <c r="O73" s="12">
        <v>-25.3</v>
      </c>
      <c r="P73" s="12">
        <v>71602.333333300005</v>
      </c>
      <c r="Q73" s="12">
        <v>4360</v>
      </c>
      <c r="R73" s="12">
        <v>5.7333333</v>
      </c>
      <c r="S73" s="12">
        <v>5.9</v>
      </c>
      <c r="T73" s="12">
        <v>14</v>
      </c>
      <c r="U73" s="12">
        <v>97.083810200000002</v>
      </c>
      <c r="V73" s="12">
        <v>70.473333299999993</v>
      </c>
      <c r="W73" s="12">
        <v>1.0253047</v>
      </c>
      <c r="X73" s="12">
        <v>-10.5705057</v>
      </c>
      <c r="Y73" s="12">
        <v>-20.5320365</v>
      </c>
      <c r="Z73" s="12">
        <v>10.0369882</v>
      </c>
      <c r="AA73" s="12">
        <v>55.528202399999998</v>
      </c>
      <c r="AB73" s="12">
        <v>19.244730199999999</v>
      </c>
      <c r="AC73" s="12">
        <v>13.682109199999999</v>
      </c>
      <c r="AD73" s="12">
        <v>34.304905300000001</v>
      </c>
      <c r="AE73" s="12">
        <v>21.796182600000002</v>
      </c>
      <c r="AF73" s="12">
        <v>6.9680609000000002</v>
      </c>
      <c r="AG73" s="7" t="s">
        <v>107</v>
      </c>
    </row>
    <row r="74" spans="1:33" s="11" customFormat="1" outlineLevel="1" x14ac:dyDescent="0.3">
      <c r="A74" s="11" t="s">
        <v>80</v>
      </c>
      <c r="B74" s="12">
        <v>2.2703967</v>
      </c>
      <c r="C74" s="12">
        <v>100.5233333</v>
      </c>
      <c r="D74" s="12">
        <v>0.29933149999999997</v>
      </c>
      <c r="E74" s="17">
        <v>0.05</v>
      </c>
      <c r="F74" s="13">
        <v>61.693333299999999</v>
      </c>
      <c r="G74" s="12">
        <v>16.062725700000001</v>
      </c>
      <c r="H74" s="12">
        <v>-9.9358100000000005E-2</v>
      </c>
      <c r="I74" s="12">
        <v>-2.2052776000000001</v>
      </c>
      <c r="J74" s="12">
        <v>-3.1</v>
      </c>
      <c r="K74" s="12">
        <v>-9.4</v>
      </c>
      <c r="L74" s="12">
        <v>-3.6</v>
      </c>
      <c r="M74" s="12">
        <v>-20.5</v>
      </c>
      <c r="N74" s="12">
        <v>1.7</v>
      </c>
      <c r="O74" s="12">
        <v>-29.2</v>
      </c>
      <c r="P74" s="12">
        <v>72235.666666699995</v>
      </c>
      <c r="Q74" s="12">
        <v>4267.6666667</v>
      </c>
      <c r="R74" s="12">
        <v>5.6</v>
      </c>
      <c r="S74" s="12">
        <v>5.9</v>
      </c>
      <c r="T74" s="12">
        <v>11.5</v>
      </c>
      <c r="U74" s="12">
        <v>99.321995299999998</v>
      </c>
      <c r="V74" s="12">
        <v>58.23</v>
      </c>
      <c r="W74" s="12">
        <v>-0.49828060000000002</v>
      </c>
      <c r="X74" s="12">
        <v>-13.2074862</v>
      </c>
      <c r="Y74" s="12">
        <v>-22.377513</v>
      </c>
      <c r="Z74" s="12">
        <v>4.3530968999999997</v>
      </c>
      <c r="AA74" s="12">
        <v>53.419026799999997</v>
      </c>
      <c r="AB74" s="12">
        <v>18.466899099999999</v>
      </c>
      <c r="AC74" s="12">
        <v>19.079019500000001</v>
      </c>
      <c r="AD74" s="12">
        <v>27.8512269</v>
      </c>
      <c r="AE74" s="12">
        <v>18.7347334</v>
      </c>
      <c r="AF74" s="12">
        <v>0.8238664</v>
      </c>
      <c r="AG74" s="7" t="s">
        <v>107</v>
      </c>
    </row>
    <row r="75" spans="1:33" s="11" customFormat="1" outlineLevel="1" x14ac:dyDescent="0.3">
      <c r="A75" s="11" t="s">
        <v>81</v>
      </c>
      <c r="B75" s="12">
        <v>2.2457793000000001</v>
      </c>
      <c r="C75" s="12">
        <v>100.1533333</v>
      </c>
      <c r="D75" s="12">
        <v>0.24355250000000001</v>
      </c>
      <c r="E75" s="17">
        <v>0.05</v>
      </c>
      <c r="F75" s="13">
        <v>50.233333299999998</v>
      </c>
      <c r="G75" s="12">
        <v>8.5475589000000003</v>
      </c>
      <c r="H75" s="12">
        <v>3.0120562999999998</v>
      </c>
      <c r="I75" s="12">
        <v>0.60129200000000005</v>
      </c>
      <c r="J75" s="12">
        <v>-1.7</v>
      </c>
      <c r="K75" s="12">
        <v>-9.6999999999999993</v>
      </c>
      <c r="L75" s="12">
        <v>-3.6</v>
      </c>
      <c r="M75" s="12">
        <v>-6.2</v>
      </c>
      <c r="N75" s="12">
        <v>-1</v>
      </c>
      <c r="O75" s="12">
        <v>-24.8</v>
      </c>
      <c r="P75" s="12">
        <v>73127</v>
      </c>
      <c r="Q75" s="12">
        <v>4056</v>
      </c>
      <c r="R75" s="12">
        <v>5.2666667</v>
      </c>
      <c r="S75" s="12">
        <v>4.7</v>
      </c>
      <c r="T75" s="12">
        <v>11</v>
      </c>
      <c r="U75" s="12">
        <v>100.785434</v>
      </c>
      <c r="V75" s="12">
        <v>70.116666699999996</v>
      </c>
      <c r="W75" s="12">
        <v>0.4680184</v>
      </c>
      <c r="X75" s="12">
        <v>-23.759188099999999</v>
      </c>
      <c r="Y75" s="12">
        <v>-23.3639951</v>
      </c>
      <c r="Z75" s="12">
        <v>2.1543884000000002</v>
      </c>
      <c r="AA75" s="12">
        <v>51.732123600000001</v>
      </c>
      <c r="AB75" s="12">
        <v>17.034604399999999</v>
      </c>
      <c r="AC75" s="12">
        <v>27.2169983</v>
      </c>
      <c r="AD75" s="12">
        <v>26.494601800000002</v>
      </c>
      <c r="AE75" s="12">
        <v>21.695300700000001</v>
      </c>
      <c r="AF75" s="12">
        <v>-3.0548877000000001</v>
      </c>
      <c r="AG75" s="7" t="s">
        <v>107</v>
      </c>
    </row>
    <row r="76" spans="1:33" s="11" customFormat="1" outlineLevel="1" x14ac:dyDescent="0.3">
      <c r="A76" s="11" t="s">
        <v>82</v>
      </c>
      <c r="B76" s="12">
        <v>2.5478125</v>
      </c>
      <c r="C76" s="12">
        <v>100.1233333</v>
      </c>
      <c r="D76" s="12">
        <v>0.1533793</v>
      </c>
      <c r="E76" s="17">
        <v>0.05</v>
      </c>
      <c r="F76" s="13">
        <v>43.57</v>
      </c>
      <c r="G76" s="12">
        <v>-4.4205877999999998</v>
      </c>
      <c r="H76" s="12">
        <v>-1.5750732000000001</v>
      </c>
      <c r="I76" s="12">
        <v>-8.9587363999999994</v>
      </c>
      <c r="J76" s="12">
        <v>-1.6</v>
      </c>
      <c r="K76" s="12">
        <v>-11.1</v>
      </c>
      <c r="L76" s="12">
        <v>-3.6</v>
      </c>
      <c r="M76" s="12">
        <v>-6.1</v>
      </c>
      <c r="N76" s="12">
        <v>9</v>
      </c>
      <c r="O76" s="12">
        <v>-20.6</v>
      </c>
      <c r="P76" s="12">
        <v>72329.666666699995</v>
      </c>
      <c r="Q76" s="12">
        <v>4371.6666667</v>
      </c>
      <c r="R76" s="12">
        <v>5.7</v>
      </c>
      <c r="S76" s="12">
        <v>3.3</v>
      </c>
      <c r="T76" s="12">
        <v>11</v>
      </c>
      <c r="U76" s="12">
        <v>102.8087606</v>
      </c>
      <c r="V76" s="12">
        <v>72.226666699999996</v>
      </c>
      <c r="W76" s="12">
        <v>-3.00786E-2</v>
      </c>
      <c r="X76" s="12">
        <v>-18.059127100000001</v>
      </c>
      <c r="Y76" s="12">
        <v>-19.344184599999998</v>
      </c>
      <c r="Z76" s="12">
        <v>4.0524509999999996</v>
      </c>
      <c r="AA76" s="12">
        <v>50.662823299999999</v>
      </c>
      <c r="AB76" s="12">
        <v>16.671257399999998</v>
      </c>
      <c r="AC76" s="12">
        <v>26.765780199999998</v>
      </c>
      <c r="AD76" s="12">
        <v>27.035712700000001</v>
      </c>
      <c r="AE76" s="12">
        <v>20.406551400000001</v>
      </c>
      <c r="AF76" s="12">
        <v>-5.6950069000000001</v>
      </c>
      <c r="AG76" s="7" t="s">
        <v>107</v>
      </c>
    </row>
    <row r="77" spans="1:33" s="11" customFormat="1" outlineLevel="1" x14ac:dyDescent="0.3">
      <c r="A77" s="11" t="s">
        <v>83</v>
      </c>
      <c r="B77" s="12">
        <v>1.9366078</v>
      </c>
      <c r="C77" s="12">
        <v>99.246666700000006</v>
      </c>
      <c r="D77" s="12">
        <v>4.3681400000000002E-2</v>
      </c>
      <c r="E77" s="17">
        <v>3.3333300000000003E-2</v>
      </c>
      <c r="F77" s="13">
        <v>33.696666700000002</v>
      </c>
      <c r="G77" s="12">
        <v>-2.3528123000000001</v>
      </c>
      <c r="H77" s="12">
        <v>-2.7863405000000001</v>
      </c>
      <c r="I77" s="12">
        <v>-2.4514567</v>
      </c>
      <c r="J77" s="12">
        <v>-0.2</v>
      </c>
      <c r="K77" s="12">
        <v>-3</v>
      </c>
      <c r="L77" s="12">
        <v>1.4</v>
      </c>
      <c r="M77" s="12">
        <v>2.6</v>
      </c>
      <c r="N77" s="12">
        <v>-4.0999999999999996</v>
      </c>
      <c r="O77" s="12">
        <v>-11.3</v>
      </c>
      <c r="P77" s="12">
        <v>71475.666666699995</v>
      </c>
      <c r="Q77" s="12">
        <v>4474.6666667</v>
      </c>
      <c r="R77" s="12">
        <v>5.8666666999999997</v>
      </c>
      <c r="S77" s="12">
        <v>7.5219186999999996</v>
      </c>
      <c r="T77" s="12">
        <v>11</v>
      </c>
      <c r="U77" s="12">
        <v>105.2214049</v>
      </c>
      <c r="V77" s="12">
        <v>82.38</v>
      </c>
      <c r="W77" s="12">
        <v>0.66038850000000004</v>
      </c>
      <c r="X77" s="12">
        <v>-28.594092400000001</v>
      </c>
      <c r="Y77" s="12">
        <v>-15.454459399999999</v>
      </c>
      <c r="Z77" s="12">
        <v>4.9546451999999999</v>
      </c>
      <c r="AA77" s="12">
        <v>56.545043900000003</v>
      </c>
      <c r="AB77" s="12">
        <v>20.537331900000002</v>
      </c>
      <c r="AC77" s="12">
        <v>15.192383400000001</v>
      </c>
      <c r="AD77" s="12">
        <v>27.992936799999999</v>
      </c>
      <c r="AE77" s="12">
        <v>21.058377</v>
      </c>
      <c r="AF77" s="12">
        <v>-3.5362716000000001</v>
      </c>
      <c r="AG77" s="7" t="s">
        <v>107</v>
      </c>
    </row>
    <row r="78" spans="1:33" s="11" customFormat="1" outlineLevel="1" x14ac:dyDescent="0.3">
      <c r="A78" s="11" t="s">
        <v>84</v>
      </c>
      <c r="B78" s="12">
        <v>2.4666936000000002</v>
      </c>
      <c r="C78" s="12">
        <v>100.42</v>
      </c>
      <c r="D78" s="12">
        <v>-0.10279530000000001</v>
      </c>
      <c r="E78" s="17">
        <v>0</v>
      </c>
      <c r="F78" s="13">
        <v>45.523333299999997</v>
      </c>
      <c r="G78" s="12">
        <v>1.4592525000000001</v>
      </c>
      <c r="H78" s="12">
        <v>-0.87549630000000001</v>
      </c>
      <c r="I78" s="12">
        <v>-2.9260575000000002</v>
      </c>
      <c r="J78" s="12">
        <v>0.3</v>
      </c>
      <c r="K78" s="12">
        <v>-2.8</v>
      </c>
      <c r="L78" s="12">
        <v>1.4</v>
      </c>
      <c r="M78" s="12">
        <v>-0.5</v>
      </c>
      <c r="N78" s="12">
        <v>2.2999999999999998</v>
      </c>
      <c r="O78" s="12">
        <v>-6.1</v>
      </c>
      <c r="P78" s="12">
        <v>72225</v>
      </c>
      <c r="Q78" s="12">
        <v>4333.3333333</v>
      </c>
      <c r="R78" s="12">
        <v>5.6333333000000003</v>
      </c>
      <c r="S78" s="12">
        <v>7.7406098999999999</v>
      </c>
      <c r="T78" s="12">
        <v>10.5</v>
      </c>
      <c r="U78" s="12">
        <v>106.63002160000001</v>
      </c>
      <c r="V78" s="12">
        <v>74.39</v>
      </c>
      <c r="W78" s="12">
        <v>0.43451689999999998</v>
      </c>
      <c r="X78" s="12">
        <v>-24.5912522</v>
      </c>
      <c r="Y78" s="12">
        <v>-10.587773800000001</v>
      </c>
      <c r="Z78" s="12">
        <v>0.5737312</v>
      </c>
      <c r="AA78" s="12">
        <v>53.840571400000002</v>
      </c>
      <c r="AB78" s="12">
        <v>19.2243052</v>
      </c>
      <c r="AC78" s="12">
        <v>20.445198600000001</v>
      </c>
      <c r="AD78" s="12">
        <v>25.9194171</v>
      </c>
      <c r="AE78" s="12">
        <v>20.673046599999999</v>
      </c>
      <c r="AF78" s="12">
        <v>-1.4346806000000001</v>
      </c>
      <c r="AG78" s="7" t="s">
        <v>107</v>
      </c>
    </row>
    <row r="79" spans="1:33" s="11" customFormat="1" outlineLevel="1" x14ac:dyDescent="0.3">
      <c r="A79" s="11" t="s">
        <v>85</v>
      </c>
      <c r="B79" s="12">
        <v>1.6225508</v>
      </c>
      <c r="C79" s="12">
        <v>100.42</v>
      </c>
      <c r="D79" s="12">
        <v>0.26625840000000001</v>
      </c>
      <c r="E79" s="17">
        <v>0</v>
      </c>
      <c r="F79" s="13">
        <v>45.786666699999998</v>
      </c>
      <c r="G79" s="12">
        <v>4.4451926000000004</v>
      </c>
      <c r="H79" s="12">
        <v>1.5630409000000001</v>
      </c>
      <c r="I79" s="12">
        <v>-0.2592199</v>
      </c>
      <c r="J79" s="12">
        <v>0.1</v>
      </c>
      <c r="K79" s="12">
        <v>-3.2</v>
      </c>
      <c r="L79" s="12">
        <v>1.5</v>
      </c>
      <c r="M79" s="12">
        <v>-4.8</v>
      </c>
      <c r="N79" s="12">
        <v>8.9</v>
      </c>
      <c r="O79" s="12">
        <v>-3.2</v>
      </c>
      <c r="P79" s="12">
        <v>73237.333333300005</v>
      </c>
      <c r="Q79" s="12">
        <v>4060</v>
      </c>
      <c r="R79" s="12">
        <v>5.2333333</v>
      </c>
      <c r="S79" s="12">
        <v>8.2313007999999996</v>
      </c>
      <c r="T79" s="12">
        <v>10</v>
      </c>
      <c r="U79" s="12">
        <v>107.6629804</v>
      </c>
      <c r="V79" s="12">
        <v>72.150000000000006</v>
      </c>
      <c r="W79" s="12">
        <v>1.7048162</v>
      </c>
      <c r="X79" s="12">
        <v>-7.9722917000000004</v>
      </c>
      <c r="Y79" s="12">
        <v>-2.4628074</v>
      </c>
      <c r="Z79" s="12">
        <v>3.7345799999999998E-2</v>
      </c>
      <c r="AA79" s="12">
        <v>52.550660899999997</v>
      </c>
      <c r="AB79" s="12">
        <v>17.8348525</v>
      </c>
      <c r="AC79" s="12">
        <v>27.363474100000001</v>
      </c>
      <c r="AD79" s="12">
        <v>24.644351700000001</v>
      </c>
      <c r="AE79" s="12">
        <v>21.3882409</v>
      </c>
      <c r="AF79" s="12">
        <v>-0.29259590000000002</v>
      </c>
      <c r="AG79" s="7" t="s">
        <v>107</v>
      </c>
    </row>
    <row r="80" spans="1:33" s="11" customFormat="1" outlineLevel="1" x14ac:dyDescent="0.3">
      <c r="A80" s="11" t="s">
        <v>86</v>
      </c>
      <c r="B80" s="12">
        <v>1.866331</v>
      </c>
      <c r="C80" s="12">
        <v>100.89333329999999</v>
      </c>
      <c r="D80" s="12">
        <v>0.7690515</v>
      </c>
      <c r="E80" s="17">
        <v>0</v>
      </c>
      <c r="F80" s="13">
        <v>49.186666700000004</v>
      </c>
      <c r="G80" s="12">
        <v>14.0792625</v>
      </c>
      <c r="H80" s="12">
        <v>18.599681100000002</v>
      </c>
      <c r="I80" s="12">
        <v>-8.4142746000000006</v>
      </c>
      <c r="J80" s="12">
        <v>0.5</v>
      </c>
      <c r="K80" s="12">
        <v>-1.3</v>
      </c>
      <c r="L80" s="12">
        <v>1.5</v>
      </c>
      <c r="M80" s="12">
        <v>2</v>
      </c>
      <c r="N80" s="12">
        <v>5.7</v>
      </c>
      <c r="O80" s="12">
        <v>5</v>
      </c>
      <c r="P80" s="12">
        <v>72632.666666699995</v>
      </c>
      <c r="Q80" s="12">
        <v>4106.6666667</v>
      </c>
      <c r="R80" s="12">
        <v>5.3666666999999997</v>
      </c>
      <c r="S80" s="12">
        <v>8.5240481999999993</v>
      </c>
      <c r="T80" s="12">
        <v>10</v>
      </c>
      <c r="U80" s="12">
        <v>108.671189</v>
      </c>
      <c r="V80" s="12">
        <v>68.126666700000001</v>
      </c>
      <c r="W80" s="12">
        <v>4.0282618000000001</v>
      </c>
      <c r="X80" s="12">
        <v>3.0155322</v>
      </c>
      <c r="Y80" s="12">
        <v>6.3973218000000003</v>
      </c>
      <c r="Z80" s="12">
        <v>2.6296605</v>
      </c>
      <c r="AA80" s="12">
        <v>50.7985221</v>
      </c>
      <c r="AB80" s="12">
        <v>16.777428700000002</v>
      </c>
      <c r="AC80" s="12">
        <v>27.6102433</v>
      </c>
      <c r="AD80" s="12">
        <v>25.238719499999998</v>
      </c>
      <c r="AE80" s="12">
        <v>19.675495600000001</v>
      </c>
      <c r="AF80" s="12">
        <v>1.1194979</v>
      </c>
      <c r="AG80" s="7" t="s">
        <v>107</v>
      </c>
    </row>
    <row r="81" spans="1:33" s="11" customFormat="1" outlineLevel="1" x14ac:dyDescent="0.3">
      <c r="A81" s="11" t="s">
        <v>87</v>
      </c>
      <c r="B81" s="12">
        <v>3.0351661999999999</v>
      </c>
      <c r="C81" s="12">
        <v>101</v>
      </c>
      <c r="D81" s="12">
        <v>1.766642</v>
      </c>
      <c r="E81" s="17">
        <v>0</v>
      </c>
      <c r="F81" s="13">
        <v>53.68</v>
      </c>
      <c r="G81" s="12">
        <v>8.7290696000000008</v>
      </c>
      <c r="H81" s="12">
        <v>19.748007099999999</v>
      </c>
      <c r="I81" s="12">
        <v>0.70005830000000002</v>
      </c>
      <c r="J81" s="12">
        <v>1.2999997999999999</v>
      </c>
      <c r="K81" s="12">
        <v>1.6</v>
      </c>
      <c r="L81" s="12">
        <v>2.5</v>
      </c>
      <c r="M81" s="12">
        <v>5.7</v>
      </c>
      <c r="N81" s="12">
        <v>7.1</v>
      </c>
      <c r="O81" s="12">
        <v>15.4</v>
      </c>
      <c r="P81" s="12">
        <v>71548.333333300005</v>
      </c>
      <c r="Q81" s="12">
        <v>4207.6666667</v>
      </c>
      <c r="R81" s="12">
        <v>5.5333332999999998</v>
      </c>
      <c r="S81" s="12">
        <v>6.3</v>
      </c>
      <c r="T81" s="12">
        <v>9.75</v>
      </c>
      <c r="U81" s="12">
        <v>109.9429324</v>
      </c>
      <c r="V81" s="12">
        <v>62.626666700000001</v>
      </c>
      <c r="W81" s="12">
        <v>3.9224920000000001</v>
      </c>
      <c r="X81" s="12">
        <v>38.684512499999997</v>
      </c>
      <c r="Y81" s="12">
        <v>27.590236999999998</v>
      </c>
      <c r="Z81" s="12">
        <v>6.0353705</v>
      </c>
      <c r="AA81" s="12">
        <v>54.598926499999997</v>
      </c>
      <c r="AB81" s="12">
        <v>19.986768699999999</v>
      </c>
      <c r="AC81" s="12">
        <v>15.6547234</v>
      </c>
      <c r="AD81" s="12">
        <v>27.096413800000001</v>
      </c>
      <c r="AE81" s="12">
        <v>18.750498799999999</v>
      </c>
      <c r="AF81" s="12">
        <v>2.9939493000000001</v>
      </c>
      <c r="AG81" s="7" t="s">
        <v>107</v>
      </c>
    </row>
    <row r="82" spans="1:33" s="11" customFormat="1" outlineLevel="1" x14ac:dyDescent="0.3">
      <c r="A82" s="11" t="s">
        <v>88</v>
      </c>
      <c r="B82" s="12">
        <v>2.3084487</v>
      </c>
      <c r="C82" s="12">
        <v>102.11333329999999</v>
      </c>
      <c r="D82" s="12">
        <v>1.6862509999999999</v>
      </c>
      <c r="E82" s="17">
        <v>0</v>
      </c>
      <c r="F82" s="13">
        <v>49.67</v>
      </c>
      <c r="G82" s="12">
        <v>4.2345969999999999</v>
      </c>
      <c r="H82" s="12">
        <v>12.4237647</v>
      </c>
      <c r="I82" s="12">
        <v>-0.36310589999999998</v>
      </c>
      <c r="J82" s="12">
        <v>2.2999999</v>
      </c>
      <c r="K82" s="12">
        <v>3.8</v>
      </c>
      <c r="L82" s="12">
        <v>2.6</v>
      </c>
      <c r="M82" s="12">
        <v>15.3</v>
      </c>
      <c r="N82" s="12">
        <v>3.3</v>
      </c>
      <c r="O82" s="12">
        <v>21.9</v>
      </c>
      <c r="P82" s="12">
        <v>71896</v>
      </c>
      <c r="Q82" s="12">
        <v>3947</v>
      </c>
      <c r="R82" s="12">
        <v>5.2</v>
      </c>
      <c r="S82" s="12">
        <v>7.8</v>
      </c>
      <c r="T82" s="12">
        <v>9</v>
      </c>
      <c r="U82" s="12">
        <v>110.93586879999999</v>
      </c>
      <c r="V82" s="12">
        <v>62.7766667</v>
      </c>
      <c r="W82" s="12">
        <v>5.3658719000000001</v>
      </c>
      <c r="X82" s="12">
        <v>25.806019299999999</v>
      </c>
      <c r="Y82" s="12">
        <v>29.879019599999999</v>
      </c>
      <c r="Z82" s="12">
        <v>0.40289459999999999</v>
      </c>
      <c r="AA82" s="12">
        <v>53.753668699999999</v>
      </c>
      <c r="AB82" s="12">
        <v>19.0545726</v>
      </c>
      <c r="AC82" s="12">
        <v>23.142160000000001</v>
      </c>
      <c r="AD82" s="12">
        <v>25.686237299999998</v>
      </c>
      <c r="AE82" s="12">
        <v>21.1442199</v>
      </c>
      <c r="AF82" s="12">
        <v>5.7877368999999996</v>
      </c>
      <c r="AG82" s="7" t="s">
        <v>107</v>
      </c>
    </row>
    <row r="83" spans="1:33" s="11" customFormat="1" outlineLevel="1" x14ac:dyDescent="0.3">
      <c r="A83" s="11" t="s">
        <v>89</v>
      </c>
      <c r="B83" s="12">
        <v>3.0333996999999999</v>
      </c>
      <c r="C83" s="12">
        <v>102.1166667</v>
      </c>
      <c r="D83" s="12">
        <v>1.6895705000000001</v>
      </c>
      <c r="E83" s="17">
        <v>0</v>
      </c>
      <c r="F83" s="13">
        <v>52.11</v>
      </c>
      <c r="G83" s="12">
        <v>4.7172442999999999</v>
      </c>
      <c r="H83" s="12">
        <v>10.3378508</v>
      </c>
      <c r="I83" s="12">
        <v>1.3695145</v>
      </c>
      <c r="J83" s="12">
        <v>2.6</v>
      </c>
      <c r="K83" s="12">
        <v>4.5999999999999996</v>
      </c>
      <c r="L83" s="12">
        <v>2.5</v>
      </c>
      <c r="M83" s="12">
        <v>7.5</v>
      </c>
      <c r="N83" s="12">
        <v>4.5</v>
      </c>
      <c r="O83" s="12">
        <v>17</v>
      </c>
      <c r="P83" s="12">
        <v>72683.666666699995</v>
      </c>
      <c r="Q83" s="12">
        <v>3837.3333333</v>
      </c>
      <c r="R83" s="12">
        <v>5</v>
      </c>
      <c r="S83" s="12">
        <v>6.7</v>
      </c>
      <c r="T83" s="12">
        <v>8.5</v>
      </c>
      <c r="U83" s="12">
        <v>111.2289136</v>
      </c>
      <c r="V83" s="12">
        <v>69.276666700000007</v>
      </c>
      <c r="W83" s="12">
        <v>4.5639786000000004</v>
      </c>
      <c r="X83" s="12">
        <v>11.7910301</v>
      </c>
      <c r="Y83" s="12">
        <v>14.996507599999999</v>
      </c>
      <c r="Z83" s="12">
        <v>-0.8337485</v>
      </c>
      <c r="AA83" s="12">
        <v>52.7299352</v>
      </c>
      <c r="AB83" s="12">
        <v>17.655628</v>
      </c>
      <c r="AC83" s="12">
        <v>26.792908700000002</v>
      </c>
      <c r="AD83" s="12">
        <v>24.803298699999999</v>
      </c>
      <c r="AE83" s="12">
        <v>22.136572000000001</v>
      </c>
      <c r="AF83" s="12">
        <v>8.7463896999999999</v>
      </c>
      <c r="AG83" s="7" t="s">
        <v>107</v>
      </c>
    </row>
    <row r="84" spans="1:33" s="11" customFormat="1" outlineLevel="1" x14ac:dyDescent="0.3">
      <c r="A84" s="11" t="s">
        <v>90</v>
      </c>
      <c r="B84" s="12">
        <v>2.9900169999999999</v>
      </c>
      <c r="C84" s="12">
        <v>102.6233333</v>
      </c>
      <c r="D84" s="12">
        <v>1.7146821999999999</v>
      </c>
      <c r="E84" s="17">
        <v>0</v>
      </c>
      <c r="F84" s="13">
        <v>61.53</v>
      </c>
      <c r="G84" s="12">
        <v>-1.0527588999999999</v>
      </c>
      <c r="H84" s="12">
        <v>1.937684</v>
      </c>
      <c r="I84" s="12">
        <v>-6.7851071999999997</v>
      </c>
      <c r="J84" s="12">
        <v>1</v>
      </c>
      <c r="K84" s="12">
        <v>4.7</v>
      </c>
      <c r="L84" s="12">
        <v>2.5</v>
      </c>
      <c r="M84" s="12">
        <v>-1</v>
      </c>
      <c r="N84" s="12">
        <v>5.4</v>
      </c>
      <c r="O84" s="12">
        <v>14.7</v>
      </c>
      <c r="P84" s="12">
        <v>72440</v>
      </c>
      <c r="Q84" s="12">
        <v>3874</v>
      </c>
      <c r="R84" s="12">
        <v>5.0999999999999996</v>
      </c>
      <c r="S84" s="12">
        <v>8.6</v>
      </c>
      <c r="T84" s="12">
        <v>7.75</v>
      </c>
      <c r="U84" s="12">
        <v>111.48753960000001</v>
      </c>
      <c r="V84" s="12">
        <v>68.78</v>
      </c>
      <c r="W84" s="12">
        <v>1.2076633000000001</v>
      </c>
      <c r="X84" s="12">
        <v>11.996521</v>
      </c>
      <c r="Y84" s="12">
        <v>11.9244424</v>
      </c>
      <c r="Z84" s="12">
        <v>2.9320655000000002</v>
      </c>
      <c r="AA84" s="12">
        <v>50.858964399999998</v>
      </c>
      <c r="AB84" s="12">
        <v>16.597553900000001</v>
      </c>
      <c r="AC84" s="12">
        <v>27.444021299999999</v>
      </c>
      <c r="AD84" s="12">
        <v>26.8211008</v>
      </c>
      <c r="AE84" s="12">
        <v>20.863544900000001</v>
      </c>
      <c r="AF84" s="12">
        <v>12.678258100000001</v>
      </c>
      <c r="AG84" s="7" t="s">
        <v>107</v>
      </c>
    </row>
    <row r="85" spans="1:33" s="11" customFormat="1" outlineLevel="1" x14ac:dyDescent="0.3">
      <c r="A85" s="11" t="s">
        <v>91</v>
      </c>
      <c r="B85" s="12">
        <v>2.2828298</v>
      </c>
      <c r="C85" s="12">
        <v>102.5466667</v>
      </c>
      <c r="D85" s="12">
        <v>1.5313532000000001</v>
      </c>
      <c r="E85" s="17">
        <v>0</v>
      </c>
      <c r="F85" s="13">
        <v>66.806666699999994</v>
      </c>
      <c r="G85" s="12">
        <v>2.8761983999999998</v>
      </c>
      <c r="H85" s="12">
        <v>10.8979347</v>
      </c>
      <c r="I85" s="12">
        <v>3.1712153000000001</v>
      </c>
      <c r="J85" s="12">
        <v>2.5999998</v>
      </c>
      <c r="K85" s="12">
        <v>4.3</v>
      </c>
      <c r="L85" s="12">
        <v>1.3</v>
      </c>
      <c r="M85" s="12">
        <v>0.8</v>
      </c>
      <c r="N85" s="12">
        <v>7.1</v>
      </c>
      <c r="O85" s="12">
        <v>9.9</v>
      </c>
      <c r="P85" s="12">
        <v>72056.333333300005</v>
      </c>
      <c r="Q85" s="12">
        <v>3844.6666667</v>
      </c>
      <c r="R85" s="12">
        <v>5.0666666999999999</v>
      </c>
      <c r="S85" s="12">
        <v>12.9898627</v>
      </c>
      <c r="T85" s="12">
        <v>7.25</v>
      </c>
      <c r="U85" s="12">
        <v>112.45635590000001</v>
      </c>
      <c r="V85" s="12">
        <v>69.883333300000004</v>
      </c>
      <c r="W85" s="12">
        <v>2.8578768999999999</v>
      </c>
      <c r="X85" s="12">
        <v>5.5479972000000002</v>
      </c>
      <c r="Y85" s="12">
        <v>3.1140099999999999</v>
      </c>
      <c r="Z85" s="12">
        <v>7.6399042000000001</v>
      </c>
      <c r="AA85" s="12">
        <v>53.418848300000001</v>
      </c>
      <c r="AB85" s="12">
        <v>20.0374075</v>
      </c>
      <c r="AC85" s="12">
        <v>15.2092613</v>
      </c>
      <c r="AD85" s="12">
        <v>29.2282829</v>
      </c>
      <c r="AE85" s="12">
        <v>19.7628737</v>
      </c>
      <c r="AF85" s="12">
        <v>15.656201899999999</v>
      </c>
      <c r="AG85" s="12">
        <v>11.1865404</v>
      </c>
    </row>
    <row r="86" spans="1:33" s="11" customFormat="1" outlineLevel="1" x14ac:dyDescent="0.3">
      <c r="A86" s="11" t="s">
        <v>92</v>
      </c>
      <c r="B86" s="12">
        <v>2.5023559999999998</v>
      </c>
      <c r="C86" s="12">
        <v>104.0133333</v>
      </c>
      <c r="D86" s="12">
        <v>1.8606777000000001</v>
      </c>
      <c r="E86" s="17">
        <v>0</v>
      </c>
      <c r="F86" s="13">
        <v>74.5</v>
      </c>
      <c r="G86" s="12">
        <v>8.1401792000000004</v>
      </c>
      <c r="H86" s="12">
        <v>20.0267564</v>
      </c>
      <c r="I86" s="12">
        <v>3.2118177000000001</v>
      </c>
      <c r="J86" s="12">
        <v>2.7</v>
      </c>
      <c r="K86" s="12">
        <v>4.7</v>
      </c>
      <c r="L86" s="12">
        <v>1.3</v>
      </c>
      <c r="M86" s="12">
        <v>-5.3</v>
      </c>
      <c r="N86" s="12">
        <v>7.8</v>
      </c>
      <c r="O86" s="12">
        <v>2.7</v>
      </c>
      <c r="P86" s="12">
        <v>72443.333333300005</v>
      </c>
      <c r="Q86" s="12">
        <v>3621</v>
      </c>
      <c r="R86" s="12">
        <v>4.7666667</v>
      </c>
      <c r="S86" s="12">
        <v>10.7568447</v>
      </c>
      <c r="T86" s="12">
        <v>7.25</v>
      </c>
      <c r="U86" s="12">
        <v>113.69833199999999</v>
      </c>
      <c r="V86" s="12">
        <v>73.73</v>
      </c>
      <c r="W86" s="12">
        <v>2.927854</v>
      </c>
      <c r="X86" s="12">
        <v>17.321016799999999</v>
      </c>
      <c r="Y86" s="12">
        <v>-0.3537903</v>
      </c>
      <c r="Z86" s="12">
        <v>4.5614255999999997</v>
      </c>
      <c r="AA86" s="12">
        <v>50.764206199999997</v>
      </c>
      <c r="AB86" s="12">
        <v>18.330973799999999</v>
      </c>
      <c r="AC86" s="12">
        <v>23.341034199999999</v>
      </c>
      <c r="AD86" s="12">
        <v>31.051961599999998</v>
      </c>
      <c r="AE86" s="12">
        <v>21.716268800000002</v>
      </c>
      <c r="AF86" s="12">
        <v>18.877986499999999</v>
      </c>
      <c r="AG86" s="12">
        <v>11.6471345</v>
      </c>
    </row>
    <row r="87" spans="1:33" s="11" customFormat="1" outlineLevel="1" x14ac:dyDescent="0.3">
      <c r="A87" s="11" t="s">
        <v>93</v>
      </c>
      <c r="B87" s="12">
        <v>1.7229988000000001</v>
      </c>
      <c r="C87" s="12">
        <v>104.3666667</v>
      </c>
      <c r="D87" s="12">
        <v>2.2033621999999999</v>
      </c>
      <c r="E87" s="17">
        <v>0</v>
      </c>
      <c r="F87" s="13">
        <v>75.223333299999993</v>
      </c>
      <c r="G87" s="12">
        <v>6.0977766000000004</v>
      </c>
      <c r="H87" s="12">
        <v>26.923977000000001</v>
      </c>
      <c r="I87" s="12">
        <v>7.0574326999999997</v>
      </c>
      <c r="J87" s="12">
        <v>2.5999998999999998</v>
      </c>
      <c r="K87" s="12">
        <v>3.9</v>
      </c>
      <c r="L87" s="12">
        <v>1.3</v>
      </c>
      <c r="M87" s="12">
        <v>-2.4</v>
      </c>
      <c r="N87" s="12">
        <v>4.9000000000000004</v>
      </c>
      <c r="O87" s="12">
        <v>-0.1</v>
      </c>
      <c r="P87" s="12">
        <v>73058</v>
      </c>
      <c r="Q87" s="12">
        <v>3514.3333333</v>
      </c>
      <c r="R87" s="12">
        <v>4.5999999999999996</v>
      </c>
      <c r="S87" s="12">
        <v>10.8928458</v>
      </c>
      <c r="T87" s="12">
        <v>7.5</v>
      </c>
      <c r="U87" s="12">
        <v>114.64720579999999</v>
      </c>
      <c r="V87" s="12">
        <v>76.2</v>
      </c>
      <c r="W87" s="12">
        <v>2.8604281999999999</v>
      </c>
      <c r="X87" s="12">
        <v>29.629516200000001</v>
      </c>
      <c r="Y87" s="12">
        <v>0.84662570000000004</v>
      </c>
      <c r="Z87" s="12">
        <v>6.7653372000000003</v>
      </c>
      <c r="AA87" s="12">
        <v>49.525232500000001</v>
      </c>
      <c r="AB87" s="12">
        <v>16.945348800000001</v>
      </c>
      <c r="AC87" s="12">
        <v>24.516448</v>
      </c>
      <c r="AD87" s="12">
        <v>30.820855999999999</v>
      </c>
      <c r="AE87" s="12">
        <v>21.4061606</v>
      </c>
      <c r="AF87" s="12">
        <v>21.513945</v>
      </c>
      <c r="AG87" s="12">
        <v>11.6804726</v>
      </c>
    </row>
    <row r="88" spans="1:33" s="11" customFormat="1" outlineLevel="1" x14ac:dyDescent="0.3">
      <c r="A88" s="11" t="s">
        <v>94</v>
      </c>
      <c r="B88" s="12">
        <v>1.7730376000000001</v>
      </c>
      <c r="C88" s="12">
        <v>104.64</v>
      </c>
      <c r="D88" s="12">
        <v>1.9651152000000001</v>
      </c>
      <c r="E88" s="17">
        <v>0</v>
      </c>
      <c r="F88" s="13">
        <v>67.713333300000002</v>
      </c>
      <c r="G88" s="12">
        <v>5.9239579999999998</v>
      </c>
      <c r="H88" s="12">
        <v>21.9967331</v>
      </c>
      <c r="I88" s="12">
        <v>-1.3636094000000001</v>
      </c>
      <c r="J88" s="12">
        <v>3.1999998999999999</v>
      </c>
      <c r="K88" s="12">
        <v>4.2</v>
      </c>
      <c r="L88" s="12">
        <v>1.3</v>
      </c>
      <c r="M88" s="12">
        <v>0.9</v>
      </c>
      <c r="N88" s="12">
        <v>2.9</v>
      </c>
      <c r="O88" s="12">
        <v>-0.7</v>
      </c>
      <c r="P88" s="12">
        <v>72568.666666699995</v>
      </c>
      <c r="Q88" s="12">
        <v>3654.3333333</v>
      </c>
      <c r="R88" s="12">
        <v>4.7666667</v>
      </c>
      <c r="S88" s="12">
        <v>9.4394846999999995</v>
      </c>
      <c r="T88" s="12">
        <v>7.75</v>
      </c>
      <c r="U88" s="12">
        <v>115.9677033</v>
      </c>
      <c r="V88" s="12">
        <v>75.906666700000002</v>
      </c>
      <c r="W88" s="12">
        <v>5.3861379999999999</v>
      </c>
      <c r="X88" s="12">
        <v>22.524045399999999</v>
      </c>
      <c r="Y88" s="12">
        <v>9.1340400000000002E-2</v>
      </c>
      <c r="Z88" s="12">
        <v>8.8681081000000006</v>
      </c>
      <c r="AA88" s="12">
        <v>48.460016799999998</v>
      </c>
      <c r="AB88" s="12">
        <v>16.1023475</v>
      </c>
      <c r="AC88" s="12">
        <v>23.443747599999998</v>
      </c>
      <c r="AD88" s="12">
        <v>31.750220899999999</v>
      </c>
      <c r="AE88" s="12">
        <v>20.206645999999999</v>
      </c>
      <c r="AF88" s="12">
        <v>22.406534199999999</v>
      </c>
      <c r="AG88" s="12">
        <v>12.1231446</v>
      </c>
    </row>
    <row r="89" spans="1:33" s="11" customFormat="1" outlineLevel="1" x14ac:dyDescent="0.3">
      <c r="A89" s="11" t="s">
        <v>95</v>
      </c>
      <c r="B89" s="12">
        <v>1.9308453999999999</v>
      </c>
      <c r="C89" s="12">
        <v>104.17</v>
      </c>
      <c r="D89" s="12">
        <v>1.5830191</v>
      </c>
      <c r="E89" s="17">
        <v>0</v>
      </c>
      <c r="F89" s="13">
        <v>63.17</v>
      </c>
      <c r="G89" s="12">
        <v>3.7788479000000001</v>
      </c>
      <c r="H89" s="12">
        <v>11.4048964</v>
      </c>
      <c r="I89" s="12">
        <v>5.4238618000000001</v>
      </c>
      <c r="J89" s="12">
        <v>1.3999999000000001</v>
      </c>
      <c r="K89" s="12">
        <v>4</v>
      </c>
      <c r="L89" s="12">
        <v>2.2000000000000002</v>
      </c>
      <c r="M89" s="12">
        <v>-15.6</v>
      </c>
      <c r="N89" s="12">
        <v>3.3</v>
      </c>
      <c r="O89" s="12">
        <v>-1.8</v>
      </c>
      <c r="P89" s="12">
        <v>71401.666666699995</v>
      </c>
      <c r="Q89" s="12">
        <v>3613.3333333</v>
      </c>
      <c r="R89" s="12">
        <v>4.8333332999999996</v>
      </c>
      <c r="S89" s="12">
        <v>8.0659068999999999</v>
      </c>
      <c r="T89" s="12">
        <v>7.75</v>
      </c>
      <c r="U89" s="12">
        <v>118.4607529</v>
      </c>
      <c r="V89" s="12">
        <v>75.150099999999995</v>
      </c>
      <c r="W89" s="12">
        <v>3.1751242</v>
      </c>
      <c r="X89" s="12">
        <v>8.8471767999999997</v>
      </c>
      <c r="Y89" s="12">
        <v>4.0575380000000001</v>
      </c>
      <c r="Z89" s="12">
        <v>9.0404356000000003</v>
      </c>
      <c r="AA89" s="12">
        <v>53.342730699999997</v>
      </c>
      <c r="AB89" s="12">
        <v>19.868256299999999</v>
      </c>
      <c r="AC89" s="12">
        <v>14.350267000000001</v>
      </c>
      <c r="AD89" s="12">
        <v>31.242734500000001</v>
      </c>
      <c r="AE89" s="12">
        <v>20.212444900000001</v>
      </c>
      <c r="AF89" s="12">
        <v>23.570907600000002</v>
      </c>
      <c r="AG89" s="12">
        <v>11.680612</v>
      </c>
    </row>
    <row r="90" spans="1:33" s="11" customFormat="1" outlineLevel="1" x14ac:dyDescent="0.3">
      <c r="A90" s="11" t="s">
        <v>96</v>
      </c>
      <c r="B90" s="12">
        <v>1.5959346999999999</v>
      </c>
      <c r="C90" s="12">
        <v>105.7566667</v>
      </c>
      <c r="D90" s="12">
        <v>1.6760672000000001</v>
      </c>
      <c r="E90" s="17">
        <v>0</v>
      </c>
      <c r="F90" s="13">
        <v>68.923333299999996</v>
      </c>
      <c r="G90" s="12">
        <v>5.1723317</v>
      </c>
      <c r="H90" s="12">
        <v>10.292689299999999</v>
      </c>
      <c r="I90" s="12">
        <v>4.8917972000000001</v>
      </c>
      <c r="J90" s="12">
        <v>1.3999998</v>
      </c>
      <c r="K90" s="12">
        <v>3.8</v>
      </c>
      <c r="L90" s="12">
        <v>2.2999999999999998</v>
      </c>
      <c r="M90" s="12">
        <v>0.4</v>
      </c>
      <c r="N90" s="12">
        <v>-2.2999999999999998</v>
      </c>
      <c r="O90" s="12">
        <v>-0.2</v>
      </c>
      <c r="P90" s="12">
        <v>71636.666666699995</v>
      </c>
      <c r="Q90" s="12">
        <v>3430</v>
      </c>
      <c r="R90" s="12">
        <v>4.5333332999999998</v>
      </c>
      <c r="S90" s="12">
        <v>9.0009820000000005</v>
      </c>
      <c r="T90" s="12">
        <v>7.5</v>
      </c>
      <c r="U90" s="12">
        <v>119.51759869999999</v>
      </c>
      <c r="V90" s="12">
        <v>72.518466700000005</v>
      </c>
      <c r="W90" s="12">
        <v>3.1218205000000001</v>
      </c>
      <c r="X90" s="12">
        <v>-0.80632919999999997</v>
      </c>
      <c r="Y90" s="12">
        <v>4.3271481999999999</v>
      </c>
      <c r="Z90" s="12">
        <v>2.5350676000000001</v>
      </c>
      <c r="AA90" s="12">
        <v>51.668902000000003</v>
      </c>
      <c r="AB90" s="12">
        <v>18.609697400000002</v>
      </c>
      <c r="AC90" s="12">
        <v>21.8862509</v>
      </c>
      <c r="AD90" s="12">
        <v>28.408563999999998</v>
      </c>
      <c r="AE90" s="12">
        <v>20.939899700000002</v>
      </c>
      <c r="AF90" s="12">
        <v>22.8053767</v>
      </c>
      <c r="AG90" s="12">
        <v>12.351547399999999</v>
      </c>
    </row>
    <row r="91" spans="1:33" s="11" customFormat="1" outlineLevel="1" x14ac:dyDescent="0.3">
      <c r="A91" s="11" t="s">
        <v>97</v>
      </c>
      <c r="B91" s="12">
        <v>2.3612953000000001</v>
      </c>
      <c r="C91" s="12">
        <v>105.74</v>
      </c>
      <c r="D91" s="12">
        <v>1.3158734999999999</v>
      </c>
      <c r="E91" s="17">
        <v>0</v>
      </c>
      <c r="F91" s="13">
        <v>61.93</v>
      </c>
      <c r="G91" s="12">
        <v>13.1936588</v>
      </c>
      <c r="H91" s="12">
        <v>4.6861847000000001</v>
      </c>
      <c r="I91" s="12">
        <v>4.7842612999999998</v>
      </c>
      <c r="J91" s="12">
        <v>2.7999999</v>
      </c>
      <c r="K91" s="12">
        <v>3.8</v>
      </c>
      <c r="L91" s="12">
        <v>2.5</v>
      </c>
      <c r="M91" s="12">
        <v>4.8</v>
      </c>
      <c r="N91" s="12">
        <v>2.1</v>
      </c>
      <c r="O91" s="12">
        <v>4.5999999999999996</v>
      </c>
      <c r="P91" s="12">
        <v>72301.666666699995</v>
      </c>
      <c r="Q91" s="12">
        <v>3331</v>
      </c>
      <c r="R91" s="12">
        <v>4.4333333000000001</v>
      </c>
      <c r="S91" s="12">
        <v>9.1279217999999993</v>
      </c>
      <c r="T91" s="12">
        <v>7</v>
      </c>
      <c r="U91" s="12">
        <v>119.6683156</v>
      </c>
      <c r="V91" s="12">
        <v>71.825400000000002</v>
      </c>
      <c r="W91" s="12">
        <v>4.4001903000000002</v>
      </c>
      <c r="X91" s="12">
        <v>-2.1307467999999998</v>
      </c>
      <c r="Y91" s="12">
        <v>9.8648208999999998</v>
      </c>
      <c r="Z91" s="12">
        <v>2.4483988999999999</v>
      </c>
      <c r="AA91" s="12">
        <v>51.294305399999999</v>
      </c>
      <c r="AB91" s="12">
        <v>17.523793399999999</v>
      </c>
      <c r="AC91" s="12">
        <v>26.873955800000001</v>
      </c>
      <c r="AD91" s="12">
        <v>27.2838897</v>
      </c>
      <c r="AE91" s="12">
        <v>21.307039</v>
      </c>
      <c r="AF91" s="12">
        <v>20.678015899999998</v>
      </c>
      <c r="AG91" s="12">
        <v>12.8202254</v>
      </c>
    </row>
    <row r="92" spans="1:33" s="11" customFormat="1" outlineLevel="1" x14ac:dyDescent="0.3">
      <c r="A92" s="11" t="s">
        <v>98</v>
      </c>
      <c r="B92" s="12">
        <v>1.3592039</v>
      </c>
      <c r="C92" s="12">
        <v>106.0066667</v>
      </c>
      <c r="D92" s="12">
        <v>1.3060653</v>
      </c>
      <c r="E92" s="17">
        <v>0</v>
      </c>
      <c r="F92" s="13">
        <v>63.41</v>
      </c>
      <c r="G92" s="12">
        <v>12.2832284</v>
      </c>
      <c r="H92" s="12">
        <v>-0.78015089999999998</v>
      </c>
      <c r="I92" s="12">
        <v>-6.2552935999999999</v>
      </c>
      <c r="J92" s="12">
        <v>3.0999998999999998</v>
      </c>
      <c r="K92" s="12">
        <v>3.6</v>
      </c>
      <c r="L92" s="12">
        <v>2.5</v>
      </c>
      <c r="M92" s="12">
        <v>14.3</v>
      </c>
      <c r="N92" s="12">
        <v>0.1</v>
      </c>
      <c r="O92" s="12">
        <v>10.1</v>
      </c>
      <c r="P92" s="12">
        <v>72392.333333300005</v>
      </c>
      <c r="Q92" s="12">
        <v>3485.3333333</v>
      </c>
      <c r="R92" s="12">
        <v>4.5999999999999996</v>
      </c>
      <c r="S92" s="12">
        <v>10.3751675</v>
      </c>
      <c r="T92" s="12">
        <v>6.25</v>
      </c>
      <c r="U92" s="12">
        <v>119.9832093</v>
      </c>
      <c r="V92" s="12">
        <v>70.540833300000003</v>
      </c>
      <c r="W92" s="12">
        <v>2.8296375</v>
      </c>
      <c r="X92" s="12">
        <v>-5.1443355000000004</v>
      </c>
      <c r="Y92" s="12">
        <v>13.2499533</v>
      </c>
      <c r="Z92" s="12">
        <v>2.2904437</v>
      </c>
      <c r="AA92" s="12">
        <v>50.395531200000001</v>
      </c>
      <c r="AB92" s="12">
        <v>16.747664</v>
      </c>
      <c r="AC92" s="12">
        <v>26.184107600000001</v>
      </c>
      <c r="AD92" s="12">
        <v>27.2382262</v>
      </c>
      <c r="AE92" s="12">
        <v>20.661724799999998</v>
      </c>
      <c r="AF92" s="12">
        <v>18.450173899999999</v>
      </c>
      <c r="AG92" s="12">
        <v>12.378035000000001</v>
      </c>
    </row>
    <row r="93" spans="1:33" s="11" customFormat="1" outlineLevel="1" x14ac:dyDescent="0.3">
      <c r="A93" s="11" t="s">
        <v>99</v>
      </c>
      <c r="B93" s="12">
        <v>-2.2061226999999999</v>
      </c>
      <c r="C93" s="12">
        <v>105.74666670000001</v>
      </c>
      <c r="D93" s="12">
        <v>1.5135516</v>
      </c>
      <c r="E93" s="17">
        <v>0</v>
      </c>
      <c r="F93" s="13">
        <v>50.44</v>
      </c>
      <c r="G93" s="12">
        <v>16.896049600000001</v>
      </c>
      <c r="H93" s="12">
        <v>6.0963551999999996</v>
      </c>
      <c r="I93" s="12">
        <v>2.4989899000000002</v>
      </c>
      <c r="J93" s="12">
        <v>1.5000001000000001</v>
      </c>
      <c r="K93" s="12">
        <v>5.4</v>
      </c>
      <c r="L93" s="12">
        <v>1.5</v>
      </c>
      <c r="M93" s="12">
        <v>-2.5</v>
      </c>
      <c r="N93" s="12">
        <v>-2.2999999999999998</v>
      </c>
      <c r="O93" s="12">
        <v>1.4</v>
      </c>
      <c r="P93" s="12">
        <v>71289</v>
      </c>
      <c r="Q93" s="12">
        <v>3464</v>
      </c>
      <c r="R93" s="12">
        <v>4.6666667000000004</v>
      </c>
      <c r="S93" s="12">
        <v>10.0480973</v>
      </c>
      <c r="T93" s="12">
        <v>6</v>
      </c>
      <c r="U93" s="12">
        <v>121.38466769999999</v>
      </c>
      <c r="V93" s="12">
        <v>73.107933299999999</v>
      </c>
      <c r="W93" s="12">
        <v>3.1409134000000001</v>
      </c>
      <c r="X93" s="12">
        <v>-8.6065397000000008</v>
      </c>
      <c r="Y93" s="12">
        <v>3.6778203</v>
      </c>
      <c r="Z93" s="12">
        <v>6.3592250999999997</v>
      </c>
      <c r="AA93" s="12">
        <v>57.131520700000003</v>
      </c>
      <c r="AB93" s="12">
        <v>21.202480900000001</v>
      </c>
      <c r="AC93" s="12">
        <v>14.607923</v>
      </c>
      <c r="AD93" s="12">
        <v>27.4198162</v>
      </c>
      <c r="AE93" s="12">
        <v>20.106605099999999</v>
      </c>
      <c r="AF93" s="12">
        <v>17.827889899999999</v>
      </c>
      <c r="AG93" s="12">
        <v>13.507934199999999</v>
      </c>
    </row>
    <row r="94" spans="1:33" s="11" customFormat="1" outlineLevel="1" x14ac:dyDescent="0.3">
      <c r="A94" s="11" t="s">
        <v>100</v>
      </c>
      <c r="B94" s="12">
        <v>-13.380244299999999</v>
      </c>
      <c r="C94" s="12">
        <v>106.50333329999999</v>
      </c>
      <c r="D94" s="12">
        <v>0.70602319999999996</v>
      </c>
      <c r="E94" s="17">
        <v>0</v>
      </c>
      <c r="F94" s="13">
        <v>29.343333300000001</v>
      </c>
      <c r="G94" s="12">
        <v>17.891081100000001</v>
      </c>
      <c r="H94" s="12">
        <v>-12.511715799999999</v>
      </c>
      <c r="I94" s="12">
        <v>-6.1879644000000003</v>
      </c>
      <c r="J94" s="12">
        <v>-7.3</v>
      </c>
      <c r="K94" s="12">
        <v>-19.8</v>
      </c>
      <c r="L94" s="12">
        <v>2</v>
      </c>
      <c r="M94" s="12">
        <v>-8</v>
      </c>
      <c r="N94" s="12">
        <v>0.2</v>
      </c>
      <c r="O94" s="12">
        <v>-22.1</v>
      </c>
      <c r="P94" s="12">
        <v>70111.666666699995</v>
      </c>
      <c r="Q94" s="12">
        <v>4468.3333333</v>
      </c>
      <c r="R94" s="12">
        <v>6.0333332999999998</v>
      </c>
      <c r="S94" s="12">
        <v>4.7291917000000003</v>
      </c>
      <c r="T94" s="12">
        <v>4.5</v>
      </c>
      <c r="U94" s="12">
        <v>123.2864704</v>
      </c>
      <c r="V94" s="12">
        <v>79.644733299999999</v>
      </c>
      <c r="W94" s="12">
        <v>-6.2216011</v>
      </c>
      <c r="X94" s="12">
        <v>-29.716931200000001</v>
      </c>
      <c r="Y94" s="12">
        <v>-21.727877800000002</v>
      </c>
      <c r="Z94" s="12">
        <v>0.38507079999999999</v>
      </c>
      <c r="AA94" s="12">
        <v>48.176198999999997</v>
      </c>
      <c r="AB94" s="12">
        <v>22.583815699999999</v>
      </c>
      <c r="AC94" s="12">
        <v>24.8054366</v>
      </c>
      <c r="AD94" s="12">
        <v>24.5513929</v>
      </c>
      <c r="AE94" s="12">
        <v>20.111515799999999</v>
      </c>
      <c r="AF94" s="12">
        <v>12.612415800000001</v>
      </c>
      <c r="AG94" s="12">
        <v>13.691926199999999</v>
      </c>
    </row>
    <row r="95" spans="1:33" s="11" customFormat="1" outlineLevel="1" x14ac:dyDescent="0.3">
      <c r="A95" s="11" t="s">
        <v>101</v>
      </c>
      <c r="B95" s="12">
        <v>-3.6984297000000002</v>
      </c>
      <c r="C95" s="12">
        <v>106.27</v>
      </c>
      <c r="D95" s="12">
        <v>0.50122940000000005</v>
      </c>
      <c r="E95" s="17">
        <v>0</v>
      </c>
      <c r="F95" s="13">
        <v>42.963333300000002</v>
      </c>
      <c r="G95" s="12">
        <v>11.4812648</v>
      </c>
      <c r="H95" s="12">
        <v>-13.6251529</v>
      </c>
      <c r="I95" s="12">
        <v>-3.6370787999999998</v>
      </c>
      <c r="J95" s="12">
        <v>-3.3000001999999999</v>
      </c>
      <c r="K95" s="12">
        <v>-5.7</v>
      </c>
      <c r="L95" s="12">
        <v>2.1</v>
      </c>
      <c r="M95" s="12">
        <v>-11.7</v>
      </c>
      <c r="N95" s="12">
        <v>-7.9</v>
      </c>
      <c r="O95" s="12">
        <v>-19.600000000000001</v>
      </c>
      <c r="P95" s="12">
        <v>70402</v>
      </c>
      <c r="Q95" s="12">
        <v>4772</v>
      </c>
      <c r="R95" s="12">
        <v>6.3333332999999996</v>
      </c>
      <c r="S95" s="12">
        <v>7.3283576000000004</v>
      </c>
      <c r="T95" s="12">
        <v>4.25</v>
      </c>
      <c r="U95" s="12">
        <v>123.9485267</v>
      </c>
      <c r="V95" s="12">
        <v>85.993200000000002</v>
      </c>
      <c r="W95" s="12">
        <v>-4.3239840999999997</v>
      </c>
      <c r="X95" s="12">
        <v>-28.736438400000001</v>
      </c>
      <c r="Y95" s="12">
        <v>-23.967587000000002</v>
      </c>
      <c r="Z95" s="12">
        <v>0.99574189999999996</v>
      </c>
      <c r="AA95" s="12">
        <v>51.518627500000001</v>
      </c>
      <c r="AB95" s="12">
        <v>19.364246600000001</v>
      </c>
      <c r="AC95" s="12">
        <v>24.761158600000002</v>
      </c>
      <c r="AD95" s="12">
        <v>23.7495075</v>
      </c>
      <c r="AE95" s="12">
        <v>19.755447199999999</v>
      </c>
      <c r="AF95" s="12">
        <v>13.566919499999999</v>
      </c>
      <c r="AG95" s="12">
        <v>15.247885500000001</v>
      </c>
    </row>
    <row r="96" spans="1:33" s="11" customFormat="1" outlineLevel="1" x14ac:dyDescent="0.3">
      <c r="A96" s="11" t="s">
        <v>102</v>
      </c>
      <c r="B96" s="12">
        <v>-3.2236577</v>
      </c>
      <c r="C96" s="12">
        <v>106.2833333</v>
      </c>
      <c r="D96" s="12">
        <v>0.26098979999999999</v>
      </c>
      <c r="E96" s="17">
        <v>0</v>
      </c>
      <c r="F96" s="13">
        <v>44.29</v>
      </c>
      <c r="G96" s="12">
        <v>10.539213200000001</v>
      </c>
      <c r="H96" s="12">
        <v>7.2191462</v>
      </c>
      <c r="I96" s="12">
        <v>-7.8029276000000003</v>
      </c>
      <c r="J96" s="12">
        <v>-1.2999999</v>
      </c>
      <c r="K96" s="12">
        <v>-3.4</v>
      </c>
      <c r="L96" s="12">
        <v>2.1</v>
      </c>
      <c r="M96" s="12">
        <v>4.4000000000000004</v>
      </c>
      <c r="N96" s="12">
        <v>-6.2</v>
      </c>
      <c r="O96" s="12">
        <v>-4.9000000000000004</v>
      </c>
      <c r="P96" s="12">
        <v>70603</v>
      </c>
      <c r="Q96" s="12">
        <v>4581</v>
      </c>
      <c r="R96" s="12">
        <v>6.1</v>
      </c>
      <c r="S96" s="12">
        <v>8.3945787999999997</v>
      </c>
      <c r="T96" s="12">
        <v>4.25</v>
      </c>
      <c r="U96" s="12">
        <v>125.3422972</v>
      </c>
      <c r="V96" s="12">
        <v>90.812333300000006</v>
      </c>
      <c r="W96" s="12">
        <v>-0.78303920000000005</v>
      </c>
      <c r="X96" s="12">
        <v>-21.897538999999998</v>
      </c>
      <c r="Y96" s="12">
        <v>-15.7453746</v>
      </c>
      <c r="Z96" s="12">
        <v>1.582846</v>
      </c>
      <c r="AA96" s="12">
        <v>49.515090000000001</v>
      </c>
      <c r="AB96" s="12">
        <v>17.541517500000001</v>
      </c>
      <c r="AC96" s="12">
        <v>28.3117652</v>
      </c>
      <c r="AD96" s="12">
        <v>26.327805900000001</v>
      </c>
      <c r="AE96" s="12">
        <v>21.5808407</v>
      </c>
      <c r="AF96" s="12">
        <v>13.557031800000001</v>
      </c>
      <c r="AG96" s="12">
        <v>17.593101600000001</v>
      </c>
    </row>
    <row r="97" spans="1:33" s="11" customFormat="1" outlineLevel="1" x14ac:dyDescent="0.3">
      <c r="A97" s="11" t="s">
        <v>103</v>
      </c>
      <c r="B97" s="12">
        <v>-0.1765746</v>
      </c>
      <c r="C97" s="12">
        <v>107.21</v>
      </c>
      <c r="D97" s="12">
        <v>1.3838102999999999</v>
      </c>
      <c r="E97" s="17">
        <v>0</v>
      </c>
      <c r="F97" s="13">
        <v>60.82</v>
      </c>
      <c r="G97" s="12">
        <v>9.1256012999999996</v>
      </c>
      <c r="H97" s="12">
        <v>8.9513812999999995</v>
      </c>
      <c r="I97" s="12">
        <v>2.3695046999999998</v>
      </c>
      <c r="J97" s="12">
        <v>0.49999979999999999</v>
      </c>
      <c r="K97" s="12">
        <v>-2.6</v>
      </c>
      <c r="L97" s="12">
        <v>2.6</v>
      </c>
      <c r="M97" s="12">
        <v>16</v>
      </c>
      <c r="N97" s="12">
        <v>-0.9</v>
      </c>
      <c r="O97" s="12">
        <v>2</v>
      </c>
      <c r="P97" s="12">
        <v>70827.666666699995</v>
      </c>
      <c r="Q97" s="12">
        <v>4206</v>
      </c>
      <c r="R97" s="12">
        <v>5.6333333000000003</v>
      </c>
      <c r="S97" s="12">
        <v>7.6442885</v>
      </c>
      <c r="T97" s="12">
        <v>4.5</v>
      </c>
      <c r="U97" s="12">
        <v>128.11969719999999</v>
      </c>
      <c r="V97" s="12">
        <v>89.707999999999998</v>
      </c>
      <c r="W97" s="12">
        <v>-0.48407480000000003</v>
      </c>
      <c r="X97" s="12">
        <v>-7.1327046000000003</v>
      </c>
      <c r="Y97" s="12">
        <v>-4.3898526000000002</v>
      </c>
      <c r="Z97" s="12">
        <v>5.9604230999999999</v>
      </c>
      <c r="AA97" s="12">
        <v>53.251969000000003</v>
      </c>
      <c r="AB97" s="12">
        <v>20.207723699999999</v>
      </c>
      <c r="AC97" s="12">
        <v>18.265692000000001</v>
      </c>
      <c r="AD97" s="12">
        <v>27.892456899999999</v>
      </c>
      <c r="AE97" s="12">
        <v>21.051322800000001</v>
      </c>
      <c r="AF97" s="12">
        <v>16.152775999999999</v>
      </c>
      <c r="AG97" s="12">
        <v>14.4959475</v>
      </c>
    </row>
    <row r="98" spans="1:33" s="11" customFormat="1" outlineLevel="1" x14ac:dyDescent="0.3">
      <c r="A98" s="11" t="s">
        <v>104</v>
      </c>
      <c r="B98" s="12">
        <v>14.630134099999999</v>
      </c>
      <c r="C98" s="12">
        <v>108.82</v>
      </c>
      <c r="D98" s="12">
        <v>2.1752058000000001</v>
      </c>
      <c r="E98" s="17">
        <v>0</v>
      </c>
      <c r="F98" s="13">
        <v>68.833333300000007</v>
      </c>
      <c r="G98" s="12">
        <v>6.6117043999999998</v>
      </c>
      <c r="H98" s="12">
        <v>33.3600402</v>
      </c>
      <c r="I98" s="12">
        <v>2.3395630000000001</v>
      </c>
      <c r="J98" s="12">
        <v>11.2000001</v>
      </c>
      <c r="K98" s="12">
        <v>28.7</v>
      </c>
      <c r="L98" s="12">
        <v>4.0999999999999996</v>
      </c>
      <c r="M98" s="12">
        <v>19.3</v>
      </c>
      <c r="N98" s="12">
        <v>-1.4</v>
      </c>
      <c r="O98" s="12">
        <v>34.9</v>
      </c>
      <c r="P98" s="12">
        <v>71509.666666699995</v>
      </c>
      <c r="Q98" s="12">
        <v>3732.6666667</v>
      </c>
      <c r="R98" s="12">
        <v>4.9666667000000002</v>
      </c>
      <c r="S98" s="12">
        <v>12.742778700000001</v>
      </c>
      <c r="T98" s="12">
        <v>5.5</v>
      </c>
      <c r="U98" s="12">
        <v>130.70340429999999</v>
      </c>
      <c r="V98" s="12">
        <v>89.380966700000002</v>
      </c>
      <c r="W98" s="12">
        <v>10.9602276</v>
      </c>
      <c r="X98" s="12">
        <v>44.828970300000002</v>
      </c>
      <c r="Y98" s="12">
        <v>28.7698143</v>
      </c>
      <c r="Z98" s="12">
        <v>4.0197678000000003</v>
      </c>
      <c r="AA98" s="12">
        <v>50.2371889</v>
      </c>
      <c r="AB98" s="12">
        <v>18.2448604</v>
      </c>
      <c r="AC98" s="12">
        <v>22.120332900000001</v>
      </c>
      <c r="AD98" s="12">
        <v>29.7724859</v>
      </c>
      <c r="AE98" s="12">
        <v>21.679061600000001</v>
      </c>
      <c r="AF98" s="12">
        <v>23.7559197</v>
      </c>
      <c r="AG98" s="12">
        <v>15.042305900000001</v>
      </c>
    </row>
    <row r="99" spans="1:33" s="11" customFormat="1" outlineLevel="1" x14ac:dyDescent="0.3">
      <c r="A99" s="11" t="s">
        <v>105</v>
      </c>
      <c r="B99" s="12">
        <v>4.8925850000000004</v>
      </c>
      <c r="C99" s="12">
        <v>109.55666669999999</v>
      </c>
      <c r="D99" s="12">
        <v>3.0927511999999999</v>
      </c>
      <c r="E99" s="17">
        <v>0</v>
      </c>
      <c r="F99" s="13">
        <v>73.47</v>
      </c>
      <c r="G99" s="12">
        <v>14.861497</v>
      </c>
      <c r="H99" s="12">
        <v>42.0343029</v>
      </c>
      <c r="I99" s="12">
        <v>3.3861560000000002</v>
      </c>
      <c r="J99" s="12">
        <v>5</v>
      </c>
      <c r="K99" s="12">
        <v>9.8000000000000007</v>
      </c>
      <c r="L99" s="12">
        <v>2.6</v>
      </c>
      <c r="M99" s="12">
        <v>8.4</v>
      </c>
      <c r="N99" s="12">
        <v>8.5</v>
      </c>
      <c r="O99" s="12">
        <v>21.6</v>
      </c>
      <c r="P99" s="12">
        <v>72200</v>
      </c>
      <c r="Q99" s="12">
        <v>3366.6666667</v>
      </c>
      <c r="R99" s="12">
        <v>4.4000000000000004</v>
      </c>
      <c r="S99" s="12">
        <v>10.3090533</v>
      </c>
      <c r="T99" s="12">
        <v>6.75</v>
      </c>
      <c r="U99" s="12">
        <v>132.44699900000001</v>
      </c>
      <c r="V99" s="12">
        <v>86.649933300000001</v>
      </c>
      <c r="W99" s="12">
        <v>6.9616654999999996</v>
      </c>
      <c r="X99" s="12">
        <v>61.4947175</v>
      </c>
      <c r="Y99" s="12">
        <v>31.2665085</v>
      </c>
      <c r="Z99" s="12">
        <v>7.3758020000000002</v>
      </c>
      <c r="AA99" s="12">
        <v>48.814253700000002</v>
      </c>
      <c r="AB99" s="12">
        <v>16.648884599999999</v>
      </c>
      <c r="AC99" s="12">
        <v>23.362682800000002</v>
      </c>
      <c r="AD99" s="12">
        <v>30.385034600000001</v>
      </c>
      <c r="AE99" s="12">
        <v>20.540166899999999</v>
      </c>
      <c r="AF99" s="12">
        <v>23.924964899999999</v>
      </c>
      <c r="AG99" s="12">
        <v>15.4243465</v>
      </c>
    </row>
    <row r="100" spans="1:33" s="11" customFormat="1" outlineLevel="1" x14ac:dyDescent="0.3">
      <c r="A100" s="11" t="s">
        <v>106</v>
      </c>
      <c r="B100" s="12">
        <v>5.3916862999999999</v>
      </c>
      <c r="C100" s="12">
        <v>111.5333333</v>
      </c>
      <c r="D100" s="12">
        <v>4.9396268000000001</v>
      </c>
      <c r="E100" s="17">
        <v>0</v>
      </c>
      <c r="F100" s="13">
        <v>79.586666699999995</v>
      </c>
      <c r="G100" s="12">
        <v>11.892162300000001</v>
      </c>
      <c r="H100" s="12">
        <v>21.908982000000002</v>
      </c>
      <c r="I100" s="12">
        <v>-3.8881142999999998</v>
      </c>
      <c r="J100" s="12">
        <v>5.7999998000000001</v>
      </c>
      <c r="K100" s="12">
        <v>7.8</v>
      </c>
      <c r="L100" s="12">
        <v>2.4</v>
      </c>
      <c r="M100" s="12">
        <v>14.5</v>
      </c>
      <c r="N100" s="12">
        <v>6.8</v>
      </c>
      <c r="O100" s="12">
        <v>19.8</v>
      </c>
      <c r="P100" s="12">
        <v>72333.333333300005</v>
      </c>
      <c r="Q100" s="12">
        <v>3233.3333333</v>
      </c>
      <c r="R100" s="12">
        <v>4.3</v>
      </c>
      <c r="S100" s="12">
        <v>12.0127027</v>
      </c>
      <c r="T100" s="12">
        <v>8.5</v>
      </c>
      <c r="U100" s="12">
        <v>135.75992769999999</v>
      </c>
      <c r="V100" s="12">
        <v>83.069066699999993</v>
      </c>
      <c r="W100" s="12">
        <v>7.8169335999999996</v>
      </c>
      <c r="X100" s="12">
        <v>65.017269499999998</v>
      </c>
      <c r="Y100" s="12">
        <v>28.114836700000001</v>
      </c>
      <c r="Z100" s="12">
        <v>8.4962057000000009</v>
      </c>
      <c r="AA100" s="12">
        <v>45.973356299999999</v>
      </c>
      <c r="AB100" s="12">
        <v>15.196392400000001</v>
      </c>
      <c r="AC100" s="12">
        <v>27.3697111</v>
      </c>
      <c r="AD100" s="12">
        <v>30.954967799999999</v>
      </c>
      <c r="AE100" s="12">
        <v>19.692609900000001</v>
      </c>
      <c r="AF100" s="12">
        <v>25.064983399999999</v>
      </c>
      <c r="AG100" s="12">
        <v>15.409353299999999</v>
      </c>
    </row>
    <row r="101" spans="1:33" s="11" customFormat="1" outlineLevel="1" x14ac:dyDescent="0.3">
      <c r="A101" s="11" t="s">
        <v>108</v>
      </c>
      <c r="B101" s="12">
        <v>5.7284746999999996</v>
      </c>
      <c r="C101" s="12">
        <v>114.2266667</v>
      </c>
      <c r="D101" s="12">
        <v>6.5447875</v>
      </c>
      <c r="E101" s="17">
        <v>0</v>
      </c>
      <c r="F101" s="12">
        <v>100.2966667</v>
      </c>
      <c r="G101" s="12">
        <v>12.0442822</v>
      </c>
      <c r="H101" s="12">
        <v>30.0122976</v>
      </c>
      <c r="I101" s="12">
        <v>6.9985594000000004</v>
      </c>
      <c r="J101" s="12">
        <v>3.0000000999999998</v>
      </c>
      <c r="K101" s="12">
        <v>5.8</v>
      </c>
      <c r="L101" s="12">
        <v>1.9</v>
      </c>
      <c r="M101" s="12">
        <v>-7.6</v>
      </c>
      <c r="N101" s="12">
        <v>3.6</v>
      </c>
      <c r="O101" s="12">
        <v>1.4</v>
      </c>
      <c r="P101" s="12">
        <v>71533.333333300005</v>
      </c>
      <c r="Q101" s="12">
        <v>3166.6666667</v>
      </c>
      <c r="R101" s="12">
        <v>4.2</v>
      </c>
      <c r="S101" s="12">
        <v>15.302687300000001</v>
      </c>
      <c r="T101" s="12">
        <v>20</v>
      </c>
      <c r="U101" s="12">
        <v>142.91614240000001</v>
      </c>
      <c r="V101" s="12">
        <v>95.975200000000001</v>
      </c>
      <c r="W101" s="12">
        <v>6.1835449000000002</v>
      </c>
      <c r="X101" s="12">
        <v>73.045862299999996</v>
      </c>
      <c r="Y101" s="12">
        <v>18.629053299999999</v>
      </c>
      <c r="Z101" s="12">
        <v>16.712410899999998</v>
      </c>
      <c r="AA101" s="12">
        <v>48.992955299999998</v>
      </c>
      <c r="AB101" s="12">
        <v>17.327637899999999</v>
      </c>
      <c r="AC101" s="12">
        <v>16.103961099999999</v>
      </c>
      <c r="AD101" s="12">
        <v>39.200793099999999</v>
      </c>
      <c r="AE101" s="12">
        <v>20.718711899999999</v>
      </c>
      <c r="AF101" s="12">
        <v>21.1756463</v>
      </c>
      <c r="AG101" s="12">
        <v>13.7824445</v>
      </c>
    </row>
    <row r="102" spans="1:33" s="11" customFormat="1" outlineLevel="1" x14ac:dyDescent="0.3">
      <c r="A102" s="11" t="s">
        <v>109</v>
      </c>
      <c r="B102" s="12">
        <v>4.2015890999999996</v>
      </c>
      <c r="C102" s="12">
        <v>118.4333333</v>
      </c>
      <c r="D102" s="12">
        <v>8.8341604</v>
      </c>
      <c r="E102" s="17">
        <v>0</v>
      </c>
      <c r="F102" s="12">
        <v>113.5433333</v>
      </c>
      <c r="G102" s="12">
        <v>20.178213700000001</v>
      </c>
      <c r="H102" s="12">
        <v>14.8540016</v>
      </c>
      <c r="I102" s="12">
        <v>0.77208549999999998</v>
      </c>
      <c r="J102" s="12">
        <v>-4.4999998000000003</v>
      </c>
      <c r="K102" s="12">
        <v>-4.4000000000000004</v>
      </c>
      <c r="L102" s="12">
        <v>2.2999999999999998</v>
      </c>
      <c r="M102" s="12">
        <v>-18.7</v>
      </c>
      <c r="N102" s="12">
        <v>-15.8</v>
      </c>
      <c r="O102" s="12">
        <v>-27.6</v>
      </c>
      <c r="P102" s="12">
        <v>71933.333333300005</v>
      </c>
      <c r="Q102" s="12">
        <v>2982.055844</v>
      </c>
      <c r="R102" s="12">
        <v>3.9333333000000001</v>
      </c>
      <c r="S102" s="12">
        <v>11.5004051</v>
      </c>
      <c r="T102" s="12">
        <v>9.5</v>
      </c>
      <c r="U102" s="12">
        <v>152.8457458</v>
      </c>
      <c r="V102" s="12">
        <v>70.645399999999995</v>
      </c>
      <c r="W102" s="12">
        <v>-1.5343772</v>
      </c>
      <c r="X102" s="12">
        <v>44.472962199999998</v>
      </c>
      <c r="Y102" s="12">
        <v>-13.006910299999999</v>
      </c>
      <c r="Z102" s="12">
        <v>14.0341869</v>
      </c>
      <c r="AA102" s="12">
        <v>48.275929699999999</v>
      </c>
      <c r="AB102" s="12">
        <v>18.4654384</v>
      </c>
      <c r="AC102" s="12">
        <v>18.8201167</v>
      </c>
      <c r="AD102" s="12">
        <v>28.416408499999999</v>
      </c>
      <c r="AE102" s="12">
        <v>13.120633700000001</v>
      </c>
      <c r="AF102" s="12">
        <v>12.3774747</v>
      </c>
      <c r="AG102" s="12">
        <v>12.6516097</v>
      </c>
    </row>
    <row r="103" spans="1:33" s="11" customFormat="1" outlineLevel="1" x14ac:dyDescent="0.3">
      <c r="A103" s="11" t="s">
        <v>110</v>
      </c>
      <c r="B103" s="12">
        <v>2.5907767000000002</v>
      </c>
      <c r="C103" s="12">
        <v>120.83</v>
      </c>
      <c r="D103" s="12">
        <v>10.289956500000001</v>
      </c>
      <c r="E103" s="17">
        <v>0.75</v>
      </c>
      <c r="F103" s="12">
        <v>100.7133333</v>
      </c>
      <c r="G103" s="12">
        <v>16.188831400000002</v>
      </c>
      <c r="H103" s="12">
        <v>-6.3659857000000004</v>
      </c>
      <c r="I103" s="12">
        <v>-3.6317602999999998</v>
      </c>
      <c r="J103" s="12">
        <v>-3.5000000999999998</v>
      </c>
      <c r="K103" s="12">
        <v>-3.6</v>
      </c>
      <c r="L103" s="12">
        <v>2.4</v>
      </c>
      <c r="M103" s="12">
        <v>5.6</v>
      </c>
      <c r="N103" s="12">
        <v>-26.6</v>
      </c>
      <c r="O103" s="12">
        <v>-20.5</v>
      </c>
      <c r="P103" s="12">
        <v>72233.333333300005</v>
      </c>
      <c r="Q103" s="12">
        <v>2900</v>
      </c>
      <c r="R103" s="12">
        <v>3.8666667000000001</v>
      </c>
      <c r="S103" s="12">
        <v>13.4226198</v>
      </c>
      <c r="T103" s="12">
        <v>7.5</v>
      </c>
      <c r="U103" s="12">
        <v>151.45318090000001</v>
      </c>
      <c r="V103" s="12">
        <v>59.776433300000001</v>
      </c>
      <c r="W103" s="12">
        <v>-0.29022019999999998</v>
      </c>
      <c r="X103" s="12">
        <v>22.694906400000001</v>
      </c>
      <c r="Y103" s="12">
        <v>3.0484830000000001</v>
      </c>
      <c r="Z103" s="12">
        <v>7.4866311999999997</v>
      </c>
      <c r="AA103" s="12">
        <v>48.768357399999999</v>
      </c>
      <c r="AB103" s="12">
        <v>17.453222799999999</v>
      </c>
      <c r="AC103" s="12">
        <v>24.154214499999998</v>
      </c>
      <c r="AD103" s="12">
        <v>23.7248783</v>
      </c>
      <c r="AE103" s="12">
        <v>13.517030800000001</v>
      </c>
      <c r="AF103" s="12">
        <v>10.142515599999999</v>
      </c>
      <c r="AG103" s="12">
        <v>12.538066499999999</v>
      </c>
    </row>
    <row r="104" spans="1:33" s="11" customFormat="1" outlineLevel="1" x14ac:dyDescent="0.3">
      <c r="A104" s="11" t="s">
        <v>111</v>
      </c>
      <c r="B104" s="12">
        <v>1.4006327999999999</v>
      </c>
      <c r="C104" s="12">
        <v>123.8</v>
      </c>
      <c r="D104" s="12">
        <v>10.9982068</v>
      </c>
      <c r="E104" s="17">
        <v>1.9166666999999999</v>
      </c>
      <c r="F104" s="12">
        <v>88.556666699999994</v>
      </c>
      <c r="G104" s="12">
        <v>19.0258</v>
      </c>
      <c r="H104" s="12">
        <v>7.1114556999999996</v>
      </c>
      <c r="I104" s="12">
        <v>-8.3988768999999994</v>
      </c>
      <c r="J104" s="12">
        <v>-2.6999998999999999</v>
      </c>
      <c r="K104" s="12">
        <v>-2.7</v>
      </c>
      <c r="L104" s="12">
        <v>4.7</v>
      </c>
      <c r="M104" s="12">
        <v>-2.4</v>
      </c>
      <c r="N104" s="12">
        <v>-14.6</v>
      </c>
      <c r="O104" s="12">
        <v>-11.2</v>
      </c>
      <c r="P104" s="12">
        <v>72200</v>
      </c>
      <c r="Q104" s="12">
        <v>2800</v>
      </c>
      <c r="R104" s="12">
        <v>3.7666667</v>
      </c>
      <c r="S104" s="12">
        <v>13.6581394</v>
      </c>
      <c r="T104" s="12">
        <v>7.5</v>
      </c>
      <c r="U104" s="12">
        <v>152.28153359999999</v>
      </c>
      <c r="V104" s="12">
        <v>63.521633299999998</v>
      </c>
      <c r="W104" s="12">
        <v>-1.3983509999999999</v>
      </c>
      <c r="X104" s="12">
        <v>2.6920907999999999</v>
      </c>
      <c r="Y104" s="12">
        <v>5.1363401</v>
      </c>
      <c r="Z104" s="12">
        <v>6.1597159000000001</v>
      </c>
      <c r="AA104" s="12">
        <v>47.303033300000003</v>
      </c>
      <c r="AB104" s="12">
        <v>17.459771100000001</v>
      </c>
      <c r="AC104" s="12">
        <v>28.915956000000001</v>
      </c>
      <c r="AD104" s="12">
        <v>22.5464649</v>
      </c>
      <c r="AE104" s="12">
        <v>15.1663567</v>
      </c>
      <c r="AF104" s="12">
        <v>9.4553508999999991</v>
      </c>
      <c r="AG104" s="12">
        <v>14.689065100000001</v>
      </c>
    </row>
    <row r="105" spans="1:33" s="11" customFormat="1" outlineLevel="1" x14ac:dyDescent="0.3">
      <c r="A105" s="11" t="s">
        <v>112</v>
      </c>
      <c r="B105" s="12">
        <v>1.3448477999999999</v>
      </c>
      <c r="C105" s="12">
        <v>124.9666667</v>
      </c>
      <c r="D105" s="12">
        <v>9.4023579000000002</v>
      </c>
      <c r="E105" s="17">
        <v>3</v>
      </c>
      <c r="F105" s="12">
        <v>81.173333299999996</v>
      </c>
      <c r="G105" s="12">
        <v>27.6179056</v>
      </c>
      <c r="H105" s="12">
        <v>-10.5164372</v>
      </c>
      <c r="I105" s="12">
        <v>-4.8092959000000004</v>
      </c>
      <c r="J105" s="12">
        <v>-1.8</v>
      </c>
      <c r="K105" s="12">
        <v>-0.1</v>
      </c>
      <c r="L105" s="12">
        <v>13.5</v>
      </c>
      <c r="M105" s="12">
        <v>11.4</v>
      </c>
      <c r="N105" s="7" t="s">
        <v>107</v>
      </c>
      <c r="O105" s="7" t="s">
        <v>107</v>
      </c>
      <c r="P105" s="12">
        <v>72900</v>
      </c>
      <c r="Q105" s="12">
        <v>2633.3333333</v>
      </c>
      <c r="R105" s="12">
        <v>3.5333332999999998</v>
      </c>
      <c r="S105" s="12">
        <v>11.050061700000001</v>
      </c>
      <c r="T105" s="12">
        <v>7.5</v>
      </c>
      <c r="U105" s="12">
        <v>155.2119826</v>
      </c>
      <c r="V105" s="12">
        <v>78.142099999999999</v>
      </c>
      <c r="W105" s="12">
        <v>-1.1777892000000001</v>
      </c>
      <c r="X105" s="12">
        <v>-28.7186333</v>
      </c>
      <c r="Y105" s="12">
        <v>10.0861161</v>
      </c>
      <c r="Z105" s="12">
        <v>3.1859090999999999</v>
      </c>
      <c r="AA105" s="12">
        <v>53.3796228</v>
      </c>
      <c r="AB105" s="12">
        <v>24.655317799999999</v>
      </c>
      <c r="AC105" s="12">
        <v>19.1479626</v>
      </c>
      <c r="AD105" s="12">
        <v>23.083335399999999</v>
      </c>
      <c r="AE105" s="12">
        <v>18.512669500000001</v>
      </c>
      <c r="AF105" s="12">
        <v>9.9631071999999996</v>
      </c>
      <c r="AG105" s="12">
        <v>13.9372252</v>
      </c>
    </row>
    <row r="106" spans="1:33" s="11" customFormat="1" outlineLevel="1" x14ac:dyDescent="0.3">
      <c r="A106" s="11" t="s">
        <v>113</v>
      </c>
      <c r="B106" s="12">
        <v>0.20197219999999999</v>
      </c>
      <c r="C106" s="12">
        <v>126.9766667</v>
      </c>
      <c r="D106" s="12">
        <v>7.2136222999999999</v>
      </c>
      <c r="E106" s="17">
        <v>3.75</v>
      </c>
      <c r="F106" s="12">
        <v>78.316666699999999</v>
      </c>
      <c r="G106" s="12">
        <v>11.2046595</v>
      </c>
      <c r="H106" s="12">
        <v>3.3207068999999998</v>
      </c>
      <c r="I106" s="12">
        <v>-1.8560798999999999</v>
      </c>
      <c r="J106" s="12">
        <v>4.8999999000000001</v>
      </c>
      <c r="K106" s="12">
        <v>8.9</v>
      </c>
      <c r="L106" s="12">
        <v>1.9</v>
      </c>
      <c r="M106" s="12">
        <v>21.9</v>
      </c>
      <c r="N106" s="7" t="s">
        <v>107</v>
      </c>
      <c r="O106" s="7" t="s">
        <v>107</v>
      </c>
      <c r="P106" s="12">
        <v>73433.333333300005</v>
      </c>
      <c r="Q106" s="12">
        <v>2433.3333333</v>
      </c>
      <c r="R106" s="12">
        <v>3.2</v>
      </c>
      <c r="S106" s="12">
        <v>15.348364999999999</v>
      </c>
      <c r="T106" s="12">
        <v>7.5</v>
      </c>
      <c r="U106" s="12">
        <v>156.9408813</v>
      </c>
      <c r="V106" s="12">
        <v>88.245633299999994</v>
      </c>
      <c r="W106" s="12">
        <v>5.7946441999999996</v>
      </c>
      <c r="X106" s="12">
        <v>-31.928326800000001</v>
      </c>
      <c r="Y106" s="12">
        <v>31.4685305</v>
      </c>
      <c r="Z106" s="12">
        <v>1.546737</v>
      </c>
      <c r="AA106" s="12">
        <v>51.538648299999998</v>
      </c>
      <c r="AB106" s="12">
        <v>19.481686700000001</v>
      </c>
      <c r="AC106" s="12">
        <v>22.823957499999999</v>
      </c>
      <c r="AD106" s="12">
        <v>23.432450800000002</v>
      </c>
      <c r="AE106" s="12">
        <v>19.555558900000001</v>
      </c>
      <c r="AF106" s="12">
        <v>17.341039800000001</v>
      </c>
      <c r="AG106" s="12">
        <v>14.7233853</v>
      </c>
    </row>
    <row r="107" spans="1:33" s="11" customFormat="1" outlineLevel="1" x14ac:dyDescent="0.3">
      <c r="A107" s="11" t="s">
        <v>114</v>
      </c>
      <c r="B107" s="12">
        <v>-0.19771859999999999</v>
      </c>
      <c r="C107" s="12">
        <v>127.6866667</v>
      </c>
      <c r="D107" s="12">
        <v>5.6746392999999999</v>
      </c>
      <c r="E107" s="17">
        <v>4.25</v>
      </c>
      <c r="F107" s="12">
        <v>86.66</v>
      </c>
      <c r="G107" s="12">
        <v>8.5974068999999993</v>
      </c>
      <c r="H107" s="12">
        <v>34.015975900000001</v>
      </c>
      <c r="I107" s="12">
        <v>3.2280814000000002</v>
      </c>
      <c r="J107" s="12">
        <v>5.5000001999999997</v>
      </c>
      <c r="K107" s="12">
        <v>8</v>
      </c>
      <c r="L107" s="12">
        <v>5.4</v>
      </c>
      <c r="M107" s="12">
        <v>10.7</v>
      </c>
      <c r="N107" s="7" t="s">
        <v>107</v>
      </c>
      <c r="O107" s="7" t="s">
        <v>107</v>
      </c>
      <c r="P107" s="12">
        <v>74066.666666699995</v>
      </c>
      <c r="Q107" s="12">
        <v>2300</v>
      </c>
      <c r="R107" s="12">
        <v>3</v>
      </c>
      <c r="S107" s="12">
        <v>15.1073647</v>
      </c>
      <c r="T107" s="12">
        <v>13</v>
      </c>
      <c r="U107" s="12">
        <v>159.2384624</v>
      </c>
      <c r="V107" s="12">
        <v>102.42789999999999</v>
      </c>
      <c r="W107" s="12">
        <v>5.3027473000000001</v>
      </c>
      <c r="X107" s="12">
        <v>-28.3501887</v>
      </c>
      <c r="Y107" s="12">
        <v>1.1068857000000001</v>
      </c>
      <c r="Z107" s="12">
        <v>3.4661266999999998</v>
      </c>
      <c r="AA107" s="12">
        <v>49.495689800000001</v>
      </c>
      <c r="AB107" s="12">
        <v>17.693016100000001</v>
      </c>
      <c r="AC107" s="12">
        <v>25.382707</v>
      </c>
      <c r="AD107" s="12">
        <v>25.347826999999999</v>
      </c>
      <c r="AE107" s="12">
        <v>20.251943000000001</v>
      </c>
      <c r="AF107" s="12">
        <v>22.366468300000001</v>
      </c>
      <c r="AG107" s="7" t="s">
        <v>107</v>
      </c>
    </row>
    <row r="108" spans="1:33" s="11" customFormat="1" outlineLevel="1" x14ac:dyDescent="0.3">
      <c r="A108" s="11" t="s">
        <v>115</v>
      </c>
      <c r="B108" s="7" t="s">
        <v>107</v>
      </c>
      <c r="C108" s="12">
        <v>127.9933333</v>
      </c>
      <c r="D108" s="12">
        <v>3.3871836000000002</v>
      </c>
      <c r="E108" s="17">
        <v>4.5</v>
      </c>
      <c r="F108" s="12">
        <v>83.723333299999993</v>
      </c>
      <c r="G108" s="7" t="s">
        <v>107</v>
      </c>
      <c r="H108" s="7" t="s">
        <v>107</v>
      </c>
      <c r="I108" s="7" t="s">
        <v>107</v>
      </c>
      <c r="J108" s="7" t="s">
        <v>107</v>
      </c>
      <c r="K108" s="7" t="s">
        <v>107</v>
      </c>
      <c r="L108" s="7" t="s">
        <v>107</v>
      </c>
      <c r="M108" s="7" t="s">
        <v>107</v>
      </c>
      <c r="N108" s="7" t="s">
        <v>107</v>
      </c>
      <c r="O108" s="7" t="s">
        <v>107</v>
      </c>
      <c r="P108" s="7" t="s">
        <v>107</v>
      </c>
      <c r="Q108" s="7" t="s">
        <v>107</v>
      </c>
      <c r="R108" s="7" t="s">
        <v>107</v>
      </c>
      <c r="S108" s="7" t="s">
        <v>107</v>
      </c>
      <c r="T108" s="12">
        <v>16</v>
      </c>
      <c r="U108" s="12">
        <v>163.23251740000001</v>
      </c>
      <c r="V108" s="12">
        <v>99.754666700000001</v>
      </c>
      <c r="W108" s="7" t="s">
        <v>107</v>
      </c>
      <c r="X108" s="12">
        <v>-29.841091800000001</v>
      </c>
      <c r="Y108" s="12">
        <v>-11.513511299999999</v>
      </c>
      <c r="Z108" s="7" t="s">
        <v>107</v>
      </c>
      <c r="AA108" s="7" t="s">
        <v>107</v>
      </c>
      <c r="AB108" s="7" t="s">
        <v>107</v>
      </c>
      <c r="AC108" s="7" t="s">
        <v>107</v>
      </c>
      <c r="AD108" s="7" t="s">
        <v>107</v>
      </c>
      <c r="AE108" s="7" t="s">
        <v>107</v>
      </c>
      <c r="AF108" s="12">
        <v>23.0382733</v>
      </c>
      <c r="AG108" s="7" t="s">
        <v>107</v>
      </c>
    </row>
  </sheetData>
  <pageMargins left="0.7" right="0.7" top="0.75" bottom="0.75" header="0.3" footer="0.3"/>
  <pageSetup paperSize="9" orientation="portrait" horizontalDpi="90" verticalDpi="90"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FC696-00A1-49DA-B55A-5CD9120D06A0}">
  <sheetPr codeName="Tabelle30">
    <tabColor rgb="FFFFFF00"/>
  </sheetPr>
  <dimension ref="A1:AG108"/>
  <sheetViews>
    <sheetView workbookViewId="0">
      <pane xSplit="1" ySplit="12" topLeftCell="S86" activePane="bottomRight" state="frozen"/>
      <selection activeCell="E12" sqref="E12"/>
      <selection pane="topRight" activeCell="E12" sqref="E12"/>
      <selection pane="bottomLeft" activeCell="E12" sqref="E12"/>
      <selection pane="bottomRight" activeCell="AG1" sqref="AG1"/>
    </sheetView>
  </sheetViews>
  <sheetFormatPr defaultColWidth="9.109375" defaultRowHeight="14.4" outlineLevelRow="1" x14ac:dyDescent="0.3"/>
  <cols>
    <col min="2" max="2" width="11.5546875" bestFit="1" customWidth="1"/>
    <col min="4" max="4" width="12.44140625" customWidth="1"/>
    <col min="7" max="7" width="12.44140625" bestFit="1" customWidth="1"/>
    <col min="13" max="13" width="9.109375" style="3"/>
    <col min="18" max="18" width="11.109375" bestFit="1" customWidth="1"/>
    <col min="19" max="19" width="12.44140625" bestFit="1" customWidth="1"/>
    <col min="24" max="24" width="12.5546875" bestFit="1" customWidth="1"/>
    <col min="25" max="25" width="12.6640625" bestFit="1" customWidth="1"/>
    <col min="27" max="27" width="13.6640625" customWidth="1"/>
  </cols>
  <sheetData>
    <row r="1" spans="1:33" s="8" customFormat="1" x14ac:dyDescent="0.3">
      <c r="A1" s="8" t="s">
        <v>0</v>
      </c>
      <c r="B1" s="8" t="s">
        <v>1</v>
      </c>
      <c r="C1" s="8" t="s">
        <v>2</v>
      </c>
      <c r="D1" s="8" t="s">
        <v>3</v>
      </c>
      <c r="E1" s="14" t="s">
        <v>4</v>
      </c>
      <c r="F1" s="8" t="s">
        <v>5</v>
      </c>
      <c r="G1" s="8" t="s">
        <v>6</v>
      </c>
      <c r="H1" s="8" t="s">
        <v>254</v>
      </c>
      <c r="I1" s="8" t="s">
        <v>7</v>
      </c>
      <c r="J1" s="8" t="s">
        <v>230</v>
      </c>
      <c r="K1" s="8" t="s">
        <v>231</v>
      </c>
      <c r="L1" s="8" t="s">
        <v>232</v>
      </c>
      <c r="M1" s="14" t="s">
        <v>233</v>
      </c>
      <c r="N1" s="8" t="s">
        <v>234</v>
      </c>
      <c r="O1" s="8" t="s">
        <v>235</v>
      </c>
      <c r="P1" s="8" t="s">
        <v>8</v>
      </c>
      <c r="Q1" s="8" t="s">
        <v>9</v>
      </c>
      <c r="R1" s="8" t="s">
        <v>10</v>
      </c>
      <c r="S1" s="8" t="s">
        <v>11</v>
      </c>
      <c r="T1" s="14" t="s">
        <v>12</v>
      </c>
      <c r="U1" s="8" t="s">
        <v>13</v>
      </c>
      <c r="V1" s="8" t="s">
        <v>14</v>
      </c>
      <c r="W1" s="8" t="s">
        <v>15</v>
      </c>
      <c r="X1" s="8" t="s">
        <v>16</v>
      </c>
      <c r="Y1" s="8" t="s">
        <v>17</v>
      </c>
      <c r="Z1" s="8" t="s">
        <v>18</v>
      </c>
      <c r="AA1" s="8" t="s">
        <v>248</v>
      </c>
      <c r="AB1" s="8" t="s">
        <v>236</v>
      </c>
      <c r="AC1" s="8" t="s">
        <v>237</v>
      </c>
      <c r="AD1" s="8" t="s">
        <v>238</v>
      </c>
      <c r="AE1" s="8" t="s">
        <v>239</v>
      </c>
      <c r="AF1" s="14" t="s">
        <v>255</v>
      </c>
      <c r="AG1" s="14" t="s">
        <v>1317</v>
      </c>
    </row>
    <row r="2" spans="1:33" s="10" customFormat="1" outlineLevel="1" x14ac:dyDescent="0.3">
      <c r="B2" s="26"/>
      <c r="C2" s="26"/>
      <c r="D2" s="26" t="s">
        <v>198</v>
      </c>
      <c r="E2" s="26"/>
      <c r="F2" s="26"/>
      <c r="G2" s="26" t="s">
        <v>1127</v>
      </c>
      <c r="H2" s="26" t="s">
        <v>1132</v>
      </c>
      <c r="I2" s="26"/>
      <c r="J2" s="26" t="s">
        <v>1135</v>
      </c>
      <c r="K2" s="26" t="s">
        <v>1137</v>
      </c>
      <c r="L2" s="26" t="s">
        <v>1139</v>
      </c>
      <c r="M2" s="26" t="s">
        <v>1150</v>
      </c>
      <c r="N2" s="26" t="s">
        <v>1141</v>
      </c>
      <c r="O2" s="26" t="s">
        <v>1143</v>
      </c>
      <c r="P2" s="26"/>
      <c r="Q2" s="26"/>
      <c r="R2" s="26"/>
      <c r="S2" s="26" t="s">
        <v>1148</v>
      </c>
      <c r="T2" s="26"/>
      <c r="U2" s="26"/>
      <c r="V2" s="26"/>
      <c r="W2" s="26" t="s">
        <v>1155</v>
      </c>
      <c r="X2" s="26" t="s">
        <v>1157</v>
      </c>
      <c r="Y2" s="26" t="s">
        <v>1159</v>
      </c>
      <c r="Z2" s="26"/>
      <c r="AA2" s="26" t="s">
        <v>1162</v>
      </c>
      <c r="AB2" s="26"/>
      <c r="AC2" s="26"/>
      <c r="AD2" s="26"/>
      <c r="AE2" s="26"/>
      <c r="AF2" s="26" t="s">
        <v>1167</v>
      </c>
      <c r="AG2" s="26"/>
    </row>
    <row r="3" spans="1:33" outlineLevel="1" x14ac:dyDescent="0.3">
      <c r="B3" s="27" t="s">
        <v>123</v>
      </c>
      <c r="C3" s="27" t="s">
        <v>195</v>
      </c>
      <c r="D3" s="27" t="s">
        <v>195</v>
      </c>
      <c r="E3" s="27" t="s">
        <v>186</v>
      </c>
      <c r="F3" s="27" t="s">
        <v>125</v>
      </c>
      <c r="G3" s="27" t="s">
        <v>1129</v>
      </c>
      <c r="H3" s="27" t="s">
        <v>1129</v>
      </c>
      <c r="I3" s="27" t="s">
        <v>1129</v>
      </c>
      <c r="J3" s="27" t="s">
        <v>1129</v>
      </c>
      <c r="K3" s="27" t="s">
        <v>1129</v>
      </c>
      <c r="L3" s="27" t="s">
        <v>1129</v>
      </c>
      <c r="M3" s="27" t="s">
        <v>1129</v>
      </c>
      <c r="N3" s="27" t="s">
        <v>1129</v>
      </c>
      <c r="O3" s="27" t="s">
        <v>1129</v>
      </c>
      <c r="P3" s="27" t="s">
        <v>1129</v>
      </c>
      <c r="Q3" s="27" t="s">
        <v>1129</v>
      </c>
      <c r="R3" s="27" t="s">
        <v>1129</v>
      </c>
      <c r="S3" s="27" t="s">
        <v>1129</v>
      </c>
      <c r="T3" s="27" t="s">
        <v>1129</v>
      </c>
      <c r="U3" s="27" t="s">
        <v>1129</v>
      </c>
      <c r="V3" s="27" t="s">
        <v>1129</v>
      </c>
      <c r="W3" s="27" t="s">
        <v>1129</v>
      </c>
      <c r="X3" s="27" t="s">
        <v>1129</v>
      </c>
      <c r="Y3" s="27" t="s">
        <v>1129</v>
      </c>
      <c r="Z3" s="27" t="s">
        <v>1129</v>
      </c>
      <c r="AA3" s="27" t="s">
        <v>1129</v>
      </c>
      <c r="AB3" s="27" t="s">
        <v>1129</v>
      </c>
      <c r="AC3" s="27" t="s">
        <v>1129</v>
      </c>
      <c r="AD3" s="27" t="s">
        <v>1129</v>
      </c>
      <c r="AE3" s="27" t="s">
        <v>1129</v>
      </c>
      <c r="AF3" s="27" t="s">
        <v>1129</v>
      </c>
      <c r="AG3" s="27" t="s">
        <v>1129</v>
      </c>
    </row>
    <row r="4" spans="1:33" outlineLevel="1" x14ac:dyDescent="0.3">
      <c r="B4" s="2">
        <v>144396</v>
      </c>
      <c r="C4" s="2">
        <v>77811</v>
      </c>
      <c r="D4" s="2">
        <v>77812</v>
      </c>
      <c r="E4" s="2">
        <v>144399</v>
      </c>
      <c r="F4" s="27">
        <v>101874</v>
      </c>
      <c r="G4" s="2">
        <v>140984</v>
      </c>
      <c r="H4" s="2">
        <v>140983</v>
      </c>
      <c r="I4" s="2">
        <v>140991</v>
      </c>
      <c r="J4" s="2">
        <v>140624</v>
      </c>
      <c r="K4" s="2">
        <v>140645</v>
      </c>
      <c r="L4" s="2">
        <v>140661</v>
      </c>
      <c r="M4" s="2">
        <v>140677</v>
      </c>
      <c r="N4" s="2">
        <v>140695</v>
      </c>
      <c r="O4" s="2">
        <v>140703</v>
      </c>
      <c r="P4" s="2">
        <v>140946</v>
      </c>
      <c r="Q4" s="2">
        <v>140950</v>
      </c>
      <c r="R4" s="2">
        <v>140951</v>
      </c>
      <c r="S4" s="2">
        <v>140956</v>
      </c>
      <c r="T4" s="2">
        <v>140962</v>
      </c>
      <c r="U4" s="2">
        <v>140931</v>
      </c>
      <c r="V4" s="2">
        <v>140900</v>
      </c>
      <c r="W4" s="2">
        <v>140943</v>
      </c>
      <c r="X4" s="2">
        <v>140907</v>
      </c>
      <c r="Y4" s="2">
        <v>140911</v>
      </c>
      <c r="Z4" s="2">
        <v>140888</v>
      </c>
      <c r="AA4" s="2">
        <v>140649</v>
      </c>
      <c r="AB4" s="2">
        <v>140665</v>
      </c>
      <c r="AC4" s="2">
        <v>140681</v>
      </c>
      <c r="AD4" s="2">
        <v>140699</v>
      </c>
      <c r="AE4" s="2">
        <v>140707</v>
      </c>
      <c r="AF4" s="2">
        <v>123207</v>
      </c>
      <c r="AG4" s="2">
        <v>141000</v>
      </c>
    </row>
    <row r="5" spans="1:33" outlineLevel="1" x14ac:dyDescent="0.3">
      <c r="B5" s="27" t="s">
        <v>221</v>
      </c>
      <c r="C5" s="27" t="s">
        <v>194</v>
      </c>
      <c r="D5" s="27" t="s">
        <v>199</v>
      </c>
      <c r="E5" s="27" t="s">
        <v>253</v>
      </c>
      <c r="F5" s="27" t="s">
        <v>189</v>
      </c>
      <c r="G5" s="27" t="s">
        <v>1128</v>
      </c>
      <c r="H5" s="27" t="s">
        <v>1133</v>
      </c>
      <c r="I5" s="27" t="s">
        <v>1134</v>
      </c>
      <c r="J5" s="27" t="s">
        <v>1136</v>
      </c>
      <c r="K5" s="27" t="s">
        <v>1138</v>
      </c>
      <c r="L5" s="27" t="s">
        <v>1140</v>
      </c>
      <c r="M5" s="27" t="s">
        <v>1151</v>
      </c>
      <c r="N5" s="27" t="s">
        <v>1142</v>
      </c>
      <c r="O5" s="27" t="s">
        <v>1144</v>
      </c>
      <c r="P5" s="27" t="s">
        <v>1145</v>
      </c>
      <c r="Q5" s="27" t="s">
        <v>1146</v>
      </c>
      <c r="R5" s="27" t="s">
        <v>1147</v>
      </c>
      <c r="S5" s="27" t="s">
        <v>1149</v>
      </c>
      <c r="T5" s="27" t="s">
        <v>1314</v>
      </c>
      <c r="U5" s="27" t="s">
        <v>1153</v>
      </c>
      <c r="V5" s="27" t="s">
        <v>1154</v>
      </c>
      <c r="W5" s="27" t="s">
        <v>1156</v>
      </c>
      <c r="X5" s="27" t="s">
        <v>1158</v>
      </c>
      <c r="Y5" s="27" t="s">
        <v>1160</v>
      </c>
      <c r="Z5" s="27" t="s">
        <v>1161</v>
      </c>
      <c r="AA5" s="27" t="s">
        <v>1163</v>
      </c>
      <c r="AB5" s="27" t="s">
        <v>1164</v>
      </c>
      <c r="AC5" s="27" t="s">
        <v>1152</v>
      </c>
      <c r="AD5" s="27" t="s">
        <v>1165</v>
      </c>
      <c r="AE5" s="27" t="s">
        <v>1166</v>
      </c>
      <c r="AF5" s="27" t="s">
        <v>1168</v>
      </c>
      <c r="AG5" s="27" t="s">
        <v>1169</v>
      </c>
    </row>
    <row r="6" spans="1:33" outlineLevel="1" x14ac:dyDescent="0.3">
      <c r="B6" s="27" t="s">
        <v>222</v>
      </c>
      <c r="C6" s="27" t="s">
        <v>196</v>
      </c>
      <c r="D6" s="27" t="s">
        <v>196</v>
      </c>
      <c r="E6" s="27" t="s">
        <v>187</v>
      </c>
      <c r="F6" s="27" t="s">
        <v>190</v>
      </c>
      <c r="G6" s="27" t="s">
        <v>1130</v>
      </c>
      <c r="H6" s="27" t="s">
        <v>1130</v>
      </c>
      <c r="I6" s="27" t="s">
        <v>1130</v>
      </c>
      <c r="J6" s="27" t="s">
        <v>1130</v>
      </c>
      <c r="K6" s="27" t="s">
        <v>1130</v>
      </c>
      <c r="L6" s="27" t="s">
        <v>1130</v>
      </c>
      <c r="M6" s="27" t="s">
        <v>1130</v>
      </c>
      <c r="N6" s="27" t="s">
        <v>1130</v>
      </c>
      <c r="O6" s="27" t="s">
        <v>1130</v>
      </c>
      <c r="P6" s="27" t="s">
        <v>1130</v>
      </c>
      <c r="Q6" s="27" t="s">
        <v>1130</v>
      </c>
      <c r="R6" s="27" t="s">
        <v>1130</v>
      </c>
      <c r="S6" s="27" t="s">
        <v>1130</v>
      </c>
      <c r="T6" s="27" t="s">
        <v>1130</v>
      </c>
      <c r="U6" s="27" t="s">
        <v>1130</v>
      </c>
      <c r="V6" s="27" t="s">
        <v>1130</v>
      </c>
      <c r="W6" s="27" t="s">
        <v>1130</v>
      </c>
      <c r="X6" s="27" t="s">
        <v>1130</v>
      </c>
      <c r="Y6" s="27" t="s">
        <v>1130</v>
      </c>
      <c r="Z6" s="27" t="s">
        <v>1130</v>
      </c>
      <c r="AA6" s="27" t="s">
        <v>1130</v>
      </c>
      <c r="AB6" s="27" t="s">
        <v>1130</v>
      </c>
      <c r="AC6" s="27" t="s">
        <v>1130</v>
      </c>
      <c r="AD6" s="27" t="s">
        <v>1130</v>
      </c>
      <c r="AE6" s="27" t="s">
        <v>1130</v>
      </c>
      <c r="AF6" s="27" t="s">
        <v>1130</v>
      </c>
      <c r="AG6" s="27" t="s">
        <v>1130</v>
      </c>
    </row>
    <row r="7" spans="1:33" outlineLevel="1" x14ac:dyDescent="0.3">
      <c r="B7" s="27" t="s">
        <v>223</v>
      </c>
      <c r="C7" s="27" t="s">
        <v>197</v>
      </c>
      <c r="D7" s="27" t="s">
        <v>197</v>
      </c>
      <c r="E7" s="27" t="s">
        <v>188</v>
      </c>
      <c r="F7" s="27" t="s">
        <v>191</v>
      </c>
      <c r="G7" s="27" t="s">
        <v>1131</v>
      </c>
      <c r="H7" s="27" t="s">
        <v>1131</v>
      </c>
      <c r="I7" s="27" t="s">
        <v>1131</v>
      </c>
      <c r="J7" s="27" t="s">
        <v>1131</v>
      </c>
      <c r="K7" s="27" t="s">
        <v>1131</v>
      </c>
      <c r="L7" s="27" t="s">
        <v>1131</v>
      </c>
      <c r="M7" s="27" t="s">
        <v>1131</v>
      </c>
      <c r="N7" s="27" t="s">
        <v>1131</v>
      </c>
      <c r="O7" s="27" t="s">
        <v>1131</v>
      </c>
      <c r="P7" s="27" t="s">
        <v>1131</v>
      </c>
      <c r="Q7" s="27" t="s">
        <v>1131</v>
      </c>
      <c r="R7" s="27" t="s">
        <v>1131</v>
      </c>
      <c r="S7" s="27" t="s">
        <v>1131</v>
      </c>
      <c r="T7" s="27" t="s">
        <v>1131</v>
      </c>
      <c r="U7" s="27" t="s">
        <v>1131</v>
      </c>
      <c r="V7" s="27" t="s">
        <v>1131</v>
      </c>
      <c r="W7" s="27" t="s">
        <v>1131</v>
      </c>
      <c r="X7" s="27" t="s">
        <v>1131</v>
      </c>
      <c r="Y7" s="27" t="s">
        <v>1131</v>
      </c>
      <c r="Z7" s="27" t="s">
        <v>1131</v>
      </c>
      <c r="AA7" s="27" t="s">
        <v>1131</v>
      </c>
      <c r="AB7" s="27" t="s">
        <v>1131</v>
      </c>
      <c r="AC7" s="27" t="s">
        <v>1131</v>
      </c>
      <c r="AD7" s="27" t="s">
        <v>1131</v>
      </c>
      <c r="AE7" s="27" t="s">
        <v>1131</v>
      </c>
      <c r="AF7" s="27" t="s">
        <v>1131</v>
      </c>
      <c r="AG7" s="27" t="s">
        <v>1131</v>
      </c>
    </row>
    <row r="8" spans="1:33" outlineLevel="1" x14ac:dyDescent="0.3">
      <c r="A8" s="16" t="s">
        <v>489</v>
      </c>
      <c r="B8" s="27" t="s">
        <v>120</v>
      </c>
      <c r="C8" s="27" t="s">
        <v>163</v>
      </c>
      <c r="D8" s="27" t="s">
        <v>163</v>
      </c>
      <c r="E8" s="27" t="s">
        <v>159</v>
      </c>
      <c r="F8" s="27"/>
      <c r="G8" s="27" t="s">
        <v>179</v>
      </c>
      <c r="H8" s="27" t="s">
        <v>173</v>
      </c>
      <c r="I8" s="27" t="s">
        <v>182</v>
      </c>
      <c r="J8" s="27" t="s">
        <v>120</v>
      </c>
      <c r="K8" s="27" t="s">
        <v>126</v>
      </c>
      <c r="L8" s="27" t="s">
        <v>129</v>
      </c>
      <c r="M8" s="27" t="s">
        <v>1020</v>
      </c>
      <c r="N8" s="27" t="s">
        <v>135</v>
      </c>
      <c r="O8" s="27" t="s">
        <v>138</v>
      </c>
      <c r="P8" s="27" t="s">
        <v>141</v>
      </c>
      <c r="Q8" s="27" t="s">
        <v>146</v>
      </c>
      <c r="R8" s="27" t="s">
        <v>149</v>
      </c>
      <c r="S8" s="27" t="s">
        <v>154</v>
      </c>
      <c r="T8" s="27" t="s">
        <v>159</v>
      </c>
      <c r="U8" s="27" t="s">
        <v>163</v>
      </c>
      <c r="V8" s="27" t="s">
        <v>168</v>
      </c>
      <c r="W8" s="27" t="s">
        <v>217</v>
      </c>
      <c r="X8" s="27" t="s">
        <v>208</v>
      </c>
      <c r="Y8" s="27" t="s">
        <v>213</v>
      </c>
      <c r="Z8" s="27" t="s">
        <v>204</v>
      </c>
      <c r="AA8" s="27" t="s">
        <v>126</v>
      </c>
      <c r="AB8" s="27" t="s">
        <v>129</v>
      </c>
      <c r="AC8" s="27" t="s">
        <v>1020</v>
      </c>
      <c r="AD8" s="27" t="s">
        <v>135</v>
      </c>
      <c r="AE8" s="27" t="s">
        <v>138</v>
      </c>
      <c r="AF8" s="27" t="s">
        <v>351</v>
      </c>
      <c r="AG8" s="27" t="s">
        <v>402</v>
      </c>
    </row>
    <row r="9" spans="1:33" outlineLevel="1" x14ac:dyDescent="0.3">
      <c r="A9" s="16" t="s">
        <v>490</v>
      </c>
      <c r="B9" s="27" t="s">
        <v>121</v>
      </c>
      <c r="C9" s="27" t="s">
        <v>164</v>
      </c>
      <c r="D9" s="27" t="s">
        <v>164</v>
      </c>
      <c r="E9" s="27" t="s">
        <v>160</v>
      </c>
      <c r="F9" s="27"/>
      <c r="G9" s="27" t="s">
        <v>180</v>
      </c>
      <c r="H9" s="27" t="s">
        <v>174</v>
      </c>
      <c r="I9" s="27" t="s">
        <v>183</v>
      </c>
      <c r="J9" s="27" t="s">
        <v>121</v>
      </c>
      <c r="K9" s="27" t="s">
        <v>127</v>
      </c>
      <c r="L9" s="27" t="s">
        <v>130</v>
      </c>
      <c r="M9" s="27" t="s">
        <v>1021</v>
      </c>
      <c r="N9" s="27" t="s">
        <v>136</v>
      </c>
      <c r="O9" s="27" t="s">
        <v>139</v>
      </c>
      <c r="P9" s="27" t="s">
        <v>142</v>
      </c>
      <c r="Q9" s="27" t="s">
        <v>147</v>
      </c>
      <c r="R9" s="27" t="s">
        <v>150</v>
      </c>
      <c r="S9" s="27" t="s">
        <v>155</v>
      </c>
      <c r="T9" s="27" t="s">
        <v>160</v>
      </c>
      <c r="U9" s="27" t="s">
        <v>164</v>
      </c>
      <c r="V9" s="27" t="s">
        <v>169</v>
      </c>
      <c r="W9" s="27" t="s">
        <v>218</v>
      </c>
      <c r="X9" s="27" t="s">
        <v>209</v>
      </c>
      <c r="Y9" s="27" t="s">
        <v>214</v>
      </c>
      <c r="Z9" s="27" t="s">
        <v>205</v>
      </c>
      <c r="AA9" s="27" t="s">
        <v>127</v>
      </c>
      <c r="AB9" s="27" t="s">
        <v>130</v>
      </c>
      <c r="AC9" s="27" t="s">
        <v>1021</v>
      </c>
      <c r="AD9" s="27" t="s">
        <v>136</v>
      </c>
      <c r="AE9" s="27" t="s">
        <v>139</v>
      </c>
      <c r="AF9" s="27" t="s">
        <v>352</v>
      </c>
      <c r="AG9" s="28" t="s">
        <v>403</v>
      </c>
    </row>
    <row r="10" spans="1:33" outlineLevel="1" x14ac:dyDescent="0.3">
      <c r="A10" s="16" t="s">
        <v>491</v>
      </c>
      <c r="B10" s="27" t="s">
        <v>224</v>
      </c>
      <c r="C10" s="27" t="s">
        <v>165</v>
      </c>
      <c r="D10" s="27" t="s">
        <v>200</v>
      </c>
      <c r="E10" s="27" t="s">
        <v>226</v>
      </c>
      <c r="F10" s="27"/>
      <c r="G10" s="27" t="s">
        <v>175</v>
      </c>
      <c r="H10" s="27" t="s">
        <v>175</v>
      </c>
      <c r="I10" s="27" t="s">
        <v>184</v>
      </c>
      <c r="J10" s="27" t="s">
        <v>122</v>
      </c>
      <c r="K10" s="27" t="s">
        <v>122</v>
      </c>
      <c r="L10" s="27" t="s">
        <v>122</v>
      </c>
      <c r="M10" s="27" t="s">
        <v>122</v>
      </c>
      <c r="N10" s="27" t="s">
        <v>122</v>
      </c>
      <c r="O10" s="27" t="s">
        <v>122</v>
      </c>
      <c r="P10" s="27" t="s">
        <v>143</v>
      </c>
      <c r="Q10" s="27" t="s">
        <v>143</v>
      </c>
      <c r="R10" s="27" t="s">
        <v>151</v>
      </c>
      <c r="S10" s="27" t="s">
        <v>156</v>
      </c>
      <c r="T10" s="27" t="s">
        <v>447</v>
      </c>
      <c r="U10" s="27" t="s">
        <v>165</v>
      </c>
      <c r="V10" s="27" t="s">
        <v>170</v>
      </c>
      <c r="W10" s="27" t="s">
        <v>219</v>
      </c>
      <c r="X10" s="27" t="s">
        <v>210</v>
      </c>
      <c r="Y10" s="27" t="s">
        <v>210</v>
      </c>
      <c r="Z10" s="27" t="s">
        <v>184</v>
      </c>
      <c r="AA10" s="27" t="s">
        <v>184</v>
      </c>
      <c r="AB10" s="27" t="s">
        <v>184</v>
      </c>
      <c r="AC10" s="27" t="s">
        <v>184</v>
      </c>
      <c r="AD10" s="27" t="s">
        <v>184</v>
      </c>
      <c r="AE10" s="27" t="s">
        <v>184</v>
      </c>
      <c r="AF10" s="27" t="s">
        <v>156</v>
      </c>
      <c r="AG10" s="27" t="s">
        <v>184</v>
      </c>
    </row>
    <row r="11" spans="1:33" outlineLevel="1" x14ac:dyDescent="0.3">
      <c r="A11" s="16" t="s">
        <v>492</v>
      </c>
      <c r="B11" s="27" t="s">
        <v>225</v>
      </c>
      <c r="C11" s="27" t="s">
        <v>166</v>
      </c>
      <c r="D11" s="27" t="s">
        <v>201</v>
      </c>
      <c r="E11" s="27" t="s">
        <v>227</v>
      </c>
      <c r="F11" s="27"/>
      <c r="G11" s="27" t="s">
        <v>176</v>
      </c>
      <c r="H11" s="27" t="s">
        <v>176</v>
      </c>
      <c r="I11" s="27" t="s">
        <v>185</v>
      </c>
      <c r="J11" s="27" t="s">
        <v>118</v>
      </c>
      <c r="K11" s="27" t="s">
        <v>118</v>
      </c>
      <c r="L11" s="27" t="s">
        <v>118</v>
      </c>
      <c r="M11" s="27" t="s">
        <v>118</v>
      </c>
      <c r="N11" s="27" t="s">
        <v>118</v>
      </c>
      <c r="O11" s="27" t="s">
        <v>118</v>
      </c>
      <c r="P11" s="27" t="s">
        <v>144</v>
      </c>
      <c r="Q11" s="27" t="s">
        <v>144</v>
      </c>
      <c r="R11" s="27" t="s">
        <v>152</v>
      </c>
      <c r="S11" s="27" t="s">
        <v>157</v>
      </c>
      <c r="T11" s="27" t="s">
        <v>448</v>
      </c>
      <c r="U11" s="27" t="s">
        <v>166</v>
      </c>
      <c r="V11" s="27" t="s">
        <v>171</v>
      </c>
      <c r="W11" s="27" t="s">
        <v>220</v>
      </c>
      <c r="X11" s="27" t="s">
        <v>211</v>
      </c>
      <c r="Y11" s="27" t="s">
        <v>211</v>
      </c>
      <c r="Z11" s="27" t="s">
        <v>185</v>
      </c>
      <c r="AA11" s="27" t="s">
        <v>185</v>
      </c>
      <c r="AB11" s="27" t="s">
        <v>185</v>
      </c>
      <c r="AC11" s="27" t="s">
        <v>185</v>
      </c>
      <c r="AD11" s="27" t="s">
        <v>185</v>
      </c>
      <c r="AE11" s="27" t="s">
        <v>185</v>
      </c>
      <c r="AF11" s="27" t="s">
        <v>157</v>
      </c>
      <c r="AG11" s="27" t="s">
        <v>185</v>
      </c>
    </row>
    <row r="12" spans="1:33" outlineLevel="1" x14ac:dyDescent="0.3">
      <c r="B12" s="4" t="str">
        <f>INDEX({"31/01/2024 @ 15:44","macro_id=DBGlobal","label_id=144396","time=Q","year_from=2000","year_to=2023","direction=V","opt_font=true","fontsize=8","opt_color=true","col_desc=Calculation:10;Footnote 1:9;ID:8;Label:7;Reporter:6:s;Reporter:5:long;Indicator:4:s;Indicator:3:l;Unit:2:s;Unit:1:long;","numberformat=0.00","auto_tr=1999|2015","com=true","comp=4"},1,1)</f>
        <v>31/01/2024 @ 15:44</v>
      </c>
      <c r="C12" s="4" t="str">
        <f>INDEX({"31/01/2024 @ 15:44","macro_id=DBGlobal","label_id=77811","time=Q","year_from=2000","year_to=2023","direction=V","opt_font=true","fontsize=8","opt_color=true","col_desc=Calculation:10;Footnote 1:9;ID:8;Label:7;Reporter:6:s;Reporter:5:long;Indicator:4:s;Indicator:3:l;Unit:2:s;Unit:1:long;","numberformat=0.00","auto_tr=1999|2015","com=true","comp=4"},1,1)</f>
        <v>31/01/2024 @ 15:44</v>
      </c>
      <c r="D12" s="6" t="str">
        <f>INDEX({"31/01/2024 @ 15:44","macro_id=DBGlobal","label_id=77812","calc=SubScal(L_77812,100)","time=Q","year_from=2000","year_to=2023","direction=V","opt_font=true","fontsize=8","opt_color=true","col_desc=Calculation:10;Footnote 1:9;ID:8;Label:7;Reporter:6:s;Reporter:5:long;Indicator:4:s;Indicator:3:l;Unit:2:s;Unit:1:long;","numberformat=0.00","auto_tr=1999|2015","com=true","comp=4"},1,1)</f>
        <v>31/01/2024 @ 15:44</v>
      </c>
      <c r="E12" s="4" t="str">
        <f>INDEX({"31/01/2024 @ 15:44","macro_id=DBGlobal","label_id=144399","time=Q","year_from=2000","year_to=2023","direction=V","opt_font=true","fontsize=8","opt_color=true","col_desc=Calculation:10;Footnote 1:9;ID:8;Label:7;Reporter:6:s;Reporter:5:long;Indicator:4:s;Indicator:3:l;Unit:2:s;Unit:1:long;","numberformat=0.00","auto_tr=1999|2015","com=true","comp=4"},1,1)</f>
        <v>31/01/2024 @ 15:44</v>
      </c>
      <c r="F12" s="4" t="str">
        <f>INDEX({"31/01/2024 @ 15:44","macro_id=DBGlobal","label_id=101874","time=Q","year_from=2000","year_to=2023","direction=V","opt_font=true","fontsize=8","opt_color=true","col_desc=Calculation:10;Footnote 1:9;ID:8;Label:7;Reporter:6:s;Reporter:5:long;Indicator:4:s;Indicator:3:l;Unit:2:s;Unit:1:long;","numberformat=0.00","auto_tr=1999|2015","com=true","comp=4"},1,1)</f>
        <v>31/01/2024 @ 15:44</v>
      </c>
      <c r="G12" s="5" t="str">
        <f>INDEX({"31/01/2024 @ 15:44","macro_id=DBGlobal","label_id=140984","calc=SubScal(CPPY=100(L_140984),100)","time=Q","year_from=2000","year_to=2023","direction=V","opt_font=true","fontsize=8","opt_color=true","col_desc=Calculation:10;Footnote 1:9;ID:8;Label:7;Reporter:6:s;Reporter:5:long;Indicator:4:s;Indicator:3:l;Unit:2:s;Unit:1:long;","numberformat=0.00","auto_tr=1999|2015","com=true","comp=4"},1,1)</f>
        <v>31/01/2024 @ 15:44</v>
      </c>
      <c r="H12" s="5" t="str">
        <f>INDEX({"31/01/2024 @ 15:44","macro_id=DBGlobal","label_id=140983","calc=SubScal(CPPY=100(L_140983),100)","time=Q","year_from=2000","year_to=2023","direction=V","opt_font=true","fontsize=8","opt_color=true","col_desc=Calculation:10;Footnote 1:9;ID:8;Label:7;Reporter:6:s;Reporter:5:long;Indicator:4:s;Indicator:3:l;Unit:2:s;Unit:1:long;","numberformat=0.00","auto_tr=1999|2015","com=true","comp=4"},1,1)</f>
        <v>31/01/2024 @ 15:44</v>
      </c>
      <c r="I12" s="1" t="str">
        <f>INDEX({"31/01/2024 @ 15:44","macro_id=DBGlobal","label_id=140991","time=Q","year_from=2000","year_to=2023","direction=V","opt_font=true","fontsize=8","opt_color=true","col_desc=Calculation:10;Footnote 1:9;ID:8;Label:7;Reporter:6:s;Reporter:5:long;Indicator:4:s;Indicator:3:l;Unit:2:s;Unit:1:long;","numberformat=0.00","auto_tr=1999|2015","com=true","comp=4"},1,1)</f>
        <v>31/01/2024 @ 15:44</v>
      </c>
      <c r="J12" s="5" t="str">
        <f>INDEX({"31/01/2024 @ 15:44","macro_id=DBGlobal","label_id=140624","calc=SubScal(CPPY=100(L_140624),100)","time=Q","year_from=2000","year_to=2023","direction=V","opt_font=true","fontsize=8","opt_color=true","col_desc=Calculation:10;Footnote 1:9;ID:8;Label:7;Reporter:6:s;Reporter:5:long;Indicator:4:s;Indicator:3:l;Unit:2:s;Unit:1:long;","numberformat=0.00","auto_tr=1999|2015","com=true","comp=4"},1,1)</f>
        <v>31/01/2024 @ 15:44</v>
      </c>
      <c r="K12" s="5" t="str">
        <f>INDEX({"31/01/2024 @ 15:44","macro_id=DBGlobal","label_id=140645","calc=SubScal(CPPY=100(L_140645),100)","time=Q","year_from=2000","year_to=2023","direction=V","opt_font=true","fontsize=8","opt_color=true","col_desc=Calculation:10;Footnote 1:9;ID:8;Label:7;Reporter:6:s;Reporter:5:long;Indicator:4:s;Indicator:3:l;Unit:2:s;Unit:1:long;","numberformat=0.00","auto_tr=1999|2015","com=true","comp=4"},1,1)</f>
        <v>31/01/2024 @ 15:44</v>
      </c>
      <c r="L12" s="5" t="str">
        <f>INDEX({"31/01/2024 @ 15:44","macro_id=DBGlobal","label_id=140661","calc=SubScal(CPPY=100(L_140661),100)","time=Q","year_from=2000","year_to=2023","direction=V","opt_font=true","fontsize=8","opt_color=true","col_desc=Calculation:10;Footnote 1:9;ID:8;Label:7;Reporter:6:s;Reporter:5:long;Indicator:4:s;Indicator:3:l;Unit:2:s;Unit:1:long;","numberformat=0.00","auto_tr=1999|2015","com=true","comp=4"},1,1)</f>
        <v>31/01/2024 @ 15:44</v>
      </c>
      <c r="M12" s="5" t="str">
        <f>INDEX({"31/01/2024 @ 15:44","macro_id=DBGlobal","label_id=140677","calc=SubScal(CPPY=100(L_140677),100)","time=Q","year_from=2000","year_to=2023","direction=V","opt_font=true","fontsize=8","opt_color=true","col_desc=Calculation:10;Footnote 1:9;ID:8;Label:7;Reporter:6:s;Reporter:5:long;Indicator:4:s;Indicator:3:l;Unit:2:s;Unit:1:long;","numberformat=0.00","auto_tr=1999|2015","com=true","comp=4"},1,1)</f>
        <v>31/01/2024 @ 15:44</v>
      </c>
      <c r="N12" s="5" t="str">
        <f>INDEX({"31/01/2024 @ 15:44","macro_id=DBGlobal","label_id=140695","calc=SubScal(CPPY=100(L_140695),100)","time=Q","year_from=2000","year_to=2023","direction=V","opt_font=true","fontsize=8","opt_color=true","col_desc=Calculation:10;Footnote 1:9;ID:8;Label:7;Reporter:6:s;Reporter:5:long;Indicator:4:s;Indicator:3:l;Unit:2:s;Unit:1:long;","numberformat=0.00","auto_tr=1999|2015","com=true","comp=4"},1,1)</f>
        <v>31/01/2024 @ 15:44</v>
      </c>
      <c r="O12" s="5" t="str">
        <f>INDEX({"31/01/2024 @ 15:44","macro_id=DBGlobal","label_id=140703","calc=SubScal(CPPY=100(L_140703),100)","time=Q","year_from=2000","year_to=2023","direction=V","opt_font=true","fontsize=8","opt_color=true","col_desc=Calculation:10;Footnote 1:9;ID:8;Label:7;Reporter:6:s;Reporter:5:long;Indicator:4:s;Indicator:3:l;Unit:2:s;Unit:1:long;","numberformat=0.00","auto_tr=1999|2015","com=true","comp=4"},1,1)</f>
        <v>31/01/2024 @ 15:44</v>
      </c>
      <c r="P12" s="1" t="str">
        <f>INDEX({"31/01/2024 @ 15:44","macro_id=DBGlobal","label_id=140946","time=Q","year_from=2000","year_to=2023","direction=V","opt_font=true","fontsize=8","opt_color=true","col_desc=Calculation:10;Footnote 1:9;ID:8;Label:7;Reporter:6:s;Reporter:5:long;Indicator:4:s;Indicator:3:l;Unit:2:s;Unit:1:long;","numberformat=0.00","auto_tr=1999|2015","com=true","comp=4"},1,1)</f>
        <v>31/01/2024 @ 15:44</v>
      </c>
      <c r="Q12" s="1" t="str">
        <f>INDEX({"31/01/2024 @ 15:44","macro_id=DBGlobal","label_id=140950","time=Q","year_from=2000","year_to=2023","direction=V","opt_font=true","fontsize=8","opt_color=true","col_desc=Calculation:10;Footnote 1:9;ID:8;Label:7;Reporter:6:s;Reporter:5:long;Indicator:4:s;Indicator:3:l;Unit:2:s;Unit:1:long;","numberformat=0.00","auto_tr=1999|2015","com=true","comp=4"},1,1)</f>
        <v>31/01/2024 @ 15:44</v>
      </c>
      <c r="R12" s="1" t="str">
        <f>INDEX({"31/01/2024 @ 15:44","macro_id=DBGlobal","label_id=140951","time=Q","year_from=2000","year_to=2023","direction=V","opt_font=true","fontsize=8","opt_color=true","col_desc=Calculation:10;Footnote 1:9;ID:8;Label:7;Reporter:6:s;Reporter:5:long;Indicator:4:s;Indicator:3:l;Unit:2:s;Unit:1:long;","numberformat=0.00","auto_tr=1999|2015","com=true","comp=4"},1,1)</f>
        <v>31/01/2024 @ 15:44</v>
      </c>
      <c r="S12" s="5" t="str">
        <f>INDEX({"31/01/2024 @ 15:44","macro_id=DBGlobal","label_id=140956","calc=SubScal(L_140956,100)","time=Q","year_from=2000","year_to=2023","direction=V","opt_font=true","fontsize=8","opt_color=true","col_desc=Calculation:10;Footnote 1:9;ID:8;Label:7;Reporter:6:s;Reporter:5:long;Indicator:4:s;Indicator:3:l;Unit:2:s;Unit:1:long;","numberformat=0.00","auto_tr=1999|2015","com=true","comp=4"},1,1)</f>
        <v>31/01/2024 @ 15:44</v>
      </c>
      <c r="T12" s="1" t="str">
        <f>INDEX({"31/01/2024 @ 15:44","macro_id=DBGlobal","label_id=140962","time=Q","year_from=2000","year_to=2023","direction=V","opt_font=true","fontsize=8","opt_color=true","col_desc=Calculation:10;Footnote 1:9;ID:8;Label:7;Reporter:6:s;Reporter:5:long;Indicator:4:s;Indicator:3:l;Unit:2:s;Unit:1:long;","numberformat=0.00","auto_tr=1999|2015","com=true","comp=4"},1,1)</f>
        <v>31/01/2024 @ 15:44</v>
      </c>
      <c r="U12" s="1" t="str">
        <f>INDEX({"31/01/2024 @ 15:44","macro_id=DBGlobal","label_id=140931","time=Q","year_from=2000","year_to=2023","direction=V","opt_font=true","fontsize=8","opt_color=true","col_desc=Calculation:10;Footnote 1:9;ID:8;Label:7;Reporter:6:s;Reporter:5:long;Indicator:4:s;Indicator:3:l;Unit:2:s;Unit:1:long;","numberformat=0.00","auto_tr=1999|2015","com=true","comp=4"},1,1)</f>
        <v>31/01/2024 @ 15:44</v>
      </c>
      <c r="V12" s="1" t="str">
        <f>INDEX({"31/01/2024 @ 15:44","macro_id=DBGlobal","label_id=140900","time=Q","year_from=2000","year_to=2023","direction=V","opt_font=true","fontsize=8","opt_color=true","col_desc=Calculation:10;Footnote 1:9;ID:8;Label:7;Reporter:6:s;Reporter:5:long;Indicator:4:s;Indicator:3:l;Unit:2:s;Unit:1:long;","numberformat=0.00","auto_tr=1999|2015","com=true","comp=4"},1,1)</f>
        <v>31/01/2024 @ 15:44</v>
      </c>
      <c r="W12" s="5" t="str">
        <f>INDEX({"31/01/2024 @ 15:44","macro_id=DBGlobal","label_id=140943","calc=SubScal(L_140943,100)","time=Q","year_from=2000","year_to=2023","direction=V","opt_font=true","fontsize=8","opt_color=true","col_desc=Calculation:10;Footnote 1:9;ID:8;Label:7;Reporter:6:s;Reporter:5:long;Indicator:4:s;Indicator:3:l;Unit:2:s;Unit:1:long;","numberformat=0.00","auto_tr=1999|2015","com=true","comp=4"},1,1)</f>
        <v>31/01/2024 @ 15:44</v>
      </c>
      <c r="X12" s="6" t="str">
        <f>INDEX({"31/01/2024 @ 15:44","macro_id=DBGlobal","label_id=140907","calc=SubScal(CPPY=100(AddNull(L_140907,L_140915)),100)","time=Q","year_from=2000","year_to=2023","direction=V","opt_font=true","fontsize=8","opt_color=true","col_desc=Calculation:10;Footnote 1:9;ID:8;Label:7;Reporter:6:s;Reporter:5:long;Indicator:4:s;Indicator:3:l;Unit:2:s;Unit:1:long;","numberformat=0.00","auto_tr=1999|2015","com=true","comp=4"},1,1)</f>
        <v>31/01/2024 @ 15:44</v>
      </c>
      <c r="Y12" s="6" t="str">
        <f>INDEX({"31/01/2024 @ 15:44","macro_id=DBGlobal","label_id=140911","calc=SubScal(CPPY=100(AddNull(L_140911,L_140919)),100)","time=Q","year_from=2000","year_to=2023","direction=V","opt_font=true","fontsize=8","opt_color=true","col_desc=Calculation:10;Footnote 1:9;ID:8;Label:7;Reporter:6:s;Reporter:5:long;Indicator:4:s;Indicator:3:l;Unit:2:s;Unit:1:long;","numberformat=0.00","auto_tr=1999|2015","com=true","comp=4"},1,1)</f>
        <v>31/01/2024 @ 15:44</v>
      </c>
      <c r="Z12" s="1" t="str">
        <f>INDEX({"31/01/2024 @ 15:44","macro_id=DBGlobal","label_id=140888","time=Q","year_from=2000","year_to=2023","direction=V","opt_font=true","fontsize=8","opt_color=true","col_desc=Calculation:10;Footnote 1:9;ID:8;Label:7;Reporter:6:s;Reporter:5:long;Indicator:4:s;Indicator:3:l;Unit:2:s;Unit:1:long;","numberformat=0.00","auto_tr=1999|2015","com=true","comp=4"},1,1)</f>
        <v>31/01/2024 @ 15:44</v>
      </c>
      <c r="AA12" s="5" t="str">
        <f>INDEX({"31/01/2024 @ 15:44","macro_id=DBGlobal","label_id=140649","calc=AddNull(L_140649,L_140657)","time=Q","year_from=2000","year_to=2023","direction=V","opt_font=true","fontsize=8","opt_color=true","col_desc=Calculation:10;Footnote 1:9;ID:8;Label:7;Reporter:6:s;Reporter:5:long;Indicator:4:s;Indicator:3:l;Unit:2:s;Unit:1:long;","numberformat=0.00","auto_tr=1999|2015","com=true","comp=4"},1,1)</f>
        <v>31/01/2024 @ 15:44</v>
      </c>
      <c r="AB12" s="1" t="str">
        <f>INDEX({"31/01/2024 @ 15:44","macro_id=DBGlobal","label_id=140665","time=Q","year_from=2000","year_to=2023","direction=V","opt_font=true","fontsize=8","opt_color=true","col_desc=Calculation:10;Footnote 1:9;ID:8;Label:7;Reporter:6:s;Reporter:5:long;Indicator:4:s;Indicator:3:l;Unit:2:s;Unit:1:long;","numberformat=0.00","auto_tr=1999|2015","com=true","comp=4"},1,1)</f>
        <v>31/01/2024 @ 15:44</v>
      </c>
      <c r="AC12" s="1" t="str">
        <f>INDEX({"31/01/2024 @ 15:44","macro_id=DBGlobal","label_id=140681","time=Q","year_from=2000","year_to=2023","direction=V","opt_font=true","fontsize=8","opt_color=true","col_desc=Calculation:10;Footnote 1:9;ID:8;Label:7;Reporter:6:s;Reporter:5:long;Indicator:4:s;Indicator:3:l;Unit:2:s;Unit:1:long;","numberformat=0.00","auto_tr=1999|2015","com=true","comp=4"},1,1)</f>
        <v>31/01/2024 @ 15:44</v>
      </c>
      <c r="AD12" s="1" t="str">
        <f>INDEX({"31/01/2024 @ 15:44","macro_id=DBGlobal","label_id=140699","time=Q","year_from=2000","year_to=2023","direction=V","opt_font=true","fontsize=8","opt_color=true","col_desc=Calculation:10;Footnote 1:9;ID:8;Label:7;Reporter:6:s;Reporter:5:long;Indicator:4:s;Indicator:3:l;Unit:2:s;Unit:1:long;","numberformat=0.00","auto_tr=1999|2015","com=true","comp=4"},1,1)</f>
        <v>31/01/2024 @ 15:44</v>
      </c>
      <c r="AE12" s="1" t="str">
        <f>INDEX({"31/01/2024 @ 15:44","macro_id=DBGlobal","label_id=140707","time=Q","year_from=2000","year_to=2023","direction=V","opt_font=true","fontsize=8","opt_color=true","col_desc=Calculation:10;Footnote 1:9;ID:8;Label:7;Reporter:6:s;Reporter:5:long;Indicator:4:s;Indicator:3:l;Unit:2:s;Unit:1:long;","numberformat=0.00","auto_tr=1999|2015","com=true","comp=4"},1,1)</f>
        <v>31/01/2024 @ 15:44</v>
      </c>
      <c r="AF12" s="5" t="str">
        <f>INDEX({"31/01/2024 @ 15:44","macro_id=DBGlobal","label_id=123207","calc=SubScal(L_123207,100)","time=Q","year_from=2000","year_to=2023","direction=V","opt_font=true","fontsize=8","opt_color=true","col_desc=Calculation:10;Footnote 1:9;ID:8;Label:7;Reporter:6:s;Reporter:5:long;Indicator:4:s;Indicator:3:l;Unit:2:s;Unit:1:long;","numberformat=0.00","auto_tr=1999|2015","com=true","comp=4"},1,1)</f>
        <v>31/01/2024 @ 15:44</v>
      </c>
      <c r="AG12" s="4" t="str">
        <f>INDEX({"31/01/2024 @ 15:44","macro_id=DBGlobal","label_id=141000","time=Q","year_from=2000","year_to=2023","direction=V","opt_font=true","fontsize=8","opt_color=true","col_desc=Calculation:10;Footnote 1:9;ID:8;Label:7;Reporter:6:s;Reporter:5:long;Indicator:4:s;Indicator:3:l;Unit:2:s;Unit:1:long;","numberformat=0.00","auto_tr=1999|2015","com=true","comp=4"},1,1)</f>
        <v>31/01/2024 @ 15:44</v>
      </c>
    </row>
    <row r="13" spans="1:33" s="11" customFormat="1" x14ac:dyDescent="0.3">
      <c r="A13" s="11" t="s">
        <v>19</v>
      </c>
      <c r="B13" s="12">
        <v>4.8214176000000002</v>
      </c>
      <c r="C13" s="12">
        <v>73.989999999999995</v>
      </c>
      <c r="D13" s="12">
        <v>1.7557532</v>
      </c>
      <c r="E13" s="12">
        <v>3.25</v>
      </c>
      <c r="F13" s="13">
        <v>26.926666699999998</v>
      </c>
      <c r="G13" s="7" t="s">
        <v>107</v>
      </c>
      <c r="H13" s="7" t="s">
        <v>107</v>
      </c>
      <c r="I13" s="7" t="s">
        <v>107</v>
      </c>
      <c r="J13" s="7" t="s">
        <v>107</v>
      </c>
      <c r="K13" s="7" t="s">
        <v>107</v>
      </c>
      <c r="L13" s="7" t="s">
        <v>107</v>
      </c>
      <c r="M13" s="20" t="s">
        <v>107</v>
      </c>
      <c r="N13" s="7" t="s">
        <v>107</v>
      </c>
      <c r="O13" s="7" t="s">
        <v>107</v>
      </c>
      <c r="P13" s="7">
        <v>1446.8</v>
      </c>
      <c r="Q13" s="7">
        <v>169.6</v>
      </c>
      <c r="R13" s="7">
        <v>10.5</v>
      </c>
      <c r="S13" s="7" t="s">
        <v>107</v>
      </c>
      <c r="T13" s="12">
        <v>30</v>
      </c>
      <c r="U13" s="12">
        <v>27.603885500000001</v>
      </c>
      <c r="V13" s="12">
        <v>12.272395100000001</v>
      </c>
      <c r="W13" s="7" t="s">
        <v>107</v>
      </c>
      <c r="X13" s="7" t="s">
        <v>107</v>
      </c>
      <c r="Y13" s="7" t="s">
        <v>107</v>
      </c>
      <c r="Z13" s="7" t="s">
        <v>107</v>
      </c>
      <c r="AA13" s="7" t="s">
        <v>107</v>
      </c>
      <c r="AB13" s="7" t="s">
        <v>107</v>
      </c>
      <c r="AC13" s="7" t="s">
        <v>107</v>
      </c>
      <c r="AD13" s="7" t="s">
        <v>107</v>
      </c>
      <c r="AE13" s="7" t="s">
        <v>107</v>
      </c>
      <c r="AF13" s="7" t="s">
        <v>107</v>
      </c>
      <c r="AG13" s="7" t="s">
        <v>107</v>
      </c>
    </row>
    <row r="14" spans="1:33" s="11" customFormat="1" outlineLevel="1" x14ac:dyDescent="0.3">
      <c r="A14" s="11" t="s">
        <v>20</v>
      </c>
      <c r="B14" s="12">
        <v>4.3154814000000004</v>
      </c>
      <c r="C14" s="12">
        <v>74.493333300000003</v>
      </c>
      <c r="D14" s="12">
        <v>1.6742492</v>
      </c>
      <c r="E14" s="12">
        <v>3.9166666999999999</v>
      </c>
      <c r="F14" s="13">
        <v>26.766666699999998</v>
      </c>
      <c r="G14" s="7" t="s">
        <v>107</v>
      </c>
      <c r="H14" s="7" t="s">
        <v>107</v>
      </c>
      <c r="I14" s="7" t="s">
        <v>107</v>
      </c>
      <c r="J14" s="7" t="s">
        <v>107</v>
      </c>
      <c r="K14" s="7" t="s">
        <v>107</v>
      </c>
      <c r="L14" s="7" t="s">
        <v>107</v>
      </c>
      <c r="M14" s="20" t="s">
        <v>107</v>
      </c>
      <c r="N14" s="7" t="s">
        <v>107</v>
      </c>
      <c r="O14" s="7" t="s">
        <v>107</v>
      </c>
      <c r="P14" s="7">
        <v>1557.9</v>
      </c>
      <c r="Q14" s="7">
        <v>131.4</v>
      </c>
      <c r="R14" s="7">
        <v>7.8</v>
      </c>
      <c r="S14" s="7" t="s">
        <v>107</v>
      </c>
      <c r="T14" s="12">
        <v>29</v>
      </c>
      <c r="U14" s="12">
        <v>28.866986499999999</v>
      </c>
      <c r="V14" s="12">
        <v>11.768538599999999</v>
      </c>
      <c r="W14" s="7" t="s">
        <v>107</v>
      </c>
      <c r="X14" s="7" t="s">
        <v>107</v>
      </c>
      <c r="Y14" s="7" t="s">
        <v>107</v>
      </c>
      <c r="Z14" s="7" t="s">
        <v>107</v>
      </c>
      <c r="AA14" s="7" t="s">
        <v>107</v>
      </c>
      <c r="AB14" s="7" t="s">
        <v>107</v>
      </c>
      <c r="AC14" s="7" t="s">
        <v>107</v>
      </c>
      <c r="AD14" s="7" t="s">
        <v>107</v>
      </c>
      <c r="AE14" s="7" t="s">
        <v>107</v>
      </c>
      <c r="AF14" s="7" t="s">
        <v>107</v>
      </c>
      <c r="AG14" s="7" t="s">
        <v>107</v>
      </c>
    </row>
    <row r="15" spans="1:33" s="11" customFormat="1" outlineLevel="1" x14ac:dyDescent="0.3">
      <c r="A15" s="11" t="s">
        <v>21</v>
      </c>
      <c r="B15" s="12">
        <v>3.5071058000000002</v>
      </c>
      <c r="C15" s="12">
        <v>74.819999999999993</v>
      </c>
      <c r="D15" s="12">
        <v>1.9670194000000001</v>
      </c>
      <c r="E15" s="17">
        <v>4.3333332999999996</v>
      </c>
      <c r="F15" s="13">
        <v>30.673333299999999</v>
      </c>
      <c r="G15" s="7" t="s">
        <v>107</v>
      </c>
      <c r="H15" s="7" t="s">
        <v>107</v>
      </c>
      <c r="I15" s="7" t="s">
        <v>107</v>
      </c>
      <c r="J15" s="7" t="s">
        <v>107</v>
      </c>
      <c r="K15" s="7" t="s">
        <v>107</v>
      </c>
      <c r="L15" s="7" t="s">
        <v>107</v>
      </c>
      <c r="M15" s="20" t="s">
        <v>107</v>
      </c>
      <c r="N15" s="7" t="s">
        <v>107</v>
      </c>
      <c r="O15" s="7" t="s">
        <v>107</v>
      </c>
      <c r="P15" s="7">
        <v>1568.3</v>
      </c>
      <c r="Q15" s="7">
        <v>123.4</v>
      </c>
      <c r="R15" s="7">
        <v>7.3</v>
      </c>
      <c r="S15" s="7" t="s">
        <v>107</v>
      </c>
      <c r="T15" s="12">
        <v>28.7</v>
      </c>
      <c r="U15" s="12">
        <v>30.347279700000001</v>
      </c>
      <c r="V15" s="12">
        <v>11.2264596</v>
      </c>
      <c r="W15" s="7" t="s">
        <v>107</v>
      </c>
      <c r="X15" s="7" t="s">
        <v>107</v>
      </c>
      <c r="Y15" s="7" t="s">
        <v>107</v>
      </c>
      <c r="Z15" s="7" t="s">
        <v>107</v>
      </c>
      <c r="AA15" s="7" t="s">
        <v>107</v>
      </c>
      <c r="AB15" s="7" t="s">
        <v>107</v>
      </c>
      <c r="AC15" s="7" t="s">
        <v>107</v>
      </c>
      <c r="AD15" s="7" t="s">
        <v>107</v>
      </c>
      <c r="AE15" s="7" t="s">
        <v>107</v>
      </c>
      <c r="AF15" s="7" t="s">
        <v>107</v>
      </c>
      <c r="AG15" s="7" t="s">
        <v>107</v>
      </c>
    </row>
    <row r="16" spans="1:33" s="11" customFormat="1" outlineLevel="1" x14ac:dyDescent="0.3">
      <c r="A16" s="11" t="s">
        <v>22</v>
      </c>
      <c r="B16" s="12">
        <v>2.8994336000000001</v>
      </c>
      <c r="C16" s="12">
        <v>75.3</v>
      </c>
      <c r="D16" s="12">
        <v>2.2218200000000001</v>
      </c>
      <c r="E16" s="17">
        <v>4.75</v>
      </c>
      <c r="F16" s="13">
        <v>29.7233333</v>
      </c>
      <c r="G16" s="7" t="s">
        <v>107</v>
      </c>
      <c r="H16" s="7" t="s">
        <v>107</v>
      </c>
      <c r="I16" s="7" t="s">
        <v>107</v>
      </c>
      <c r="J16" s="7" t="s">
        <v>107</v>
      </c>
      <c r="K16" s="7" t="s">
        <v>107</v>
      </c>
      <c r="L16" s="7" t="s">
        <v>107</v>
      </c>
      <c r="M16" s="20" t="s">
        <v>107</v>
      </c>
      <c r="N16" s="7" t="s">
        <v>107</v>
      </c>
      <c r="O16" s="7" t="s">
        <v>107</v>
      </c>
      <c r="P16" s="7">
        <v>1485.3</v>
      </c>
      <c r="Q16" s="7">
        <v>136</v>
      </c>
      <c r="R16" s="7">
        <v>8.4</v>
      </c>
      <c r="S16" s="7" t="s">
        <v>107</v>
      </c>
      <c r="T16" s="12">
        <v>27</v>
      </c>
      <c r="U16" s="12">
        <v>31.2659713</v>
      </c>
      <c r="V16" s="12">
        <v>10.7197558</v>
      </c>
      <c r="W16" s="7" t="s">
        <v>107</v>
      </c>
      <c r="X16" s="7" t="s">
        <v>107</v>
      </c>
      <c r="Y16" s="7" t="s">
        <v>107</v>
      </c>
      <c r="Z16" s="7" t="s">
        <v>107</v>
      </c>
      <c r="AA16" s="7" t="s">
        <v>107</v>
      </c>
      <c r="AB16" s="7" t="s">
        <v>107</v>
      </c>
      <c r="AC16" s="7" t="s">
        <v>107</v>
      </c>
      <c r="AD16" s="7" t="s">
        <v>107</v>
      </c>
      <c r="AE16" s="7" t="s">
        <v>107</v>
      </c>
      <c r="AF16" s="7" t="s">
        <v>107</v>
      </c>
      <c r="AG16" s="7" t="s">
        <v>107</v>
      </c>
    </row>
    <row r="17" spans="1:33" s="11" customFormat="1" outlineLevel="1" x14ac:dyDescent="0.3">
      <c r="A17" s="11" t="s">
        <v>23</v>
      </c>
      <c r="B17" s="12">
        <v>3.0047543999999999</v>
      </c>
      <c r="C17" s="12">
        <v>75.393333299999995</v>
      </c>
      <c r="D17" s="12">
        <v>1.8966527</v>
      </c>
      <c r="E17" s="17">
        <v>4.75</v>
      </c>
      <c r="F17" s="13">
        <v>25.873333299999999</v>
      </c>
      <c r="G17" s="7" t="s">
        <v>107</v>
      </c>
      <c r="H17" s="7" t="s">
        <v>107</v>
      </c>
      <c r="I17" s="7" t="s">
        <v>107</v>
      </c>
      <c r="J17" s="7" t="s">
        <v>107</v>
      </c>
      <c r="K17" s="7" t="s">
        <v>107</v>
      </c>
      <c r="L17" s="7" t="s">
        <v>107</v>
      </c>
      <c r="M17" s="20" t="s">
        <v>107</v>
      </c>
      <c r="N17" s="7" t="s">
        <v>107</v>
      </c>
      <c r="O17" s="7" t="s">
        <v>107</v>
      </c>
      <c r="P17" s="7">
        <v>1443</v>
      </c>
      <c r="Q17" s="7">
        <v>139.80000000000001</v>
      </c>
      <c r="R17" s="7">
        <v>8.8000000000000007</v>
      </c>
      <c r="S17" s="12">
        <v>28.1661891</v>
      </c>
      <c r="T17" s="12">
        <v>20</v>
      </c>
      <c r="U17" s="12">
        <v>31.989393799999998</v>
      </c>
      <c r="V17" s="12">
        <v>11.7278704</v>
      </c>
      <c r="W17" s="7" t="s">
        <v>107</v>
      </c>
      <c r="X17" s="7" t="s">
        <v>107</v>
      </c>
      <c r="Y17" s="7" t="s">
        <v>107</v>
      </c>
      <c r="Z17" s="7" t="s">
        <v>107</v>
      </c>
      <c r="AA17" s="7" t="s">
        <v>107</v>
      </c>
      <c r="AB17" s="7" t="s">
        <v>107</v>
      </c>
      <c r="AC17" s="7" t="s">
        <v>107</v>
      </c>
      <c r="AD17" s="7" t="s">
        <v>107</v>
      </c>
      <c r="AE17" s="7" t="s">
        <v>107</v>
      </c>
      <c r="AF17" s="7" t="s">
        <v>107</v>
      </c>
      <c r="AG17" s="7" t="s">
        <v>107</v>
      </c>
    </row>
    <row r="18" spans="1:33" s="11" customFormat="1" outlineLevel="1" x14ac:dyDescent="0.3">
      <c r="A18" s="11" t="s">
        <v>24</v>
      </c>
      <c r="B18" s="12">
        <v>2.2522867999999998</v>
      </c>
      <c r="C18" s="12">
        <v>76.483333299999998</v>
      </c>
      <c r="D18" s="12">
        <v>2.6713800000000001</v>
      </c>
      <c r="E18" s="17">
        <v>4.5833332999999996</v>
      </c>
      <c r="F18" s="13">
        <v>27.273333300000001</v>
      </c>
      <c r="G18" s="7" t="s">
        <v>107</v>
      </c>
      <c r="H18" s="7" t="s">
        <v>107</v>
      </c>
      <c r="I18" s="7" t="s">
        <v>107</v>
      </c>
      <c r="J18" s="7" t="s">
        <v>107</v>
      </c>
      <c r="K18" s="7" t="s">
        <v>107</v>
      </c>
      <c r="L18" s="7" t="s">
        <v>107</v>
      </c>
      <c r="M18" s="20" t="s">
        <v>107</v>
      </c>
      <c r="N18" s="7" t="s">
        <v>107</v>
      </c>
      <c r="O18" s="7" t="s">
        <v>107</v>
      </c>
      <c r="P18" s="7">
        <v>1532.7</v>
      </c>
      <c r="Q18" s="7">
        <v>112</v>
      </c>
      <c r="R18" s="7">
        <v>6.8</v>
      </c>
      <c r="S18" s="12">
        <v>28.832304499999999</v>
      </c>
      <c r="T18" s="12">
        <v>20</v>
      </c>
      <c r="U18" s="12">
        <v>32.620551200000001</v>
      </c>
      <c r="V18" s="12">
        <v>11.315114700000001</v>
      </c>
      <c r="W18" s="7" t="s">
        <v>107</v>
      </c>
      <c r="X18" s="7" t="s">
        <v>107</v>
      </c>
      <c r="Y18" s="7" t="s">
        <v>107</v>
      </c>
      <c r="Z18" s="7" t="s">
        <v>107</v>
      </c>
      <c r="AA18" s="7" t="s">
        <v>107</v>
      </c>
      <c r="AB18" s="7" t="s">
        <v>107</v>
      </c>
      <c r="AC18" s="7" t="s">
        <v>107</v>
      </c>
      <c r="AD18" s="7" t="s">
        <v>107</v>
      </c>
      <c r="AE18" s="7" t="s">
        <v>107</v>
      </c>
      <c r="AF18" s="7" t="s">
        <v>107</v>
      </c>
      <c r="AG18" s="7" t="s">
        <v>107</v>
      </c>
    </row>
    <row r="19" spans="1:33" s="11" customFormat="1" outlineLevel="1" x14ac:dyDescent="0.3">
      <c r="A19" s="11" t="s">
        <v>25</v>
      </c>
      <c r="B19" s="12">
        <v>1.8991327</v>
      </c>
      <c r="C19" s="12">
        <v>76.516666700000002</v>
      </c>
      <c r="D19" s="12">
        <v>2.2676647000000001</v>
      </c>
      <c r="E19" s="17">
        <v>4.1666667000000004</v>
      </c>
      <c r="F19" s="13">
        <v>25.303333299999998</v>
      </c>
      <c r="G19" s="7" t="s">
        <v>107</v>
      </c>
      <c r="H19" s="7" t="s">
        <v>107</v>
      </c>
      <c r="I19" s="7" t="s">
        <v>107</v>
      </c>
      <c r="J19" s="7" t="s">
        <v>107</v>
      </c>
      <c r="K19" s="7" t="s">
        <v>107</v>
      </c>
      <c r="L19" s="7" t="s">
        <v>107</v>
      </c>
      <c r="M19" s="20" t="s">
        <v>107</v>
      </c>
      <c r="N19" s="7" t="s">
        <v>107</v>
      </c>
      <c r="O19" s="7" t="s">
        <v>107</v>
      </c>
      <c r="P19" s="7">
        <v>1555.8</v>
      </c>
      <c r="Q19" s="7">
        <v>105</v>
      </c>
      <c r="R19" s="7">
        <v>6.3</v>
      </c>
      <c r="S19" s="12">
        <v>27.3686735</v>
      </c>
      <c r="T19" s="12">
        <v>17</v>
      </c>
      <c r="U19" s="12">
        <v>32.0009625</v>
      </c>
      <c r="V19" s="12">
        <v>11.465916399999999</v>
      </c>
      <c r="W19" s="7" t="s">
        <v>107</v>
      </c>
      <c r="X19" s="7" t="s">
        <v>107</v>
      </c>
      <c r="Y19" s="7" t="s">
        <v>107</v>
      </c>
      <c r="Z19" s="7" t="s">
        <v>107</v>
      </c>
      <c r="AA19" s="7" t="s">
        <v>107</v>
      </c>
      <c r="AB19" s="7" t="s">
        <v>107</v>
      </c>
      <c r="AC19" s="7" t="s">
        <v>107</v>
      </c>
      <c r="AD19" s="7" t="s">
        <v>107</v>
      </c>
      <c r="AE19" s="7" t="s">
        <v>107</v>
      </c>
      <c r="AF19" s="7" t="s">
        <v>107</v>
      </c>
      <c r="AG19" s="7" t="s">
        <v>107</v>
      </c>
    </row>
    <row r="20" spans="1:33" s="11" customFormat="1" outlineLevel="1" x14ac:dyDescent="0.3">
      <c r="A20" s="11" t="s">
        <v>26</v>
      </c>
      <c r="B20" s="12">
        <v>1.4300580000000001</v>
      </c>
      <c r="C20" s="12">
        <v>76.746666700000006</v>
      </c>
      <c r="D20" s="12">
        <v>1.9212041</v>
      </c>
      <c r="E20" s="17">
        <v>3.4166666999999999</v>
      </c>
      <c r="F20" s="13">
        <v>19.350000000000001</v>
      </c>
      <c r="G20" s="7" t="s">
        <v>107</v>
      </c>
      <c r="H20" s="7" t="s">
        <v>107</v>
      </c>
      <c r="I20" s="7" t="s">
        <v>107</v>
      </c>
      <c r="J20" s="7" t="s">
        <v>107</v>
      </c>
      <c r="K20" s="7" t="s">
        <v>107</v>
      </c>
      <c r="L20" s="7" t="s">
        <v>107</v>
      </c>
      <c r="M20" s="20" t="s">
        <v>107</v>
      </c>
      <c r="N20" s="7" t="s">
        <v>107</v>
      </c>
      <c r="O20" s="7" t="s">
        <v>107</v>
      </c>
      <c r="P20" s="7">
        <v>1464.3</v>
      </c>
      <c r="Q20" s="7">
        <v>114</v>
      </c>
      <c r="R20" s="7">
        <v>7.2</v>
      </c>
      <c r="S20" s="12">
        <v>20.859242500000001</v>
      </c>
      <c r="T20" s="12">
        <v>13.5</v>
      </c>
      <c r="U20" s="12">
        <v>33.003731899999998</v>
      </c>
      <c r="V20" s="12">
        <v>11.5860982</v>
      </c>
      <c r="W20" s="7" t="s">
        <v>107</v>
      </c>
      <c r="X20" s="7" t="s">
        <v>107</v>
      </c>
      <c r="Y20" s="7" t="s">
        <v>107</v>
      </c>
      <c r="Z20" s="7" t="s">
        <v>107</v>
      </c>
      <c r="AA20" s="7" t="s">
        <v>107</v>
      </c>
      <c r="AB20" s="7" t="s">
        <v>107</v>
      </c>
      <c r="AC20" s="7" t="s">
        <v>107</v>
      </c>
      <c r="AD20" s="7" t="s">
        <v>107</v>
      </c>
      <c r="AE20" s="7" t="s">
        <v>107</v>
      </c>
      <c r="AF20" s="7" t="s">
        <v>107</v>
      </c>
      <c r="AG20" s="7" t="s">
        <v>107</v>
      </c>
    </row>
    <row r="21" spans="1:33" s="11" customFormat="1" outlineLevel="1" x14ac:dyDescent="0.3">
      <c r="A21" s="11" t="s">
        <v>27</v>
      </c>
      <c r="B21" s="12">
        <v>7.1740499999999999E-2</v>
      </c>
      <c r="C21" s="12">
        <v>77.180000000000007</v>
      </c>
      <c r="D21" s="12">
        <v>2.3697940000000002</v>
      </c>
      <c r="E21" s="17">
        <v>3.25</v>
      </c>
      <c r="F21" s="13">
        <v>21.1333333</v>
      </c>
      <c r="G21" s="7" t="s">
        <v>107</v>
      </c>
      <c r="H21" s="7" t="s">
        <v>107</v>
      </c>
      <c r="I21" s="7" t="s">
        <v>107</v>
      </c>
      <c r="J21" s="7" t="s">
        <v>107</v>
      </c>
      <c r="K21" s="7" t="s">
        <v>107</v>
      </c>
      <c r="L21" s="7" t="s">
        <v>107</v>
      </c>
      <c r="M21" s="20" t="s">
        <v>107</v>
      </c>
      <c r="N21" s="7" t="s">
        <v>107</v>
      </c>
      <c r="O21" s="7" t="s">
        <v>107</v>
      </c>
      <c r="P21" s="7">
        <v>1455.6</v>
      </c>
      <c r="Q21" s="7">
        <v>124.3</v>
      </c>
      <c r="R21" s="7">
        <v>7.9</v>
      </c>
      <c r="S21" s="12">
        <v>29.443326599999999</v>
      </c>
      <c r="T21" s="12">
        <v>13</v>
      </c>
      <c r="U21" s="12">
        <v>33.9418425</v>
      </c>
      <c r="V21" s="12">
        <v>11.581432700000001</v>
      </c>
      <c r="W21" s="7" t="s">
        <v>107</v>
      </c>
      <c r="X21" s="7" t="s">
        <v>107</v>
      </c>
      <c r="Y21" s="7" t="s">
        <v>107</v>
      </c>
      <c r="Z21" s="7" t="s">
        <v>107</v>
      </c>
      <c r="AA21" s="7" t="s">
        <v>107</v>
      </c>
      <c r="AB21" s="7" t="s">
        <v>107</v>
      </c>
      <c r="AC21" s="7" t="s">
        <v>107</v>
      </c>
      <c r="AD21" s="7" t="s">
        <v>107</v>
      </c>
      <c r="AE21" s="7" t="s">
        <v>107</v>
      </c>
      <c r="AF21" s="7" t="s">
        <v>107</v>
      </c>
      <c r="AG21" s="7" t="s">
        <v>107</v>
      </c>
    </row>
    <row r="22" spans="1:33" s="11" customFormat="1" outlineLevel="1" x14ac:dyDescent="0.3">
      <c r="A22" s="11" t="s">
        <v>28</v>
      </c>
      <c r="B22" s="12">
        <v>1.2490021</v>
      </c>
      <c r="C22" s="12">
        <v>77.933333300000001</v>
      </c>
      <c r="D22" s="12">
        <v>1.8958379000000001</v>
      </c>
      <c r="E22" s="17">
        <v>3.25</v>
      </c>
      <c r="F22" s="13">
        <v>25.053333299999998</v>
      </c>
      <c r="G22" s="7" t="s">
        <v>107</v>
      </c>
      <c r="H22" s="7" t="s">
        <v>107</v>
      </c>
      <c r="I22" s="7" t="s">
        <v>107</v>
      </c>
      <c r="J22" s="7" t="s">
        <v>107</v>
      </c>
      <c r="K22" s="7" t="s">
        <v>107</v>
      </c>
      <c r="L22" s="7" t="s">
        <v>107</v>
      </c>
      <c r="M22" s="20" t="s">
        <v>107</v>
      </c>
      <c r="N22" s="7" t="s">
        <v>107</v>
      </c>
      <c r="O22" s="7" t="s">
        <v>107</v>
      </c>
      <c r="P22" s="7">
        <v>1533.9</v>
      </c>
      <c r="Q22" s="7">
        <v>103.6</v>
      </c>
      <c r="R22" s="7">
        <v>6.3</v>
      </c>
      <c r="S22" s="12">
        <v>29.1275704</v>
      </c>
      <c r="T22" s="12">
        <v>12</v>
      </c>
      <c r="U22" s="12">
        <v>34.626131200000003</v>
      </c>
      <c r="V22" s="12">
        <v>12.495146500000001</v>
      </c>
      <c r="W22" s="7" t="s">
        <v>107</v>
      </c>
      <c r="X22" s="7" t="s">
        <v>107</v>
      </c>
      <c r="Y22" s="7" t="s">
        <v>107</v>
      </c>
      <c r="Z22" s="7" t="s">
        <v>107</v>
      </c>
      <c r="AA22" s="7" t="s">
        <v>107</v>
      </c>
      <c r="AB22" s="7" t="s">
        <v>107</v>
      </c>
      <c r="AC22" s="7" t="s">
        <v>107</v>
      </c>
      <c r="AD22" s="7" t="s">
        <v>107</v>
      </c>
      <c r="AE22" s="7" t="s">
        <v>107</v>
      </c>
      <c r="AF22" s="7" t="s">
        <v>107</v>
      </c>
      <c r="AG22" s="7" t="s">
        <v>107</v>
      </c>
    </row>
    <row r="23" spans="1:33" s="11" customFormat="1" outlineLevel="1" x14ac:dyDescent="0.3">
      <c r="A23" s="11" t="s">
        <v>29</v>
      </c>
      <c r="B23" s="12">
        <v>1.6677649999999999</v>
      </c>
      <c r="C23" s="12">
        <v>77.973333299999993</v>
      </c>
      <c r="D23" s="12">
        <v>1.9037246000000001</v>
      </c>
      <c r="E23" s="17">
        <v>3.25</v>
      </c>
      <c r="F23" s="13">
        <v>26.93</v>
      </c>
      <c r="G23" s="7" t="s">
        <v>107</v>
      </c>
      <c r="H23" s="7" t="s">
        <v>107</v>
      </c>
      <c r="I23" s="7" t="s">
        <v>107</v>
      </c>
      <c r="J23" s="7" t="s">
        <v>107</v>
      </c>
      <c r="K23" s="7" t="s">
        <v>107</v>
      </c>
      <c r="L23" s="7" t="s">
        <v>107</v>
      </c>
      <c r="M23" s="20" t="s">
        <v>107</v>
      </c>
      <c r="N23" s="7" t="s">
        <v>107</v>
      </c>
      <c r="O23" s="7" t="s">
        <v>107</v>
      </c>
      <c r="P23" s="7">
        <v>1566.4</v>
      </c>
      <c r="Q23" s="7">
        <v>96.8</v>
      </c>
      <c r="R23" s="7">
        <v>5.8</v>
      </c>
      <c r="S23" s="12">
        <v>32.862523500000002</v>
      </c>
      <c r="T23" s="12">
        <v>10</v>
      </c>
      <c r="U23" s="12">
        <v>33.457467800000003</v>
      </c>
      <c r="V23" s="12">
        <v>13.4077055</v>
      </c>
      <c r="W23" s="7" t="s">
        <v>107</v>
      </c>
      <c r="X23" s="7" t="s">
        <v>107</v>
      </c>
      <c r="Y23" s="7" t="s">
        <v>107</v>
      </c>
      <c r="Z23" s="7" t="s">
        <v>107</v>
      </c>
      <c r="AA23" s="7" t="s">
        <v>107</v>
      </c>
      <c r="AB23" s="7" t="s">
        <v>107</v>
      </c>
      <c r="AC23" s="7" t="s">
        <v>107</v>
      </c>
      <c r="AD23" s="7" t="s">
        <v>107</v>
      </c>
      <c r="AE23" s="7" t="s">
        <v>107</v>
      </c>
      <c r="AF23" s="7" t="s">
        <v>107</v>
      </c>
      <c r="AG23" s="7" t="s">
        <v>107</v>
      </c>
    </row>
    <row r="24" spans="1:33" s="11" customFormat="1" outlineLevel="1" x14ac:dyDescent="0.3">
      <c r="A24" s="11" t="s">
        <v>30</v>
      </c>
      <c r="B24" s="12">
        <v>1.208337</v>
      </c>
      <c r="C24" s="12">
        <v>78.4033333</v>
      </c>
      <c r="D24" s="12">
        <v>2.158617</v>
      </c>
      <c r="E24" s="17">
        <v>3.0833333000000001</v>
      </c>
      <c r="F24" s="13">
        <v>26.736666700000001</v>
      </c>
      <c r="G24" s="7" t="s">
        <v>107</v>
      </c>
      <c r="H24" s="7" t="s">
        <v>107</v>
      </c>
      <c r="I24" s="7" t="s">
        <v>107</v>
      </c>
      <c r="J24" s="7" t="s">
        <v>107</v>
      </c>
      <c r="K24" s="7" t="s">
        <v>107</v>
      </c>
      <c r="L24" s="7" t="s">
        <v>107</v>
      </c>
      <c r="M24" s="20" t="s">
        <v>107</v>
      </c>
      <c r="N24" s="7" t="s">
        <v>107</v>
      </c>
      <c r="O24" s="7" t="s">
        <v>107</v>
      </c>
      <c r="P24" s="7">
        <v>1464.6</v>
      </c>
      <c r="Q24" s="7">
        <v>114.7</v>
      </c>
      <c r="R24" s="7">
        <v>7.3</v>
      </c>
      <c r="S24" s="12">
        <v>38.026192700000003</v>
      </c>
      <c r="T24" s="12">
        <v>9.5</v>
      </c>
      <c r="U24" s="12">
        <v>34.460386</v>
      </c>
      <c r="V24" s="12">
        <v>13.814312899999999</v>
      </c>
      <c r="W24" s="7" t="s">
        <v>107</v>
      </c>
      <c r="X24" s="7" t="s">
        <v>107</v>
      </c>
      <c r="Y24" s="7" t="s">
        <v>107</v>
      </c>
      <c r="Z24" s="7" t="s">
        <v>107</v>
      </c>
      <c r="AA24" s="7" t="s">
        <v>107</v>
      </c>
      <c r="AB24" s="7" t="s">
        <v>107</v>
      </c>
      <c r="AC24" s="7" t="s">
        <v>107</v>
      </c>
      <c r="AD24" s="7" t="s">
        <v>107</v>
      </c>
      <c r="AE24" s="7" t="s">
        <v>107</v>
      </c>
      <c r="AF24" s="7" t="s">
        <v>107</v>
      </c>
      <c r="AG24" s="7" t="s">
        <v>107</v>
      </c>
    </row>
    <row r="25" spans="1:33" s="11" customFormat="1" outlineLevel="1" x14ac:dyDescent="0.3">
      <c r="A25" s="11" t="s">
        <v>31</v>
      </c>
      <c r="B25" s="12">
        <v>1.0748135000000001</v>
      </c>
      <c r="C25" s="12">
        <v>78.856666700000005</v>
      </c>
      <c r="D25" s="12">
        <v>2.1724109</v>
      </c>
      <c r="E25" s="17">
        <v>2.6666666999999999</v>
      </c>
      <c r="F25" s="13">
        <v>31.52</v>
      </c>
      <c r="G25" s="7" t="s">
        <v>107</v>
      </c>
      <c r="H25" s="7" t="s">
        <v>107</v>
      </c>
      <c r="I25" s="7" t="s">
        <v>107</v>
      </c>
      <c r="J25" s="7" t="s">
        <v>107</v>
      </c>
      <c r="K25" s="7" t="s">
        <v>107</v>
      </c>
      <c r="L25" s="7" t="s">
        <v>107</v>
      </c>
      <c r="M25" s="20" t="s">
        <v>107</v>
      </c>
      <c r="N25" s="7" t="s">
        <v>107</v>
      </c>
      <c r="O25" s="7" t="s">
        <v>107</v>
      </c>
      <c r="P25" s="7">
        <v>1290.3</v>
      </c>
      <c r="Q25" s="7">
        <v>139.69999999999999</v>
      </c>
      <c r="R25" s="7">
        <v>9.8000000000000007</v>
      </c>
      <c r="S25" s="12">
        <v>33.972366100000002</v>
      </c>
      <c r="T25" s="12">
        <v>10.5</v>
      </c>
      <c r="U25" s="12">
        <v>36.234721700000001</v>
      </c>
      <c r="V25" s="12">
        <v>15.202969400000001</v>
      </c>
      <c r="W25" s="7" t="s">
        <v>107</v>
      </c>
      <c r="X25" s="7" t="s">
        <v>107</v>
      </c>
      <c r="Y25" s="7" t="s">
        <v>107</v>
      </c>
      <c r="Z25" s="7" t="s">
        <v>107</v>
      </c>
      <c r="AA25" s="7" t="s">
        <v>107</v>
      </c>
      <c r="AB25" s="7" t="s">
        <v>107</v>
      </c>
      <c r="AC25" s="7" t="s">
        <v>107</v>
      </c>
      <c r="AD25" s="7" t="s">
        <v>107</v>
      </c>
      <c r="AE25" s="7" t="s">
        <v>107</v>
      </c>
      <c r="AF25" s="7" t="s">
        <v>107</v>
      </c>
      <c r="AG25" s="7" t="s">
        <v>107</v>
      </c>
    </row>
    <row r="26" spans="1:33" s="11" customFormat="1" outlineLevel="1" x14ac:dyDescent="0.3">
      <c r="A26" s="11" t="s">
        <v>32</v>
      </c>
      <c r="B26" s="12">
        <v>0.33264589999999999</v>
      </c>
      <c r="C26" s="12">
        <v>79.37</v>
      </c>
      <c r="D26" s="12">
        <v>1.843456</v>
      </c>
      <c r="E26" s="17">
        <v>2.3333333000000001</v>
      </c>
      <c r="F26" s="13">
        <v>26.17</v>
      </c>
      <c r="G26" s="7" t="s">
        <v>107</v>
      </c>
      <c r="H26" s="7" t="s">
        <v>107</v>
      </c>
      <c r="I26" s="7" t="s">
        <v>107</v>
      </c>
      <c r="J26" s="7" t="s">
        <v>107</v>
      </c>
      <c r="K26" s="7" t="s">
        <v>107</v>
      </c>
      <c r="L26" s="7" t="s">
        <v>107</v>
      </c>
      <c r="M26" s="20" t="s">
        <v>107</v>
      </c>
      <c r="N26" s="7" t="s">
        <v>107</v>
      </c>
      <c r="O26" s="7" t="s">
        <v>107</v>
      </c>
      <c r="P26" s="7">
        <v>1415.2</v>
      </c>
      <c r="Q26" s="7">
        <v>105.4</v>
      </c>
      <c r="R26" s="7">
        <v>6.9</v>
      </c>
      <c r="S26" s="12">
        <v>33.6116265</v>
      </c>
      <c r="T26" s="12">
        <v>10.5</v>
      </c>
      <c r="U26" s="12">
        <v>37.465682399999999</v>
      </c>
      <c r="V26" s="12">
        <v>16.263305500000001</v>
      </c>
      <c r="W26" s="7" t="s">
        <v>107</v>
      </c>
      <c r="X26" s="7" t="s">
        <v>107</v>
      </c>
      <c r="Y26" s="7" t="s">
        <v>107</v>
      </c>
      <c r="Z26" s="7" t="s">
        <v>107</v>
      </c>
      <c r="AA26" s="7" t="s">
        <v>107</v>
      </c>
      <c r="AB26" s="7" t="s">
        <v>107</v>
      </c>
      <c r="AC26" s="7" t="s">
        <v>107</v>
      </c>
      <c r="AD26" s="7" t="s">
        <v>107</v>
      </c>
      <c r="AE26" s="7" t="s">
        <v>107</v>
      </c>
      <c r="AF26" s="7" t="s">
        <v>107</v>
      </c>
      <c r="AG26" s="7" t="s">
        <v>107</v>
      </c>
    </row>
    <row r="27" spans="1:33" s="11" customFormat="1" outlineLevel="1" x14ac:dyDescent="0.3">
      <c r="A27" s="11" t="s">
        <v>33</v>
      </c>
      <c r="B27" s="12">
        <v>0.71308099999999996</v>
      </c>
      <c r="C27" s="12">
        <v>79.47</v>
      </c>
      <c r="D27" s="12">
        <v>1.9194597</v>
      </c>
      <c r="E27" s="17">
        <v>2</v>
      </c>
      <c r="F27" s="13">
        <v>28.45</v>
      </c>
      <c r="G27" s="7" t="s">
        <v>107</v>
      </c>
      <c r="H27" s="7" t="s">
        <v>107</v>
      </c>
      <c r="I27" s="7" t="s">
        <v>107</v>
      </c>
      <c r="J27" s="7" t="s">
        <v>107</v>
      </c>
      <c r="K27" s="7" t="s">
        <v>107</v>
      </c>
      <c r="L27" s="7" t="s">
        <v>107</v>
      </c>
      <c r="M27" s="20" t="s">
        <v>107</v>
      </c>
      <c r="N27" s="7" t="s">
        <v>107</v>
      </c>
      <c r="O27" s="7" t="s">
        <v>107</v>
      </c>
      <c r="P27" s="7">
        <v>1427.8</v>
      </c>
      <c r="Q27" s="7">
        <v>100.2</v>
      </c>
      <c r="R27" s="7">
        <v>6.6</v>
      </c>
      <c r="S27" s="12">
        <v>30.588235300000001</v>
      </c>
      <c r="T27" s="12">
        <v>12</v>
      </c>
      <c r="U27" s="12">
        <v>38.575127799999997</v>
      </c>
      <c r="V27" s="12">
        <v>15.6456894</v>
      </c>
      <c r="W27" s="7" t="s">
        <v>107</v>
      </c>
      <c r="X27" s="7" t="s">
        <v>107</v>
      </c>
      <c r="Y27" s="7" t="s">
        <v>107</v>
      </c>
      <c r="Z27" s="7" t="s">
        <v>107</v>
      </c>
      <c r="AA27" s="7" t="s">
        <v>107</v>
      </c>
      <c r="AB27" s="7" t="s">
        <v>107</v>
      </c>
      <c r="AC27" s="7" t="s">
        <v>107</v>
      </c>
      <c r="AD27" s="7" t="s">
        <v>107</v>
      </c>
      <c r="AE27" s="7" t="s">
        <v>107</v>
      </c>
      <c r="AF27" s="7" t="s">
        <v>107</v>
      </c>
      <c r="AG27" s="7" t="s">
        <v>107</v>
      </c>
    </row>
    <row r="28" spans="1:33" s="11" customFormat="1" outlineLevel="1" x14ac:dyDescent="0.3">
      <c r="A28" s="11" t="s">
        <v>34</v>
      </c>
      <c r="B28" s="12">
        <v>1.3127310999999999</v>
      </c>
      <c r="C28" s="12">
        <v>79.913333300000005</v>
      </c>
      <c r="D28" s="12">
        <v>1.9259385</v>
      </c>
      <c r="E28" s="17">
        <v>2</v>
      </c>
      <c r="F28" s="13">
        <v>29.39</v>
      </c>
      <c r="G28" s="7" t="s">
        <v>107</v>
      </c>
      <c r="H28" s="7" t="s">
        <v>107</v>
      </c>
      <c r="I28" s="7" t="s">
        <v>107</v>
      </c>
      <c r="J28" s="7" t="s">
        <v>107</v>
      </c>
      <c r="K28" s="7" t="s">
        <v>107</v>
      </c>
      <c r="L28" s="7" t="s">
        <v>107</v>
      </c>
      <c r="M28" s="20" t="s">
        <v>107</v>
      </c>
      <c r="N28" s="7" t="s">
        <v>107</v>
      </c>
      <c r="O28" s="7" t="s">
        <v>107</v>
      </c>
      <c r="P28" s="7">
        <v>1292.5999999999999</v>
      </c>
      <c r="Q28" s="7">
        <v>123</v>
      </c>
      <c r="R28" s="7">
        <v>8.6999999999999993</v>
      </c>
      <c r="S28" s="12">
        <v>22.963967</v>
      </c>
      <c r="T28" s="12">
        <v>14</v>
      </c>
      <c r="U28" s="12">
        <v>40.242029199999998</v>
      </c>
      <c r="V28" s="12">
        <v>15.8393803</v>
      </c>
      <c r="W28" s="7" t="s">
        <v>107</v>
      </c>
      <c r="X28" s="7" t="s">
        <v>107</v>
      </c>
      <c r="Y28" s="7" t="s">
        <v>107</v>
      </c>
      <c r="Z28" s="7" t="s">
        <v>107</v>
      </c>
      <c r="AA28" s="7" t="s">
        <v>107</v>
      </c>
      <c r="AB28" s="7" t="s">
        <v>107</v>
      </c>
      <c r="AC28" s="7" t="s">
        <v>107</v>
      </c>
      <c r="AD28" s="7" t="s">
        <v>107</v>
      </c>
      <c r="AE28" s="7" t="s">
        <v>107</v>
      </c>
      <c r="AF28" s="7" t="s">
        <v>107</v>
      </c>
      <c r="AG28" s="7" t="s">
        <v>107</v>
      </c>
    </row>
    <row r="29" spans="1:33" s="11" customFormat="1" outlineLevel="1" x14ac:dyDescent="0.3">
      <c r="A29" s="11" t="s">
        <v>35</v>
      </c>
      <c r="B29" s="12">
        <v>2.4350660999999998</v>
      </c>
      <c r="C29" s="12">
        <v>80.113333299999994</v>
      </c>
      <c r="D29" s="12">
        <v>1.5936086</v>
      </c>
      <c r="E29" s="17">
        <v>2</v>
      </c>
      <c r="F29" s="13">
        <v>31.923333299999999</v>
      </c>
      <c r="G29" s="7" t="s">
        <v>107</v>
      </c>
      <c r="H29" s="7" t="s">
        <v>107</v>
      </c>
      <c r="I29" s="7" t="s">
        <v>107</v>
      </c>
      <c r="J29" s="7" t="s">
        <v>107</v>
      </c>
      <c r="K29" s="7" t="s">
        <v>107</v>
      </c>
      <c r="L29" s="7" t="s">
        <v>107</v>
      </c>
      <c r="M29" s="20" t="s">
        <v>107</v>
      </c>
      <c r="N29" s="7" t="s">
        <v>107</v>
      </c>
      <c r="O29" s="7" t="s">
        <v>107</v>
      </c>
      <c r="P29" s="7">
        <v>1202.8</v>
      </c>
      <c r="Q29" s="7">
        <v>153.19999999999999</v>
      </c>
      <c r="R29" s="7">
        <v>11.3</v>
      </c>
      <c r="S29" s="12">
        <v>25.8218383</v>
      </c>
      <c r="T29" s="12">
        <v>14</v>
      </c>
      <c r="U29" s="12">
        <v>41.515069400000002</v>
      </c>
      <c r="V29" s="12">
        <v>16.1504689</v>
      </c>
      <c r="W29" s="7" t="s">
        <v>107</v>
      </c>
      <c r="X29" s="7" t="s">
        <v>107</v>
      </c>
      <c r="Y29" s="7" t="s">
        <v>107</v>
      </c>
      <c r="Z29" s="7" t="s">
        <v>107</v>
      </c>
      <c r="AA29" s="7" t="s">
        <v>107</v>
      </c>
      <c r="AB29" s="7" t="s">
        <v>107</v>
      </c>
      <c r="AC29" s="7" t="s">
        <v>107</v>
      </c>
      <c r="AD29" s="7" t="s">
        <v>107</v>
      </c>
      <c r="AE29" s="7" t="s">
        <v>107</v>
      </c>
      <c r="AF29" s="7" t="s">
        <v>107</v>
      </c>
      <c r="AG29" s="7" t="s">
        <v>107</v>
      </c>
    </row>
    <row r="30" spans="1:33" s="11" customFormat="1" outlineLevel="1" x14ac:dyDescent="0.3">
      <c r="A30" s="11" t="s">
        <v>36</v>
      </c>
      <c r="B30" s="12">
        <v>2.9592486</v>
      </c>
      <c r="C30" s="12">
        <v>81.069999999999993</v>
      </c>
      <c r="D30" s="12">
        <v>2.1418672000000001</v>
      </c>
      <c r="E30" s="17">
        <v>2</v>
      </c>
      <c r="F30" s="13">
        <v>35.446666700000002</v>
      </c>
      <c r="G30" s="7" t="s">
        <v>107</v>
      </c>
      <c r="H30" s="7" t="s">
        <v>107</v>
      </c>
      <c r="I30" s="7" t="s">
        <v>107</v>
      </c>
      <c r="J30" s="7" t="s">
        <v>107</v>
      </c>
      <c r="K30" s="7" t="s">
        <v>107</v>
      </c>
      <c r="L30" s="7" t="s">
        <v>107</v>
      </c>
      <c r="M30" s="20" t="s">
        <v>107</v>
      </c>
      <c r="N30" s="7" t="s">
        <v>107</v>
      </c>
      <c r="O30" s="7" t="s">
        <v>107</v>
      </c>
      <c r="P30" s="7">
        <v>1361.7</v>
      </c>
      <c r="Q30" s="7">
        <v>104.9</v>
      </c>
      <c r="R30" s="7">
        <v>7.2</v>
      </c>
      <c r="S30" s="12">
        <v>25.8389262</v>
      </c>
      <c r="T30" s="12">
        <v>14</v>
      </c>
      <c r="U30" s="12">
        <v>42.335823900000001</v>
      </c>
      <c r="V30" s="12">
        <v>14.3987949</v>
      </c>
      <c r="W30" s="7" t="s">
        <v>107</v>
      </c>
      <c r="X30" s="7" t="s">
        <v>107</v>
      </c>
      <c r="Y30" s="7" t="s">
        <v>107</v>
      </c>
      <c r="Z30" s="7" t="s">
        <v>107</v>
      </c>
      <c r="AA30" s="7" t="s">
        <v>107</v>
      </c>
      <c r="AB30" s="7" t="s">
        <v>107</v>
      </c>
      <c r="AC30" s="7" t="s">
        <v>107</v>
      </c>
      <c r="AD30" s="7" t="s">
        <v>107</v>
      </c>
      <c r="AE30" s="7" t="s">
        <v>107</v>
      </c>
      <c r="AF30" s="7" t="s">
        <v>107</v>
      </c>
      <c r="AG30" s="7" t="s">
        <v>107</v>
      </c>
    </row>
    <row r="31" spans="1:33" s="11" customFormat="1" outlineLevel="1" x14ac:dyDescent="0.3">
      <c r="A31" s="11" t="s">
        <v>37</v>
      </c>
      <c r="B31" s="12">
        <v>2.4141233999999998</v>
      </c>
      <c r="C31" s="12">
        <v>81.156666700000002</v>
      </c>
      <c r="D31" s="12">
        <v>2.1223942</v>
      </c>
      <c r="E31" s="17">
        <v>2</v>
      </c>
      <c r="F31" s="13">
        <v>41.386666699999999</v>
      </c>
      <c r="G31" s="7" t="s">
        <v>107</v>
      </c>
      <c r="H31" s="7" t="s">
        <v>107</v>
      </c>
      <c r="I31" s="7" t="s">
        <v>107</v>
      </c>
      <c r="J31" s="7" t="s">
        <v>107</v>
      </c>
      <c r="K31" s="7" t="s">
        <v>107</v>
      </c>
      <c r="L31" s="7" t="s">
        <v>107</v>
      </c>
      <c r="M31" s="20" t="s">
        <v>107</v>
      </c>
      <c r="N31" s="7" t="s">
        <v>107</v>
      </c>
      <c r="O31" s="7" t="s">
        <v>107</v>
      </c>
      <c r="P31" s="7">
        <v>1388.7</v>
      </c>
      <c r="Q31" s="7">
        <v>94.1</v>
      </c>
      <c r="R31" s="7">
        <v>6.3</v>
      </c>
      <c r="S31" s="12">
        <v>21.914685800000001</v>
      </c>
      <c r="T31" s="12">
        <v>14</v>
      </c>
      <c r="U31" s="12">
        <v>42.846144199999998</v>
      </c>
      <c r="V31" s="12">
        <v>14.698063400000001</v>
      </c>
      <c r="W31" s="7" t="s">
        <v>107</v>
      </c>
      <c r="X31" s="7" t="s">
        <v>107</v>
      </c>
      <c r="Y31" s="7" t="s">
        <v>107</v>
      </c>
      <c r="Z31" s="7" t="s">
        <v>107</v>
      </c>
      <c r="AA31" s="7" t="s">
        <v>107</v>
      </c>
      <c r="AB31" s="7" t="s">
        <v>107</v>
      </c>
      <c r="AC31" s="7" t="s">
        <v>107</v>
      </c>
      <c r="AD31" s="7" t="s">
        <v>107</v>
      </c>
      <c r="AE31" s="7" t="s">
        <v>107</v>
      </c>
      <c r="AF31" s="7" t="s">
        <v>107</v>
      </c>
      <c r="AG31" s="7" t="s">
        <v>107</v>
      </c>
    </row>
    <row r="32" spans="1:33" s="11" customFormat="1" outlineLevel="1" x14ac:dyDescent="0.3">
      <c r="A32" s="11" t="s">
        <v>38</v>
      </c>
      <c r="B32" s="12">
        <v>2.308249</v>
      </c>
      <c r="C32" s="12">
        <v>81.663333300000005</v>
      </c>
      <c r="D32" s="12">
        <v>2.1898724000000001</v>
      </c>
      <c r="E32" s="17">
        <v>2</v>
      </c>
      <c r="F32" s="13">
        <v>44.163333299999998</v>
      </c>
      <c r="G32" s="7" t="s">
        <v>107</v>
      </c>
      <c r="H32" s="7" t="s">
        <v>107</v>
      </c>
      <c r="I32" s="7" t="s">
        <v>107</v>
      </c>
      <c r="J32" s="7" t="s">
        <v>107</v>
      </c>
      <c r="K32" s="7" t="s">
        <v>107</v>
      </c>
      <c r="L32" s="7" t="s">
        <v>107</v>
      </c>
      <c r="M32" s="20" t="s">
        <v>107</v>
      </c>
      <c r="N32" s="7" t="s">
        <v>107</v>
      </c>
      <c r="O32" s="7" t="s">
        <v>107</v>
      </c>
      <c r="P32" s="7">
        <v>1310.9</v>
      </c>
      <c r="Q32" s="7">
        <v>113.7</v>
      </c>
      <c r="R32" s="7">
        <v>8</v>
      </c>
      <c r="S32" s="12">
        <v>17.7934962</v>
      </c>
      <c r="T32" s="12">
        <v>14.5</v>
      </c>
      <c r="U32" s="12">
        <v>44.922244999999997</v>
      </c>
      <c r="V32" s="12">
        <v>16.074838</v>
      </c>
      <c r="W32" s="7" t="s">
        <v>107</v>
      </c>
      <c r="X32" s="7" t="s">
        <v>107</v>
      </c>
      <c r="Y32" s="7" t="s">
        <v>107</v>
      </c>
      <c r="Z32" s="7" t="s">
        <v>107</v>
      </c>
      <c r="AA32" s="7" t="s">
        <v>107</v>
      </c>
      <c r="AB32" s="7" t="s">
        <v>107</v>
      </c>
      <c r="AC32" s="7" t="s">
        <v>107</v>
      </c>
      <c r="AD32" s="7" t="s">
        <v>107</v>
      </c>
      <c r="AE32" s="7" t="s">
        <v>107</v>
      </c>
      <c r="AF32" s="7" t="s">
        <v>107</v>
      </c>
      <c r="AG32" s="7" t="s">
        <v>107</v>
      </c>
    </row>
    <row r="33" spans="1:33" s="11" customFormat="1" outlineLevel="1" x14ac:dyDescent="0.3">
      <c r="A33" s="11" t="s">
        <v>39</v>
      </c>
      <c r="B33" s="12">
        <v>1.1277817999999999</v>
      </c>
      <c r="C33" s="12">
        <v>81.773333300000004</v>
      </c>
      <c r="D33" s="12">
        <v>2.0720646</v>
      </c>
      <c r="E33" s="17">
        <v>2</v>
      </c>
      <c r="F33" s="13">
        <v>47.696666700000002</v>
      </c>
      <c r="G33" s="7" t="s">
        <v>107</v>
      </c>
      <c r="H33" s="7" t="s">
        <v>107</v>
      </c>
      <c r="I33" s="7" t="s">
        <v>107</v>
      </c>
      <c r="J33" s="7" t="s">
        <v>107</v>
      </c>
      <c r="K33" s="7" t="s">
        <v>107</v>
      </c>
      <c r="L33" s="7" t="s">
        <v>107</v>
      </c>
      <c r="M33" s="20" t="s">
        <v>107</v>
      </c>
      <c r="N33" s="7" t="s">
        <v>107</v>
      </c>
      <c r="O33" s="7" t="s">
        <v>107</v>
      </c>
      <c r="P33" s="7">
        <v>1248.5999999999999</v>
      </c>
      <c r="Q33" s="7">
        <v>132.9</v>
      </c>
      <c r="R33" s="7">
        <v>9.6</v>
      </c>
      <c r="S33" s="12">
        <v>18.309426200000001</v>
      </c>
      <c r="T33" s="12">
        <v>13</v>
      </c>
      <c r="U33" s="12">
        <v>46.941000899999999</v>
      </c>
      <c r="V33" s="12">
        <v>16.442615100000001</v>
      </c>
      <c r="W33" s="7" t="s">
        <v>107</v>
      </c>
      <c r="X33" s="7" t="s">
        <v>107</v>
      </c>
      <c r="Y33" s="7" t="s">
        <v>107</v>
      </c>
      <c r="Z33" s="7" t="s">
        <v>107</v>
      </c>
      <c r="AA33" s="7" t="s">
        <v>107</v>
      </c>
      <c r="AB33" s="7" t="s">
        <v>107</v>
      </c>
      <c r="AC33" s="7" t="s">
        <v>107</v>
      </c>
      <c r="AD33" s="7" t="s">
        <v>107</v>
      </c>
      <c r="AE33" s="7" t="s">
        <v>107</v>
      </c>
      <c r="AF33" s="7" t="s">
        <v>107</v>
      </c>
      <c r="AG33" s="7" t="s">
        <v>107</v>
      </c>
    </row>
    <row r="34" spans="1:33" s="11" customFormat="1" outlineLevel="1" x14ac:dyDescent="0.3">
      <c r="A34" s="11" t="s">
        <v>40</v>
      </c>
      <c r="B34" s="12">
        <v>2.2042253999999999</v>
      </c>
      <c r="C34" s="12">
        <v>82.71</v>
      </c>
      <c r="D34" s="12">
        <v>2.0229431</v>
      </c>
      <c r="E34" s="17">
        <v>2</v>
      </c>
      <c r="F34" s="13">
        <v>51.626666700000001</v>
      </c>
      <c r="G34" s="7" t="s">
        <v>107</v>
      </c>
      <c r="H34" s="7" t="s">
        <v>107</v>
      </c>
      <c r="I34" s="7" t="s">
        <v>107</v>
      </c>
      <c r="J34" s="7" t="s">
        <v>107</v>
      </c>
      <c r="K34" s="7" t="s">
        <v>107</v>
      </c>
      <c r="L34" s="7" t="s">
        <v>107</v>
      </c>
      <c r="M34" s="20" t="s">
        <v>107</v>
      </c>
      <c r="N34" s="7" t="s">
        <v>107</v>
      </c>
      <c r="O34" s="7" t="s">
        <v>107</v>
      </c>
      <c r="P34" s="7">
        <v>1358.9</v>
      </c>
      <c r="Q34" s="7">
        <v>95.8</v>
      </c>
      <c r="R34" s="7">
        <v>6.6</v>
      </c>
      <c r="S34" s="12">
        <v>19.172413800000001</v>
      </c>
      <c r="T34" s="12">
        <v>13</v>
      </c>
      <c r="U34" s="12">
        <v>48.084316800000003</v>
      </c>
      <c r="V34" s="12">
        <v>15.8983586</v>
      </c>
      <c r="W34" s="7" t="s">
        <v>107</v>
      </c>
      <c r="X34" s="7" t="s">
        <v>107</v>
      </c>
      <c r="Y34" s="7" t="s">
        <v>107</v>
      </c>
      <c r="Z34" s="7" t="s">
        <v>107</v>
      </c>
      <c r="AA34" s="7" t="s">
        <v>107</v>
      </c>
      <c r="AB34" s="7" t="s">
        <v>107</v>
      </c>
      <c r="AC34" s="7" t="s">
        <v>107</v>
      </c>
      <c r="AD34" s="7" t="s">
        <v>107</v>
      </c>
      <c r="AE34" s="7" t="s">
        <v>107</v>
      </c>
      <c r="AF34" s="7" t="s">
        <v>107</v>
      </c>
      <c r="AG34" s="7" t="s">
        <v>107</v>
      </c>
    </row>
    <row r="35" spans="1:33" s="11" customFormat="1" outlineLevel="1" x14ac:dyDescent="0.3">
      <c r="A35" s="11" t="s">
        <v>41</v>
      </c>
      <c r="B35" s="12">
        <v>2.0830310000000001</v>
      </c>
      <c r="C35" s="12">
        <v>83.016666700000002</v>
      </c>
      <c r="D35" s="12">
        <v>2.2918634999999998</v>
      </c>
      <c r="E35" s="17">
        <v>2</v>
      </c>
      <c r="F35" s="13">
        <v>61.47</v>
      </c>
      <c r="G35" s="7" t="s">
        <v>107</v>
      </c>
      <c r="H35" s="7" t="s">
        <v>107</v>
      </c>
      <c r="I35" s="7" t="s">
        <v>107</v>
      </c>
      <c r="J35" s="7" t="s">
        <v>107</v>
      </c>
      <c r="K35" s="7" t="s">
        <v>107</v>
      </c>
      <c r="L35" s="7" t="s">
        <v>107</v>
      </c>
      <c r="M35" s="20" t="s">
        <v>107</v>
      </c>
      <c r="N35" s="7" t="s">
        <v>107</v>
      </c>
      <c r="O35" s="7" t="s">
        <v>107</v>
      </c>
      <c r="P35" s="7">
        <v>1363.7</v>
      </c>
      <c r="Q35" s="7">
        <v>96.7</v>
      </c>
      <c r="R35" s="7">
        <v>6.6</v>
      </c>
      <c r="S35" s="12">
        <v>18.883547</v>
      </c>
      <c r="T35" s="12">
        <v>12.5</v>
      </c>
      <c r="U35" s="12">
        <v>47.5696163</v>
      </c>
      <c r="V35" s="12">
        <v>15.351519700000001</v>
      </c>
      <c r="W35" s="7" t="s">
        <v>107</v>
      </c>
      <c r="X35" s="7" t="s">
        <v>107</v>
      </c>
      <c r="Y35" s="7" t="s">
        <v>107</v>
      </c>
      <c r="Z35" s="7" t="s">
        <v>107</v>
      </c>
      <c r="AA35" s="7" t="s">
        <v>107</v>
      </c>
      <c r="AB35" s="7" t="s">
        <v>107</v>
      </c>
      <c r="AC35" s="7" t="s">
        <v>107</v>
      </c>
      <c r="AD35" s="7" t="s">
        <v>107</v>
      </c>
      <c r="AE35" s="7" t="s">
        <v>107</v>
      </c>
      <c r="AF35" s="7" t="s">
        <v>107</v>
      </c>
      <c r="AG35" s="7" t="s">
        <v>107</v>
      </c>
    </row>
    <row r="36" spans="1:33" s="11" customFormat="1" outlineLevel="1" x14ac:dyDescent="0.3">
      <c r="A36" s="11" t="s">
        <v>42</v>
      </c>
      <c r="B36" s="12">
        <v>2.0666498999999998</v>
      </c>
      <c r="C36" s="12">
        <v>83.51</v>
      </c>
      <c r="D36" s="12">
        <v>2.2613167999999999</v>
      </c>
      <c r="E36" s="17">
        <v>2.0833333000000001</v>
      </c>
      <c r="F36" s="13">
        <v>56.88</v>
      </c>
      <c r="G36" s="7" t="s">
        <v>107</v>
      </c>
      <c r="H36" s="7" t="s">
        <v>107</v>
      </c>
      <c r="I36" s="7" t="s">
        <v>107</v>
      </c>
      <c r="J36" s="7" t="s">
        <v>107</v>
      </c>
      <c r="K36" s="7" t="s">
        <v>107</v>
      </c>
      <c r="L36" s="7" t="s">
        <v>107</v>
      </c>
      <c r="M36" s="20" t="s">
        <v>107</v>
      </c>
      <c r="N36" s="7" t="s">
        <v>107</v>
      </c>
      <c r="O36" s="7" t="s">
        <v>107</v>
      </c>
      <c r="P36" s="7">
        <v>1303.4000000000001</v>
      </c>
      <c r="Q36" s="7">
        <v>89.3</v>
      </c>
      <c r="R36" s="7">
        <v>6.4</v>
      </c>
      <c r="S36" s="12">
        <v>19.496217699999999</v>
      </c>
      <c r="T36" s="12">
        <v>12.5</v>
      </c>
      <c r="U36" s="12">
        <v>49.548614000000001</v>
      </c>
      <c r="V36" s="12">
        <v>15.109029700000001</v>
      </c>
      <c r="W36" s="7" t="s">
        <v>107</v>
      </c>
      <c r="X36" s="7" t="s">
        <v>107</v>
      </c>
      <c r="Y36" s="7" t="s">
        <v>107</v>
      </c>
      <c r="Z36" s="7" t="s">
        <v>107</v>
      </c>
      <c r="AA36" s="7" t="s">
        <v>107</v>
      </c>
      <c r="AB36" s="7" t="s">
        <v>107</v>
      </c>
      <c r="AC36" s="7" t="s">
        <v>107</v>
      </c>
      <c r="AD36" s="7" t="s">
        <v>107</v>
      </c>
      <c r="AE36" s="7" t="s">
        <v>107</v>
      </c>
      <c r="AF36" s="7" t="s">
        <v>107</v>
      </c>
      <c r="AG36" s="7" t="s">
        <v>107</v>
      </c>
    </row>
    <row r="37" spans="1:33" s="11" customFormat="1" outlineLevel="1" x14ac:dyDescent="0.3">
      <c r="A37" s="11" t="s">
        <v>43</v>
      </c>
      <c r="B37" s="12">
        <v>3.8191847000000001</v>
      </c>
      <c r="C37" s="12">
        <v>83.573333300000002</v>
      </c>
      <c r="D37" s="12">
        <v>2.2012065999999999</v>
      </c>
      <c r="E37" s="17">
        <v>2.3333333000000001</v>
      </c>
      <c r="F37" s="13">
        <v>61.753333300000001</v>
      </c>
      <c r="G37" s="7" t="s">
        <v>107</v>
      </c>
      <c r="H37" s="7" t="s">
        <v>107</v>
      </c>
      <c r="I37" s="7" t="s">
        <v>107</v>
      </c>
      <c r="J37" s="7" t="s">
        <v>107</v>
      </c>
      <c r="K37" s="7" t="s">
        <v>107</v>
      </c>
      <c r="L37" s="7" t="s">
        <v>107</v>
      </c>
      <c r="M37" s="20" t="s">
        <v>107</v>
      </c>
      <c r="N37" s="7" t="s">
        <v>107</v>
      </c>
      <c r="O37" s="7" t="s">
        <v>107</v>
      </c>
      <c r="P37" s="7">
        <v>1033.5</v>
      </c>
      <c r="Q37" s="7">
        <v>154.19999999999999</v>
      </c>
      <c r="R37" s="7">
        <v>13</v>
      </c>
      <c r="S37" s="12">
        <v>26.595652600000001</v>
      </c>
      <c r="T37" s="12">
        <v>12.5</v>
      </c>
      <c r="U37" s="12">
        <v>52.014853199999997</v>
      </c>
      <c r="V37" s="12">
        <v>15.539850700000001</v>
      </c>
      <c r="W37" s="7" t="s">
        <v>107</v>
      </c>
      <c r="X37" s="7" t="s">
        <v>107</v>
      </c>
      <c r="Y37" s="7" t="s">
        <v>107</v>
      </c>
      <c r="Z37" s="7" t="s">
        <v>107</v>
      </c>
      <c r="AA37" s="7" t="s">
        <v>107</v>
      </c>
      <c r="AB37" s="7" t="s">
        <v>107</v>
      </c>
      <c r="AC37" s="7" t="s">
        <v>107</v>
      </c>
      <c r="AD37" s="7" t="s">
        <v>107</v>
      </c>
      <c r="AE37" s="7" t="s">
        <v>107</v>
      </c>
      <c r="AF37" s="7" t="s">
        <v>107</v>
      </c>
      <c r="AG37" s="7" t="s">
        <v>107</v>
      </c>
    </row>
    <row r="38" spans="1:33" s="11" customFormat="1" outlineLevel="1" x14ac:dyDescent="0.3">
      <c r="A38" s="11" t="s">
        <v>44</v>
      </c>
      <c r="B38" s="12">
        <v>2.9723983</v>
      </c>
      <c r="C38" s="12">
        <v>84.693333300000006</v>
      </c>
      <c r="D38" s="12">
        <v>2.3979365000000001</v>
      </c>
      <c r="E38" s="17">
        <v>2.5833333000000001</v>
      </c>
      <c r="F38" s="13">
        <v>69.533333299999995</v>
      </c>
      <c r="G38" s="7" t="s">
        <v>107</v>
      </c>
      <c r="H38" s="7" t="s">
        <v>107</v>
      </c>
      <c r="I38" s="7" t="s">
        <v>107</v>
      </c>
      <c r="J38" s="7" t="s">
        <v>107</v>
      </c>
      <c r="K38" s="7" t="s">
        <v>107</v>
      </c>
      <c r="L38" s="7" t="s">
        <v>107</v>
      </c>
      <c r="M38" s="20" t="s">
        <v>107</v>
      </c>
      <c r="N38" s="7" t="s">
        <v>107</v>
      </c>
      <c r="O38" s="7" t="s">
        <v>107</v>
      </c>
      <c r="P38" s="7">
        <v>1320.7</v>
      </c>
      <c r="Q38" s="7">
        <v>90.1</v>
      </c>
      <c r="R38" s="7">
        <v>6.4</v>
      </c>
      <c r="S38" s="12">
        <v>29.922839499999998</v>
      </c>
      <c r="T38" s="12">
        <v>12.5</v>
      </c>
      <c r="U38" s="12">
        <v>53.764200700000004</v>
      </c>
      <c r="V38" s="12">
        <v>16.455910299999999</v>
      </c>
      <c r="W38" s="7" t="s">
        <v>107</v>
      </c>
      <c r="X38" s="7" t="s">
        <v>107</v>
      </c>
      <c r="Y38" s="7" t="s">
        <v>107</v>
      </c>
      <c r="Z38" s="7" t="s">
        <v>107</v>
      </c>
      <c r="AA38" s="7" t="s">
        <v>107</v>
      </c>
      <c r="AB38" s="7" t="s">
        <v>107</v>
      </c>
      <c r="AC38" s="7" t="s">
        <v>107</v>
      </c>
      <c r="AD38" s="7" t="s">
        <v>107</v>
      </c>
      <c r="AE38" s="7" t="s">
        <v>107</v>
      </c>
      <c r="AF38" s="7" t="s">
        <v>107</v>
      </c>
      <c r="AG38" s="7" t="s">
        <v>107</v>
      </c>
    </row>
    <row r="39" spans="1:33" s="11" customFormat="1" outlineLevel="1" x14ac:dyDescent="0.3">
      <c r="A39" s="11" t="s">
        <v>45</v>
      </c>
      <c r="B39" s="12">
        <v>3.3099788999999999</v>
      </c>
      <c r="C39" s="12">
        <v>84.873333299999999</v>
      </c>
      <c r="D39" s="12">
        <v>2.2364986</v>
      </c>
      <c r="E39" s="17">
        <v>2.9166666999999999</v>
      </c>
      <c r="F39" s="13">
        <v>69.62</v>
      </c>
      <c r="G39" s="7" t="s">
        <v>107</v>
      </c>
      <c r="H39" s="7" t="s">
        <v>107</v>
      </c>
      <c r="I39" s="7" t="s">
        <v>107</v>
      </c>
      <c r="J39" s="7" t="s">
        <v>107</v>
      </c>
      <c r="K39" s="7" t="s">
        <v>107</v>
      </c>
      <c r="L39" s="7" t="s">
        <v>107</v>
      </c>
      <c r="M39" s="20" t="s">
        <v>107</v>
      </c>
      <c r="N39" s="7" t="s">
        <v>107</v>
      </c>
      <c r="O39" s="7" t="s">
        <v>107</v>
      </c>
      <c r="P39" s="7">
        <v>1403.9</v>
      </c>
      <c r="Q39" s="7">
        <v>79.900000000000006</v>
      </c>
      <c r="R39" s="7">
        <v>5.4</v>
      </c>
      <c r="S39" s="12">
        <v>32.8091066</v>
      </c>
      <c r="T39" s="12">
        <v>12.5</v>
      </c>
      <c r="U39" s="12">
        <v>54.319209899999997</v>
      </c>
      <c r="V39" s="12">
        <v>16.964911499999999</v>
      </c>
      <c r="W39" s="7" t="s">
        <v>107</v>
      </c>
      <c r="X39" s="7" t="s">
        <v>107</v>
      </c>
      <c r="Y39" s="7" t="s">
        <v>107</v>
      </c>
      <c r="Z39" s="7" t="s">
        <v>107</v>
      </c>
      <c r="AA39" s="7" t="s">
        <v>107</v>
      </c>
      <c r="AB39" s="7" t="s">
        <v>107</v>
      </c>
      <c r="AC39" s="7" t="s">
        <v>107</v>
      </c>
      <c r="AD39" s="7" t="s">
        <v>107</v>
      </c>
      <c r="AE39" s="7" t="s">
        <v>107</v>
      </c>
      <c r="AF39" s="7" t="s">
        <v>107</v>
      </c>
      <c r="AG39" s="7" t="s">
        <v>107</v>
      </c>
    </row>
    <row r="40" spans="1:33" s="11" customFormat="1" outlineLevel="1" x14ac:dyDescent="0.3">
      <c r="A40" s="11" t="s">
        <v>46</v>
      </c>
      <c r="B40" s="12">
        <v>3.7478780999999999</v>
      </c>
      <c r="C40" s="12">
        <v>85.166666699999993</v>
      </c>
      <c r="D40" s="12">
        <v>1.9837944000000001</v>
      </c>
      <c r="E40" s="17">
        <v>3.3333333000000001</v>
      </c>
      <c r="F40" s="13">
        <v>59.68</v>
      </c>
      <c r="G40" s="7" t="s">
        <v>107</v>
      </c>
      <c r="H40" s="7" t="s">
        <v>107</v>
      </c>
      <c r="I40" s="7" t="s">
        <v>107</v>
      </c>
      <c r="J40" s="7" t="s">
        <v>107</v>
      </c>
      <c r="K40" s="7" t="s">
        <v>107</v>
      </c>
      <c r="L40" s="7" t="s">
        <v>107</v>
      </c>
      <c r="M40" s="20" t="s">
        <v>107</v>
      </c>
      <c r="N40" s="7" t="s">
        <v>107</v>
      </c>
      <c r="O40" s="7" t="s">
        <v>107</v>
      </c>
      <c r="P40" s="7">
        <v>1271.0999999999999</v>
      </c>
      <c r="Q40" s="7">
        <v>75.400000000000006</v>
      </c>
      <c r="R40" s="7">
        <v>5.6</v>
      </c>
      <c r="S40" s="12">
        <v>27.1748352</v>
      </c>
      <c r="T40" s="12">
        <v>14.5</v>
      </c>
      <c r="U40" s="12">
        <v>56.596917400000002</v>
      </c>
      <c r="V40" s="12">
        <v>16.981253500000001</v>
      </c>
      <c r="W40" s="7" t="s">
        <v>107</v>
      </c>
      <c r="X40" s="7" t="s">
        <v>107</v>
      </c>
      <c r="Y40" s="7" t="s">
        <v>107</v>
      </c>
      <c r="Z40" s="7" t="s">
        <v>107</v>
      </c>
      <c r="AA40" s="7" t="s">
        <v>107</v>
      </c>
      <c r="AB40" s="7" t="s">
        <v>107</v>
      </c>
      <c r="AC40" s="7" t="s">
        <v>107</v>
      </c>
      <c r="AD40" s="7" t="s">
        <v>107</v>
      </c>
      <c r="AE40" s="7" t="s">
        <v>107</v>
      </c>
      <c r="AF40" s="7" t="s">
        <v>107</v>
      </c>
      <c r="AG40" s="7" t="s">
        <v>107</v>
      </c>
    </row>
    <row r="41" spans="1:33" s="11" customFormat="1" outlineLevel="1" x14ac:dyDescent="0.3">
      <c r="A41" s="11" t="s">
        <v>47</v>
      </c>
      <c r="B41" s="12">
        <v>3.5234725999999998</v>
      </c>
      <c r="C41" s="12">
        <v>85.39</v>
      </c>
      <c r="D41" s="12">
        <v>2.1737397000000001</v>
      </c>
      <c r="E41" s="17">
        <v>3.5833333000000001</v>
      </c>
      <c r="F41" s="13">
        <v>57.763333299999999</v>
      </c>
      <c r="G41" s="7" t="s">
        <v>107</v>
      </c>
      <c r="H41" s="7" t="s">
        <v>107</v>
      </c>
      <c r="I41" s="7" t="s">
        <v>107</v>
      </c>
      <c r="J41" s="7" t="s">
        <v>107</v>
      </c>
      <c r="K41" s="7" t="s">
        <v>107</v>
      </c>
      <c r="L41" s="7" t="s">
        <v>107</v>
      </c>
      <c r="M41" s="20" t="s">
        <v>107</v>
      </c>
      <c r="N41" s="7" t="s">
        <v>107</v>
      </c>
      <c r="O41" s="7" t="s">
        <v>107</v>
      </c>
      <c r="P41" s="7">
        <v>1185.8</v>
      </c>
      <c r="Q41" s="7">
        <v>71.900000000000006</v>
      </c>
      <c r="R41" s="7">
        <v>5.7</v>
      </c>
      <c r="S41" s="12">
        <v>22.123409500000001</v>
      </c>
      <c r="T41" s="12">
        <v>14.5</v>
      </c>
      <c r="U41" s="12">
        <v>58.172832</v>
      </c>
      <c r="V41" s="12">
        <v>16.812743699999999</v>
      </c>
      <c r="W41" s="7" t="s">
        <v>107</v>
      </c>
      <c r="X41" s="7" t="s">
        <v>107</v>
      </c>
      <c r="Y41" s="7" t="s">
        <v>107</v>
      </c>
      <c r="Z41" s="7" t="s">
        <v>107</v>
      </c>
      <c r="AA41" s="7" t="s">
        <v>107</v>
      </c>
      <c r="AB41" s="7" t="s">
        <v>107</v>
      </c>
      <c r="AC41" s="7" t="s">
        <v>107</v>
      </c>
      <c r="AD41" s="7" t="s">
        <v>107</v>
      </c>
      <c r="AE41" s="7" t="s">
        <v>107</v>
      </c>
      <c r="AF41" s="7" t="s">
        <v>107</v>
      </c>
      <c r="AG41" s="7" t="s">
        <v>107</v>
      </c>
    </row>
    <row r="42" spans="1:33" s="11" customFormat="1" outlineLevel="1" x14ac:dyDescent="0.3">
      <c r="A42" s="11" t="s">
        <v>48</v>
      </c>
      <c r="B42" s="12">
        <v>3.1678283999999999</v>
      </c>
      <c r="C42" s="12">
        <v>86.5</v>
      </c>
      <c r="D42" s="12">
        <v>2.1331864</v>
      </c>
      <c r="E42" s="17">
        <v>3.8333333000000001</v>
      </c>
      <c r="F42" s="13">
        <v>68.583333300000007</v>
      </c>
      <c r="G42" s="7" t="s">
        <v>107</v>
      </c>
      <c r="H42" s="7" t="s">
        <v>107</v>
      </c>
      <c r="I42" s="7" t="s">
        <v>107</v>
      </c>
      <c r="J42" s="7" t="s">
        <v>107</v>
      </c>
      <c r="K42" s="7" t="s">
        <v>107</v>
      </c>
      <c r="L42" s="7" t="s">
        <v>107</v>
      </c>
      <c r="M42" s="20" t="s">
        <v>107</v>
      </c>
      <c r="N42" s="7" t="s">
        <v>107</v>
      </c>
      <c r="O42" s="7" t="s">
        <v>107</v>
      </c>
      <c r="P42" s="7">
        <v>1326.1</v>
      </c>
      <c r="Q42" s="7">
        <v>57.6</v>
      </c>
      <c r="R42" s="7">
        <v>4.2</v>
      </c>
      <c r="S42" s="12">
        <v>22.8293146</v>
      </c>
      <c r="T42" s="12">
        <v>13.5</v>
      </c>
      <c r="U42" s="12">
        <v>59.461020900000001</v>
      </c>
      <c r="V42" s="12">
        <v>16.6721599</v>
      </c>
      <c r="W42" s="7" t="s">
        <v>107</v>
      </c>
      <c r="X42" s="7" t="s">
        <v>107</v>
      </c>
      <c r="Y42" s="7" t="s">
        <v>107</v>
      </c>
      <c r="Z42" s="7" t="s">
        <v>107</v>
      </c>
      <c r="AA42" s="7" t="s">
        <v>107</v>
      </c>
      <c r="AB42" s="7" t="s">
        <v>107</v>
      </c>
      <c r="AC42" s="7" t="s">
        <v>107</v>
      </c>
      <c r="AD42" s="7" t="s">
        <v>107</v>
      </c>
      <c r="AE42" s="7" t="s">
        <v>107</v>
      </c>
      <c r="AF42" s="7" t="s">
        <v>107</v>
      </c>
      <c r="AG42" s="7" t="s">
        <v>107</v>
      </c>
    </row>
    <row r="43" spans="1:33" s="11" customFormat="1" outlineLevel="1" x14ac:dyDescent="0.3">
      <c r="A43" s="11" t="s">
        <v>49</v>
      </c>
      <c r="B43" s="12">
        <v>3.1476855000000001</v>
      </c>
      <c r="C43" s="12">
        <v>86.6</v>
      </c>
      <c r="D43" s="12">
        <v>2.0344042999999998</v>
      </c>
      <c r="E43" s="17">
        <v>4</v>
      </c>
      <c r="F43" s="13">
        <v>74.953333299999997</v>
      </c>
      <c r="G43" s="7" t="s">
        <v>107</v>
      </c>
      <c r="H43" s="7" t="s">
        <v>107</v>
      </c>
      <c r="I43" s="7" t="s">
        <v>107</v>
      </c>
      <c r="J43" s="7" t="s">
        <v>107</v>
      </c>
      <c r="K43" s="7" t="s">
        <v>107</v>
      </c>
      <c r="L43" s="7" t="s">
        <v>107</v>
      </c>
      <c r="M43" s="20" t="s">
        <v>107</v>
      </c>
      <c r="N43" s="7" t="s">
        <v>107</v>
      </c>
      <c r="O43" s="7" t="s">
        <v>107</v>
      </c>
      <c r="P43" s="7">
        <v>1293.9000000000001</v>
      </c>
      <c r="Q43" s="7">
        <v>70.099999999999994</v>
      </c>
      <c r="R43" s="7">
        <v>5.0999999999999996</v>
      </c>
      <c r="S43" s="12">
        <v>20.3902109</v>
      </c>
      <c r="T43" s="12">
        <v>16</v>
      </c>
      <c r="U43" s="12">
        <v>61.507323599999999</v>
      </c>
      <c r="V43" s="12">
        <v>16.455821799999999</v>
      </c>
      <c r="W43" s="7" t="s">
        <v>107</v>
      </c>
      <c r="X43" s="7" t="s">
        <v>107</v>
      </c>
      <c r="Y43" s="7" t="s">
        <v>107</v>
      </c>
      <c r="Z43" s="7" t="s">
        <v>107</v>
      </c>
      <c r="AA43" s="7" t="s">
        <v>107</v>
      </c>
      <c r="AB43" s="7" t="s">
        <v>107</v>
      </c>
      <c r="AC43" s="7" t="s">
        <v>107</v>
      </c>
      <c r="AD43" s="7" t="s">
        <v>107</v>
      </c>
      <c r="AE43" s="7" t="s">
        <v>107</v>
      </c>
      <c r="AF43" s="7" t="s">
        <v>107</v>
      </c>
      <c r="AG43" s="7" t="s">
        <v>107</v>
      </c>
    </row>
    <row r="44" spans="1:33" s="11" customFormat="1" outlineLevel="1" x14ac:dyDescent="0.3">
      <c r="A44" s="11" t="s">
        <v>50</v>
      </c>
      <c r="B44" s="12">
        <v>2.7223932</v>
      </c>
      <c r="C44" s="12">
        <v>87.72</v>
      </c>
      <c r="D44" s="12">
        <v>2.998043</v>
      </c>
      <c r="E44" s="17">
        <v>4</v>
      </c>
      <c r="F44" s="13">
        <v>88.56</v>
      </c>
      <c r="G44" s="7" t="s">
        <v>107</v>
      </c>
      <c r="H44" s="7" t="s">
        <v>107</v>
      </c>
      <c r="I44" s="7" t="s">
        <v>107</v>
      </c>
      <c r="J44" s="7" t="s">
        <v>107</v>
      </c>
      <c r="K44" s="7" t="s">
        <v>107</v>
      </c>
      <c r="L44" s="7" t="s">
        <v>107</v>
      </c>
      <c r="M44" s="20" t="s">
        <v>107</v>
      </c>
      <c r="N44" s="7" t="s">
        <v>107</v>
      </c>
      <c r="O44" s="7" t="s">
        <v>107</v>
      </c>
      <c r="P44" s="7">
        <v>1183</v>
      </c>
      <c r="Q44" s="7">
        <v>66.900000000000006</v>
      </c>
      <c r="R44" s="7">
        <v>5.4</v>
      </c>
      <c r="S44" s="12">
        <v>20.7933494</v>
      </c>
      <c r="T44" s="12">
        <v>16</v>
      </c>
      <c r="U44" s="12">
        <v>64.353059200000004</v>
      </c>
      <c r="V44" s="12">
        <v>16.456773500000001</v>
      </c>
      <c r="W44" s="7" t="s">
        <v>107</v>
      </c>
      <c r="X44" s="7" t="s">
        <v>107</v>
      </c>
      <c r="Y44" s="7" t="s">
        <v>107</v>
      </c>
      <c r="Z44" s="7" t="s">
        <v>107</v>
      </c>
      <c r="AA44" s="7" t="s">
        <v>107</v>
      </c>
      <c r="AB44" s="7" t="s">
        <v>107</v>
      </c>
      <c r="AC44" s="7" t="s">
        <v>107</v>
      </c>
      <c r="AD44" s="7" t="s">
        <v>107</v>
      </c>
      <c r="AE44" s="7" t="s">
        <v>107</v>
      </c>
      <c r="AF44" s="7" t="s">
        <v>107</v>
      </c>
      <c r="AG44" s="12">
        <v>23.513926399999999</v>
      </c>
    </row>
    <row r="45" spans="1:33" s="11" customFormat="1" outlineLevel="1" x14ac:dyDescent="0.3">
      <c r="A45" s="11" t="s">
        <v>51</v>
      </c>
      <c r="B45" s="12">
        <v>1.9060995000000001</v>
      </c>
      <c r="C45" s="12">
        <v>88.42</v>
      </c>
      <c r="D45" s="12">
        <v>3.5484249000000001</v>
      </c>
      <c r="E45" s="17">
        <v>4</v>
      </c>
      <c r="F45" s="13">
        <v>96.936666700000004</v>
      </c>
      <c r="G45" s="7" t="s">
        <v>107</v>
      </c>
      <c r="H45" s="7" t="s">
        <v>107</v>
      </c>
      <c r="I45" s="7" t="s">
        <v>107</v>
      </c>
      <c r="J45" s="7" t="s">
        <v>107</v>
      </c>
      <c r="K45" s="7" t="s">
        <v>107</v>
      </c>
      <c r="L45" s="7" t="s">
        <v>107</v>
      </c>
      <c r="M45" s="20" t="s">
        <v>107</v>
      </c>
      <c r="N45" s="7" t="s">
        <v>107</v>
      </c>
      <c r="O45" s="7" t="s">
        <v>107</v>
      </c>
      <c r="P45" s="7">
        <v>1153.5999999999999</v>
      </c>
      <c r="Q45" s="7">
        <v>67.400000000000006</v>
      </c>
      <c r="R45" s="7">
        <v>5.5</v>
      </c>
      <c r="S45" s="12">
        <v>28.411382499999998</v>
      </c>
      <c r="T45" s="12">
        <v>17</v>
      </c>
      <c r="U45" s="12">
        <v>66.830130600000004</v>
      </c>
      <c r="V45" s="12">
        <v>16.633155800000001</v>
      </c>
      <c r="W45" s="7" t="s">
        <v>107</v>
      </c>
      <c r="X45" s="7" t="s">
        <v>107</v>
      </c>
      <c r="Y45" s="7" t="s">
        <v>107</v>
      </c>
      <c r="Z45" s="7" t="s">
        <v>107</v>
      </c>
      <c r="AA45" s="7" t="s">
        <v>107</v>
      </c>
      <c r="AB45" s="7" t="s">
        <v>107</v>
      </c>
      <c r="AC45" s="7" t="s">
        <v>107</v>
      </c>
      <c r="AD45" s="7" t="s">
        <v>107</v>
      </c>
      <c r="AE45" s="7" t="s">
        <v>107</v>
      </c>
      <c r="AF45" s="7" t="s">
        <v>107</v>
      </c>
      <c r="AG45" s="12">
        <v>19.4492999</v>
      </c>
    </row>
    <row r="46" spans="1:33" s="11" customFormat="1" outlineLevel="1" x14ac:dyDescent="0.3">
      <c r="A46" s="11" t="s">
        <v>52</v>
      </c>
      <c r="B46" s="12">
        <v>1.9101475000000001</v>
      </c>
      <c r="C46" s="12">
        <v>89.906666700000002</v>
      </c>
      <c r="D46" s="12">
        <v>3.9383430000000001</v>
      </c>
      <c r="E46" s="17">
        <v>4</v>
      </c>
      <c r="F46" s="13">
        <v>121.3966667</v>
      </c>
      <c r="G46" s="7" t="s">
        <v>107</v>
      </c>
      <c r="H46" s="7" t="s">
        <v>107</v>
      </c>
      <c r="I46" s="7" t="s">
        <v>107</v>
      </c>
      <c r="J46" s="7" t="s">
        <v>107</v>
      </c>
      <c r="K46" s="7" t="s">
        <v>107</v>
      </c>
      <c r="L46" s="7" t="s">
        <v>107</v>
      </c>
      <c r="M46" s="20" t="s">
        <v>107</v>
      </c>
      <c r="N46" s="7" t="s">
        <v>107</v>
      </c>
      <c r="O46" s="7" t="s">
        <v>107</v>
      </c>
      <c r="P46" s="7">
        <v>1356.7</v>
      </c>
      <c r="Q46" s="7">
        <v>42.6</v>
      </c>
      <c r="R46" s="7">
        <v>3</v>
      </c>
      <c r="S46" s="12">
        <v>24.905715099999998</v>
      </c>
      <c r="T46" s="12">
        <v>18.5</v>
      </c>
      <c r="U46" s="12">
        <v>69.186691600000003</v>
      </c>
      <c r="V46" s="12">
        <v>16.0824605</v>
      </c>
      <c r="W46" s="7" t="s">
        <v>107</v>
      </c>
      <c r="X46" s="7" t="s">
        <v>107</v>
      </c>
      <c r="Y46" s="7" t="s">
        <v>107</v>
      </c>
      <c r="Z46" s="7" t="s">
        <v>107</v>
      </c>
      <c r="AA46" s="7" t="s">
        <v>107</v>
      </c>
      <c r="AB46" s="7" t="s">
        <v>107</v>
      </c>
      <c r="AC46" s="7" t="s">
        <v>107</v>
      </c>
      <c r="AD46" s="7" t="s">
        <v>107</v>
      </c>
      <c r="AE46" s="7" t="s">
        <v>107</v>
      </c>
      <c r="AF46" s="7" t="s">
        <v>107</v>
      </c>
      <c r="AG46" s="12">
        <v>18.317255200000002</v>
      </c>
    </row>
    <row r="47" spans="1:33" s="11" customFormat="1" outlineLevel="1" x14ac:dyDescent="0.3">
      <c r="A47" s="11" t="s">
        <v>53</v>
      </c>
      <c r="B47" s="12">
        <v>0.87131639999999999</v>
      </c>
      <c r="C47" s="12">
        <v>90.323333300000002</v>
      </c>
      <c r="D47" s="12">
        <v>4.2994611000000003</v>
      </c>
      <c r="E47" s="17">
        <v>4.25</v>
      </c>
      <c r="F47" s="13">
        <v>114.3966667</v>
      </c>
      <c r="G47" s="7" t="s">
        <v>107</v>
      </c>
      <c r="H47" s="7" t="s">
        <v>107</v>
      </c>
      <c r="I47" s="7" t="s">
        <v>107</v>
      </c>
      <c r="J47" s="7" t="s">
        <v>107</v>
      </c>
      <c r="K47" s="7" t="s">
        <v>107</v>
      </c>
      <c r="L47" s="7" t="s">
        <v>107</v>
      </c>
      <c r="M47" s="20" t="s">
        <v>107</v>
      </c>
      <c r="N47" s="7" t="s">
        <v>107</v>
      </c>
      <c r="O47" s="7" t="s">
        <v>107</v>
      </c>
      <c r="P47" s="7">
        <v>1310</v>
      </c>
      <c r="Q47" s="7">
        <v>48.7</v>
      </c>
      <c r="R47" s="7">
        <v>3.6</v>
      </c>
      <c r="S47" s="12">
        <v>21.953161600000001</v>
      </c>
      <c r="T47" s="12">
        <v>17</v>
      </c>
      <c r="U47" s="12">
        <v>68.830436199999994</v>
      </c>
      <c r="V47" s="12">
        <v>14.7778706</v>
      </c>
      <c r="W47" s="7" t="s">
        <v>107</v>
      </c>
      <c r="X47" s="7" t="s">
        <v>107</v>
      </c>
      <c r="Y47" s="7" t="s">
        <v>107</v>
      </c>
      <c r="Z47" s="7" t="s">
        <v>107</v>
      </c>
      <c r="AA47" s="7" t="s">
        <v>107</v>
      </c>
      <c r="AB47" s="7" t="s">
        <v>107</v>
      </c>
      <c r="AC47" s="7" t="s">
        <v>107</v>
      </c>
      <c r="AD47" s="7" t="s">
        <v>107</v>
      </c>
      <c r="AE47" s="7" t="s">
        <v>107</v>
      </c>
      <c r="AF47" s="7" t="s">
        <v>107</v>
      </c>
      <c r="AG47" s="12">
        <v>18.7448035</v>
      </c>
    </row>
    <row r="48" spans="1:33" s="11" customFormat="1" outlineLevel="1" x14ac:dyDescent="0.3">
      <c r="A48" s="11" t="s">
        <v>54</v>
      </c>
      <c r="B48" s="12">
        <v>-1.9881508000000001</v>
      </c>
      <c r="C48" s="12">
        <v>90.23</v>
      </c>
      <c r="D48" s="12">
        <v>2.8613770999999999</v>
      </c>
      <c r="E48" s="17">
        <v>3.1666666999999999</v>
      </c>
      <c r="F48" s="13">
        <v>54.66</v>
      </c>
      <c r="G48" s="7" t="s">
        <v>107</v>
      </c>
      <c r="H48" s="7" t="s">
        <v>107</v>
      </c>
      <c r="I48" s="7" t="s">
        <v>107</v>
      </c>
      <c r="J48" s="7" t="s">
        <v>107</v>
      </c>
      <c r="K48" s="7" t="s">
        <v>107</v>
      </c>
      <c r="L48" s="7" t="s">
        <v>107</v>
      </c>
      <c r="M48" s="20" t="s">
        <v>107</v>
      </c>
      <c r="N48" s="7" t="s">
        <v>107</v>
      </c>
      <c r="O48" s="7" t="s">
        <v>107</v>
      </c>
      <c r="P48" s="7">
        <v>1183.9000000000001</v>
      </c>
      <c r="Q48" s="7">
        <v>48.3</v>
      </c>
      <c r="R48" s="7">
        <v>3.9</v>
      </c>
      <c r="S48" s="12">
        <v>16.789158400000002</v>
      </c>
      <c r="T48" s="12">
        <v>14</v>
      </c>
      <c r="U48" s="12">
        <v>69.772960600000005</v>
      </c>
      <c r="V48" s="12">
        <v>13.6835334</v>
      </c>
      <c r="W48" s="7" t="s">
        <v>107</v>
      </c>
      <c r="X48" s="7" t="s">
        <v>107</v>
      </c>
      <c r="Y48" s="7" t="s">
        <v>107</v>
      </c>
      <c r="Z48" s="7" t="s">
        <v>107</v>
      </c>
      <c r="AA48" s="7" t="s">
        <v>107</v>
      </c>
      <c r="AB48" s="7" t="s">
        <v>107</v>
      </c>
      <c r="AC48" s="7" t="s">
        <v>107</v>
      </c>
      <c r="AD48" s="7" t="s">
        <v>107</v>
      </c>
      <c r="AE48" s="7" t="s">
        <v>107</v>
      </c>
      <c r="AF48" s="7" t="s">
        <v>107</v>
      </c>
      <c r="AG48" s="12">
        <v>18.660190199999999</v>
      </c>
    </row>
    <row r="49" spans="1:33" s="11" customFormat="1" outlineLevel="1" x14ac:dyDescent="0.3">
      <c r="A49" s="11" t="s">
        <v>55</v>
      </c>
      <c r="B49" s="12">
        <v>-5.4359460999999998</v>
      </c>
      <c r="C49" s="12">
        <v>89.88</v>
      </c>
      <c r="D49" s="12">
        <v>1.6512100999999999</v>
      </c>
      <c r="E49" s="17">
        <v>1.8333333000000001</v>
      </c>
      <c r="F49" s="13">
        <v>44.433333300000001</v>
      </c>
      <c r="G49" s="12">
        <v>16.713231499999999</v>
      </c>
      <c r="H49" s="12">
        <v>-9.0147594000000009</v>
      </c>
      <c r="I49" s="7" t="s">
        <v>107</v>
      </c>
      <c r="J49" s="7" t="s">
        <v>107</v>
      </c>
      <c r="K49" s="7" t="s">
        <v>107</v>
      </c>
      <c r="L49" s="7" t="s">
        <v>107</v>
      </c>
      <c r="M49" s="20" t="s">
        <v>107</v>
      </c>
      <c r="N49" s="7" t="s">
        <v>107</v>
      </c>
      <c r="O49" s="7" t="s">
        <v>107</v>
      </c>
      <c r="P49" s="7">
        <v>1090.0999999999999</v>
      </c>
      <c r="Q49" s="7">
        <v>90.9</v>
      </c>
      <c r="R49" s="7">
        <v>7.7</v>
      </c>
      <c r="S49" s="12">
        <v>12.414936300000001</v>
      </c>
      <c r="T49" s="12">
        <v>11</v>
      </c>
      <c r="U49" s="12">
        <v>68.916128</v>
      </c>
      <c r="V49" s="12">
        <v>13.9241992</v>
      </c>
      <c r="W49" s="7" t="s">
        <v>107</v>
      </c>
      <c r="X49" s="7" t="s">
        <v>107</v>
      </c>
      <c r="Y49" s="7" t="s">
        <v>107</v>
      </c>
      <c r="Z49" s="7" t="s">
        <v>107</v>
      </c>
      <c r="AA49" s="7" t="s">
        <v>107</v>
      </c>
      <c r="AB49" s="7" t="s">
        <v>107</v>
      </c>
      <c r="AC49" s="7" t="s">
        <v>107</v>
      </c>
      <c r="AD49" s="7" t="s">
        <v>107</v>
      </c>
      <c r="AE49" s="7" t="s">
        <v>107</v>
      </c>
      <c r="AF49" s="7" t="s">
        <v>107</v>
      </c>
      <c r="AG49" s="12">
        <v>20.1989737</v>
      </c>
    </row>
    <row r="50" spans="1:33" s="11" customFormat="1" outlineLevel="1" x14ac:dyDescent="0.3">
      <c r="A50" s="11" t="s">
        <v>56</v>
      </c>
      <c r="B50" s="12">
        <v>-5.8020649999999998</v>
      </c>
      <c r="C50" s="12">
        <v>90.723333299999993</v>
      </c>
      <c r="D50" s="12">
        <v>0.90834930000000003</v>
      </c>
      <c r="E50" s="17">
        <v>1.0833333000000001</v>
      </c>
      <c r="F50" s="13">
        <v>58.696666700000002</v>
      </c>
      <c r="G50" s="12">
        <v>5.1924729999999997</v>
      </c>
      <c r="H50" s="12">
        <v>-7.3655913999999996</v>
      </c>
      <c r="I50" s="7" t="s">
        <v>107</v>
      </c>
      <c r="J50" s="7" t="s">
        <v>107</v>
      </c>
      <c r="K50" s="7" t="s">
        <v>107</v>
      </c>
      <c r="L50" s="7" t="s">
        <v>107</v>
      </c>
      <c r="M50" s="20" t="s">
        <v>107</v>
      </c>
      <c r="N50" s="7" t="s">
        <v>107</v>
      </c>
      <c r="O50" s="7" t="s">
        <v>107</v>
      </c>
      <c r="P50" s="7">
        <v>1275.3</v>
      </c>
      <c r="Q50" s="7">
        <v>82.8</v>
      </c>
      <c r="R50" s="7">
        <v>6.1</v>
      </c>
      <c r="S50" s="12">
        <v>8.0981690000000004</v>
      </c>
      <c r="T50" s="12">
        <v>9</v>
      </c>
      <c r="U50" s="12">
        <v>68.521297200000006</v>
      </c>
      <c r="V50" s="12">
        <v>15.2311902</v>
      </c>
      <c r="W50" s="7" t="s">
        <v>107</v>
      </c>
      <c r="X50" s="7" t="s">
        <v>107</v>
      </c>
      <c r="Y50" s="7" t="s">
        <v>107</v>
      </c>
      <c r="Z50" s="7" t="s">
        <v>107</v>
      </c>
      <c r="AA50" s="7" t="s">
        <v>107</v>
      </c>
      <c r="AB50" s="7" t="s">
        <v>107</v>
      </c>
      <c r="AC50" s="7" t="s">
        <v>107</v>
      </c>
      <c r="AD50" s="7" t="s">
        <v>107</v>
      </c>
      <c r="AE50" s="7" t="s">
        <v>107</v>
      </c>
      <c r="AF50" s="7" t="s">
        <v>107</v>
      </c>
      <c r="AG50" s="12">
        <v>21.609204999999999</v>
      </c>
    </row>
    <row r="51" spans="1:33" s="11" customFormat="1" outlineLevel="1" x14ac:dyDescent="0.3">
      <c r="A51" s="11" t="s">
        <v>57</v>
      </c>
      <c r="B51" s="12">
        <v>-4.1677857999999999</v>
      </c>
      <c r="C51" s="12">
        <v>90.663333300000005</v>
      </c>
      <c r="D51" s="12">
        <v>0.37642540000000002</v>
      </c>
      <c r="E51" s="17">
        <v>1</v>
      </c>
      <c r="F51" s="13">
        <v>68.2</v>
      </c>
      <c r="G51" s="12">
        <v>1.5285310000000001</v>
      </c>
      <c r="H51" s="12">
        <v>-9.0174818999999999</v>
      </c>
      <c r="I51" s="7" t="s">
        <v>107</v>
      </c>
      <c r="J51" s="7" t="s">
        <v>107</v>
      </c>
      <c r="K51" s="7" t="s">
        <v>107</v>
      </c>
      <c r="L51" s="7" t="s">
        <v>107</v>
      </c>
      <c r="M51" s="20" t="s">
        <v>107</v>
      </c>
      <c r="N51" s="7" t="s">
        <v>107</v>
      </c>
      <c r="O51" s="7" t="s">
        <v>107</v>
      </c>
      <c r="P51" s="7">
        <v>1250.5</v>
      </c>
      <c r="Q51" s="7">
        <v>76.2</v>
      </c>
      <c r="R51" s="7">
        <v>5.7</v>
      </c>
      <c r="S51" s="12">
        <v>6.4177901000000004</v>
      </c>
      <c r="T51" s="12">
        <v>5</v>
      </c>
      <c r="U51" s="12">
        <v>67.6548485</v>
      </c>
      <c r="V51" s="12">
        <v>16.055722800000002</v>
      </c>
      <c r="W51" s="7" t="s">
        <v>107</v>
      </c>
      <c r="X51" s="7" t="s">
        <v>107</v>
      </c>
      <c r="Y51" s="7" t="s">
        <v>107</v>
      </c>
      <c r="Z51" s="7" t="s">
        <v>107</v>
      </c>
      <c r="AA51" s="7" t="s">
        <v>107</v>
      </c>
      <c r="AB51" s="7" t="s">
        <v>107</v>
      </c>
      <c r="AC51" s="7" t="s">
        <v>107</v>
      </c>
      <c r="AD51" s="7" t="s">
        <v>107</v>
      </c>
      <c r="AE51" s="7" t="s">
        <v>107</v>
      </c>
      <c r="AF51" s="7" t="s">
        <v>107</v>
      </c>
      <c r="AG51" s="12">
        <v>22.882252300000001</v>
      </c>
    </row>
    <row r="52" spans="1:33" s="11" customFormat="1" outlineLevel="1" x14ac:dyDescent="0.3">
      <c r="A52" s="11" t="s">
        <v>58</v>
      </c>
      <c r="B52" s="12">
        <v>-1.8288317999999999</v>
      </c>
      <c r="C52" s="12">
        <v>91.146666699999997</v>
      </c>
      <c r="D52" s="12">
        <v>1.0159222999999999</v>
      </c>
      <c r="E52" s="17">
        <v>1</v>
      </c>
      <c r="F52" s="13">
        <v>74.63</v>
      </c>
      <c r="G52" s="12">
        <v>-1.1947535</v>
      </c>
      <c r="H52" s="12">
        <v>-6.3255191999999996</v>
      </c>
      <c r="I52" s="7" t="s">
        <v>107</v>
      </c>
      <c r="J52" s="7" t="s">
        <v>107</v>
      </c>
      <c r="K52" s="7" t="s">
        <v>107</v>
      </c>
      <c r="L52" s="7" t="s">
        <v>107</v>
      </c>
      <c r="M52" s="20" t="s">
        <v>107</v>
      </c>
      <c r="N52" s="7" t="s">
        <v>107</v>
      </c>
      <c r="O52" s="7" t="s">
        <v>107</v>
      </c>
      <c r="P52" s="7">
        <v>1121.5999999999999</v>
      </c>
      <c r="Q52" s="7">
        <v>73.900000000000006</v>
      </c>
      <c r="R52" s="7">
        <v>6.2</v>
      </c>
      <c r="S52" s="12">
        <v>6.2056673</v>
      </c>
      <c r="T52" s="12">
        <v>5</v>
      </c>
      <c r="U52" s="12">
        <v>69.355707300000006</v>
      </c>
      <c r="V52" s="12">
        <v>16.8361959</v>
      </c>
      <c r="W52" s="7" t="s">
        <v>107</v>
      </c>
      <c r="X52" s="7" t="s">
        <v>107</v>
      </c>
      <c r="Y52" s="7" t="s">
        <v>107</v>
      </c>
      <c r="Z52" s="7" t="s">
        <v>107</v>
      </c>
      <c r="AA52" s="7" t="s">
        <v>107</v>
      </c>
      <c r="AB52" s="7" t="s">
        <v>107</v>
      </c>
      <c r="AC52" s="7" t="s">
        <v>107</v>
      </c>
      <c r="AD52" s="7" t="s">
        <v>107</v>
      </c>
      <c r="AE52" s="7" t="s">
        <v>107</v>
      </c>
      <c r="AF52" s="7" t="s">
        <v>107</v>
      </c>
      <c r="AG52" s="12">
        <v>24.389538399999999</v>
      </c>
    </row>
    <row r="53" spans="1:33" s="11" customFormat="1" outlineLevel="1" x14ac:dyDescent="0.3">
      <c r="A53" s="11" t="s">
        <v>59</v>
      </c>
      <c r="B53" s="12">
        <v>1.1991562</v>
      </c>
      <c r="C53" s="12">
        <v>91.416666699999993</v>
      </c>
      <c r="D53" s="12">
        <v>1.709687</v>
      </c>
      <c r="E53" s="17">
        <v>1</v>
      </c>
      <c r="F53" s="13">
        <v>76.25</v>
      </c>
      <c r="G53" s="12">
        <v>6.5028972999999999</v>
      </c>
      <c r="H53" s="12">
        <v>12.2135563</v>
      </c>
      <c r="I53" s="12">
        <v>-4.9311696999999999</v>
      </c>
      <c r="J53" s="7" t="s">
        <v>107</v>
      </c>
      <c r="K53" s="7" t="s">
        <v>107</v>
      </c>
      <c r="L53" s="7" t="s">
        <v>107</v>
      </c>
      <c r="M53" s="20" t="s">
        <v>107</v>
      </c>
      <c r="N53" s="7" t="s">
        <v>107</v>
      </c>
      <c r="O53" s="7" t="s">
        <v>107</v>
      </c>
      <c r="P53" s="7">
        <v>1022.6</v>
      </c>
      <c r="Q53" s="7">
        <v>102.1</v>
      </c>
      <c r="R53" s="7">
        <v>9.1</v>
      </c>
      <c r="S53" s="12">
        <v>6.5890570000000004</v>
      </c>
      <c r="T53" s="12">
        <v>7</v>
      </c>
      <c r="U53" s="12">
        <v>72.951164800000001</v>
      </c>
      <c r="V53" s="12">
        <v>17.397782500000002</v>
      </c>
      <c r="W53" s="7" t="s">
        <v>107</v>
      </c>
      <c r="X53" s="12">
        <v>-6.0613918</v>
      </c>
      <c r="Y53" s="12">
        <v>-7.7767144999999998</v>
      </c>
      <c r="Z53" s="12">
        <v>-9.4047391000000005</v>
      </c>
      <c r="AA53" s="12">
        <v>94.439760000000007</v>
      </c>
      <c r="AB53" s="12">
        <v>21.9591773</v>
      </c>
      <c r="AC53" s="12">
        <v>17.9522671</v>
      </c>
      <c r="AD53" s="12">
        <v>29.107449200000001</v>
      </c>
      <c r="AE53" s="12">
        <v>59.141638200000003</v>
      </c>
      <c r="AF53" s="7" t="s">
        <v>107</v>
      </c>
      <c r="AG53" s="12">
        <v>20.335118300000001</v>
      </c>
    </row>
    <row r="54" spans="1:33" s="11" customFormat="1" outlineLevel="1" x14ac:dyDescent="0.3">
      <c r="A54" s="11" t="s">
        <v>60</v>
      </c>
      <c r="B54" s="12">
        <v>2.6157658000000001</v>
      </c>
      <c r="C54" s="12">
        <v>92.57</v>
      </c>
      <c r="D54" s="12">
        <v>2.0354926</v>
      </c>
      <c r="E54" s="17">
        <v>1</v>
      </c>
      <c r="F54" s="13">
        <v>78.510000000000005</v>
      </c>
      <c r="G54" s="12">
        <v>5.8422704000000003</v>
      </c>
      <c r="H54" s="12">
        <v>16.3736301</v>
      </c>
      <c r="I54" s="12">
        <v>-2.1256300000000001</v>
      </c>
      <c r="J54" s="7" t="s">
        <v>107</v>
      </c>
      <c r="K54" s="7" t="s">
        <v>107</v>
      </c>
      <c r="L54" s="7" t="s">
        <v>107</v>
      </c>
      <c r="M54" s="20" t="s">
        <v>107</v>
      </c>
      <c r="N54" s="7" t="s">
        <v>107</v>
      </c>
      <c r="O54" s="7" t="s">
        <v>107</v>
      </c>
      <c r="P54" s="7">
        <v>1255.0999999999999</v>
      </c>
      <c r="Q54" s="7">
        <v>94.5</v>
      </c>
      <c r="R54" s="7">
        <v>7</v>
      </c>
      <c r="S54" s="12">
        <v>6.2130707000000003</v>
      </c>
      <c r="T54" s="12">
        <v>7</v>
      </c>
      <c r="U54" s="12">
        <v>73.990264499999995</v>
      </c>
      <c r="V54" s="12">
        <v>16.1649204</v>
      </c>
      <c r="W54" s="7" t="s">
        <v>107</v>
      </c>
      <c r="X54" s="12">
        <v>6.6427645999999996</v>
      </c>
      <c r="Y54" s="12">
        <v>25.869860299999999</v>
      </c>
      <c r="Z54" s="12">
        <v>-10.279488499999999</v>
      </c>
      <c r="AA54" s="12">
        <v>87.072010599999999</v>
      </c>
      <c r="AB54" s="12">
        <v>18.859422500000001</v>
      </c>
      <c r="AC54" s="12">
        <v>20.9038793</v>
      </c>
      <c r="AD54" s="12">
        <v>27.9467368</v>
      </c>
      <c r="AE54" s="12">
        <v>60.806785900000001</v>
      </c>
      <c r="AF54" s="7" t="s">
        <v>107</v>
      </c>
      <c r="AG54" s="12">
        <v>20.962377199999999</v>
      </c>
    </row>
    <row r="55" spans="1:33" s="11" customFormat="1" outlineLevel="1" x14ac:dyDescent="0.3">
      <c r="A55" s="11" t="s">
        <v>61</v>
      </c>
      <c r="B55" s="12">
        <v>2.4618717000000001</v>
      </c>
      <c r="C55" s="12">
        <v>92.583333300000007</v>
      </c>
      <c r="D55" s="12">
        <v>2.1177248999999998</v>
      </c>
      <c r="E55" s="17">
        <v>1</v>
      </c>
      <c r="F55" s="13">
        <v>76.819999999999993</v>
      </c>
      <c r="G55" s="12">
        <v>6.2637583000000001</v>
      </c>
      <c r="H55" s="12">
        <v>15.251472400000001</v>
      </c>
      <c r="I55" s="12">
        <v>-0.772621</v>
      </c>
      <c r="J55" s="7" t="s">
        <v>107</v>
      </c>
      <c r="K55" s="7" t="s">
        <v>107</v>
      </c>
      <c r="L55" s="7" t="s">
        <v>107</v>
      </c>
      <c r="M55" s="20" t="s">
        <v>107</v>
      </c>
      <c r="N55" s="7" t="s">
        <v>107</v>
      </c>
      <c r="O55" s="7" t="s">
        <v>107</v>
      </c>
      <c r="P55" s="7">
        <v>1228.4000000000001</v>
      </c>
      <c r="Q55" s="7">
        <v>85.4</v>
      </c>
      <c r="R55" s="7">
        <v>6.5</v>
      </c>
      <c r="S55" s="12">
        <v>9.3583081000000004</v>
      </c>
      <c r="T55" s="12">
        <v>7</v>
      </c>
      <c r="U55" s="12">
        <v>73.0790401</v>
      </c>
      <c r="V55" s="12">
        <v>15.874311799999999</v>
      </c>
      <c r="W55" s="7" t="s">
        <v>107</v>
      </c>
      <c r="X55" s="12">
        <v>30.369415799999999</v>
      </c>
      <c r="Y55" s="12">
        <v>31.811244500000001</v>
      </c>
      <c r="Z55" s="12">
        <v>-5.4209882</v>
      </c>
      <c r="AA55" s="12">
        <v>83.390996900000005</v>
      </c>
      <c r="AB55" s="12">
        <v>14.374503000000001</v>
      </c>
      <c r="AC55" s="12">
        <v>26.365075999999998</v>
      </c>
      <c r="AD55" s="12">
        <v>24.487206700000002</v>
      </c>
      <c r="AE55" s="12">
        <v>53.535780299999999</v>
      </c>
      <c r="AF55" s="7" t="s">
        <v>107</v>
      </c>
      <c r="AG55" s="12">
        <v>21.600462</v>
      </c>
    </row>
    <row r="56" spans="1:33" s="11" customFormat="1" outlineLevel="1" x14ac:dyDescent="0.3">
      <c r="A56" s="11" t="s">
        <v>62</v>
      </c>
      <c r="B56" s="12">
        <v>2.3931737000000002</v>
      </c>
      <c r="C56" s="12">
        <v>93.383333300000004</v>
      </c>
      <c r="D56" s="12">
        <v>2.4539203000000001</v>
      </c>
      <c r="E56" s="17">
        <v>1</v>
      </c>
      <c r="F56" s="13">
        <v>86.466666700000005</v>
      </c>
      <c r="G56" s="12">
        <v>9.7000276999999997</v>
      </c>
      <c r="H56" s="12">
        <v>22.8465238</v>
      </c>
      <c r="I56" s="12">
        <v>-1.2391095000000001</v>
      </c>
      <c r="J56" s="7" t="s">
        <v>107</v>
      </c>
      <c r="K56" s="7" t="s">
        <v>107</v>
      </c>
      <c r="L56" s="7" t="s">
        <v>107</v>
      </c>
      <c r="M56" s="20" t="s">
        <v>107</v>
      </c>
      <c r="N56" s="7" t="s">
        <v>107</v>
      </c>
      <c r="O56" s="7" t="s">
        <v>107</v>
      </c>
      <c r="P56" s="7">
        <v>1067.3</v>
      </c>
      <c r="Q56" s="7">
        <v>86</v>
      </c>
      <c r="R56" s="7">
        <v>7.5</v>
      </c>
      <c r="S56" s="12">
        <v>9.0728500000000007</v>
      </c>
      <c r="T56" s="12">
        <v>7</v>
      </c>
      <c r="U56" s="12">
        <v>74.966789199999994</v>
      </c>
      <c r="V56" s="12">
        <v>16.1839084</v>
      </c>
      <c r="W56" s="7" t="s">
        <v>107</v>
      </c>
      <c r="X56" s="12">
        <v>45.6236107</v>
      </c>
      <c r="Y56" s="12">
        <v>28.5288699</v>
      </c>
      <c r="Z56" s="12">
        <v>-3.7851159000000001</v>
      </c>
      <c r="AA56" s="12">
        <v>97.002120300000001</v>
      </c>
      <c r="AB56" s="12">
        <v>18.8852051</v>
      </c>
      <c r="AC56" s="12">
        <v>23.329353900000001</v>
      </c>
      <c r="AD56" s="12">
        <v>30.298947399999999</v>
      </c>
      <c r="AE56" s="12">
        <v>67.173829299999994</v>
      </c>
      <c r="AF56" s="7" t="s">
        <v>107</v>
      </c>
      <c r="AG56" s="12">
        <v>21.952810499999998</v>
      </c>
    </row>
    <row r="57" spans="1:33" s="11" customFormat="1" outlineLevel="1" x14ac:dyDescent="0.3">
      <c r="A57" s="11" t="s">
        <v>63</v>
      </c>
      <c r="B57" s="12">
        <v>3.2110127999999998</v>
      </c>
      <c r="C57" s="12">
        <v>94.073333300000002</v>
      </c>
      <c r="D57" s="12">
        <v>2.9061075000000001</v>
      </c>
      <c r="E57" s="17">
        <v>1</v>
      </c>
      <c r="F57" s="13">
        <v>104.96</v>
      </c>
      <c r="G57" s="12">
        <v>2.9343378000000002</v>
      </c>
      <c r="H57" s="12">
        <v>9.6660933999999994</v>
      </c>
      <c r="I57" s="12">
        <v>-2.5602790999999998</v>
      </c>
      <c r="J57" s="12">
        <v>-19.3</v>
      </c>
      <c r="K57" s="12">
        <v>-17.2</v>
      </c>
      <c r="L57" s="12">
        <v>-9.5</v>
      </c>
      <c r="M57" s="21">
        <v>-34.5</v>
      </c>
      <c r="N57" s="12">
        <v>-5.5</v>
      </c>
      <c r="O57" s="12">
        <v>-12.6</v>
      </c>
      <c r="P57" s="7">
        <v>1030.5</v>
      </c>
      <c r="Q57" s="7">
        <v>107.2</v>
      </c>
      <c r="R57" s="7">
        <v>9.4</v>
      </c>
      <c r="S57" s="12">
        <v>9.5</v>
      </c>
      <c r="T57" s="12">
        <v>8</v>
      </c>
      <c r="U57" s="12">
        <v>77.467827700000001</v>
      </c>
      <c r="V57" s="12">
        <v>16.474920900000001</v>
      </c>
      <c r="W57" s="12">
        <v>11.2659571</v>
      </c>
      <c r="X57" s="12">
        <v>57.1759123</v>
      </c>
      <c r="Y57" s="12">
        <v>41.580896000000003</v>
      </c>
      <c r="Z57" s="12">
        <v>-11.406773599999999</v>
      </c>
      <c r="AA57" s="12">
        <v>100.47875000000001</v>
      </c>
      <c r="AB57" s="12">
        <v>18.527009400000001</v>
      </c>
      <c r="AC57" s="12">
        <v>18.6396123</v>
      </c>
      <c r="AD57" s="12">
        <v>34.354976100000002</v>
      </c>
      <c r="AE57" s="12">
        <v>69.0737685</v>
      </c>
      <c r="AF57" s="7" t="s">
        <v>107</v>
      </c>
      <c r="AG57" s="12">
        <v>19.0582198</v>
      </c>
    </row>
    <row r="58" spans="1:33" s="11" customFormat="1" outlineLevel="1" x14ac:dyDescent="0.3">
      <c r="A58" s="11" t="s">
        <v>64</v>
      </c>
      <c r="B58" s="12">
        <v>2.1036085</v>
      </c>
      <c r="C58" s="12">
        <v>95.516666700000002</v>
      </c>
      <c r="D58" s="12">
        <v>3.1831767000000002</v>
      </c>
      <c r="E58" s="17">
        <v>1.25</v>
      </c>
      <c r="F58" s="13">
        <v>117.36</v>
      </c>
      <c r="G58" s="12">
        <v>15.3669061</v>
      </c>
      <c r="H58" s="12">
        <v>10.371989299999999</v>
      </c>
      <c r="I58" s="12">
        <v>-3.52033</v>
      </c>
      <c r="J58" s="12">
        <v>13</v>
      </c>
      <c r="K58" s="12">
        <v>5.5</v>
      </c>
      <c r="L58" s="12">
        <v>-3.2</v>
      </c>
      <c r="M58" s="21">
        <v>58.9</v>
      </c>
      <c r="N58" s="12">
        <v>11.7</v>
      </c>
      <c r="O58" s="12">
        <v>11.1</v>
      </c>
      <c r="P58" s="7">
        <v>1246.0999999999999</v>
      </c>
      <c r="Q58" s="7">
        <v>82.6</v>
      </c>
      <c r="R58" s="7">
        <v>6.2</v>
      </c>
      <c r="S58" s="12">
        <v>15.6</v>
      </c>
      <c r="T58" s="12">
        <v>8</v>
      </c>
      <c r="U58" s="12">
        <v>79.338185300000006</v>
      </c>
      <c r="V58" s="12">
        <v>16.735271099999999</v>
      </c>
      <c r="W58" s="12">
        <v>10.0954485</v>
      </c>
      <c r="X58" s="12">
        <v>45.818819099999999</v>
      </c>
      <c r="Y58" s="12">
        <v>19.866939500000001</v>
      </c>
      <c r="Z58" s="12">
        <v>-9.2395008000000001</v>
      </c>
      <c r="AA58" s="12">
        <v>90.470886800000002</v>
      </c>
      <c r="AB58" s="12">
        <v>18.9497848</v>
      </c>
      <c r="AC58" s="12">
        <v>25.093404899999999</v>
      </c>
      <c r="AD58" s="12">
        <v>32.023571199999999</v>
      </c>
      <c r="AE58" s="12">
        <v>64.247669099999996</v>
      </c>
      <c r="AF58" s="7" t="s">
        <v>107</v>
      </c>
      <c r="AG58" s="12">
        <v>19.296706499999999</v>
      </c>
    </row>
    <row r="59" spans="1:33" s="11" customFormat="1" outlineLevel="1" x14ac:dyDescent="0.3">
      <c r="A59" s="11" t="s">
        <v>65</v>
      </c>
      <c r="B59" s="12">
        <v>1.8176159000000001</v>
      </c>
      <c r="C59" s="12">
        <v>95.433333300000001</v>
      </c>
      <c r="D59" s="12">
        <v>3.0783078000000001</v>
      </c>
      <c r="E59" s="17">
        <v>1.5</v>
      </c>
      <c r="F59" s="13">
        <v>113.34</v>
      </c>
      <c r="G59" s="12">
        <v>10.724322799999999</v>
      </c>
      <c r="H59" s="12">
        <v>13.2019249</v>
      </c>
      <c r="I59" s="12">
        <v>-0.15712280000000001</v>
      </c>
      <c r="J59" s="12">
        <v>25.7</v>
      </c>
      <c r="K59" s="12">
        <v>14.4</v>
      </c>
      <c r="L59" s="12">
        <v>-4.0999999999999996</v>
      </c>
      <c r="M59" s="21">
        <v>27.8</v>
      </c>
      <c r="N59" s="12">
        <v>7.6</v>
      </c>
      <c r="O59" s="12">
        <v>6.7</v>
      </c>
      <c r="P59" s="7">
        <v>1276.2</v>
      </c>
      <c r="Q59" s="7">
        <v>71</v>
      </c>
      <c r="R59" s="7">
        <v>5.3</v>
      </c>
      <c r="S59" s="12">
        <v>9.5</v>
      </c>
      <c r="T59" s="12">
        <v>10</v>
      </c>
      <c r="U59" s="12">
        <v>79.522481099999993</v>
      </c>
      <c r="V59" s="12">
        <v>16.2691427</v>
      </c>
      <c r="W59" s="12">
        <v>18.841484099999999</v>
      </c>
      <c r="X59" s="12">
        <v>27.0370846</v>
      </c>
      <c r="Y59" s="12">
        <v>21.808139799999999</v>
      </c>
      <c r="Z59" s="12">
        <v>-8.0268402999999999</v>
      </c>
      <c r="AA59" s="12">
        <v>82.472966200000002</v>
      </c>
      <c r="AB59" s="12">
        <v>12.817965600000001</v>
      </c>
      <c r="AC59" s="12">
        <v>25.789252600000001</v>
      </c>
      <c r="AD59" s="12">
        <v>28.269986100000001</v>
      </c>
      <c r="AE59" s="12">
        <v>57.361270300000001</v>
      </c>
      <c r="AF59" s="7" t="s">
        <v>107</v>
      </c>
      <c r="AG59" s="12">
        <v>19.587717699999999</v>
      </c>
    </row>
    <row r="60" spans="1:33" s="11" customFormat="1" outlineLevel="1" x14ac:dyDescent="0.3">
      <c r="A60" s="11" t="s">
        <v>66</v>
      </c>
      <c r="B60" s="12">
        <v>0.47384009999999999</v>
      </c>
      <c r="C60" s="12">
        <v>96.41</v>
      </c>
      <c r="D60" s="12">
        <v>3.2411208999999999</v>
      </c>
      <c r="E60" s="17">
        <v>1.25</v>
      </c>
      <c r="F60" s="13">
        <v>109.3966667</v>
      </c>
      <c r="G60" s="12">
        <v>8.3754860000000004</v>
      </c>
      <c r="H60" s="12">
        <v>5.5371655999999998</v>
      </c>
      <c r="I60" s="12">
        <v>-2.1518883</v>
      </c>
      <c r="J60" s="12">
        <v>-9.6</v>
      </c>
      <c r="K60" s="12">
        <v>5.7</v>
      </c>
      <c r="L60" s="12">
        <v>12.6</v>
      </c>
      <c r="M60" s="21">
        <v>-25.7</v>
      </c>
      <c r="N60" s="12">
        <v>11.2</v>
      </c>
      <c r="O60" s="12">
        <v>11.9</v>
      </c>
      <c r="P60" s="7">
        <v>1141.0999999999999</v>
      </c>
      <c r="Q60" s="7">
        <v>75.3</v>
      </c>
      <c r="R60" s="7">
        <v>6.2</v>
      </c>
      <c r="S60" s="12">
        <v>9.5</v>
      </c>
      <c r="T60" s="12">
        <v>9.5</v>
      </c>
      <c r="U60" s="12">
        <v>81.335175699999994</v>
      </c>
      <c r="V60" s="12">
        <v>15.871242499999999</v>
      </c>
      <c r="W60" s="12">
        <v>13.3506851</v>
      </c>
      <c r="X60" s="12">
        <v>19.630954800000001</v>
      </c>
      <c r="Y60" s="12">
        <v>25.0452257</v>
      </c>
      <c r="Z60" s="12">
        <v>-12.292806799999999</v>
      </c>
      <c r="AA60" s="12">
        <v>100.9969353</v>
      </c>
      <c r="AB60" s="12">
        <v>16.9764853</v>
      </c>
      <c r="AC60" s="12">
        <v>21.977099599999999</v>
      </c>
      <c r="AD60" s="12">
        <v>36.3817497</v>
      </c>
      <c r="AE60" s="12">
        <v>75.195992799999999</v>
      </c>
      <c r="AF60" s="7" t="s">
        <v>107</v>
      </c>
      <c r="AG60" s="12">
        <v>19.6768313</v>
      </c>
    </row>
    <row r="61" spans="1:33" s="11" customFormat="1" outlineLevel="1" x14ac:dyDescent="0.3">
      <c r="A61" s="11" t="s">
        <v>67</v>
      </c>
      <c r="B61" s="12">
        <v>3.7986600000000002E-2</v>
      </c>
      <c r="C61" s="12">
        <v>96.803333300000006</v>
      </c>
      <c r="D61" s="12">
        <v>2.9019914</v>
      </c>
      <c r="E61" s="17">
        <v>1</v>
      </c>
      <c r="F61" s="13">
        <v>118.49</v>
      </c>
      <c r="G61" s="12">
        <v>10.887734399999999</v>
      </c>
      <c r="H61" s="12">
        <v>7.5253185</v>
      </c>
      <c r="I61" s="12">
        <v>-3.5925144000000002</v>
      </c>
      <c r="J61" s="12">
        <v>-21.2</v>
      </c>
      <c r="K61" s="12">
        <v>-20.3</v>
      </c>
      <c r="L61" s="12">
        <v>-4.5</v>
      </c>
      <c r="M61" s="21">
        <v>-30.1</v>
      </c>
      <c r="N61" s="12">
        <v>-20.399999999999999</v>
      </c>
      <c r="O61" s="12">
        <v>-19.8</v>
      </c>
      <c r="P61" s="7">
        <v>1023.9</v>
      </c>
      <c r="Q61" s="7">
        <v>79.8</v>
      </c>
      <c r="R61" s="7">
        <v>7.2</v>
      </c>
      <c r="S61" s="12">
        <v>10.036521499999999</v>
      </c>
      <c r="T61" s="12">
        <v>4.5</v>
      </c>
      <c r="U61" s="12">
        <v>82.205256800000001</v>
      </c>
      <c r="V61" s="12">
        <v>15.5127919</v>
      </c>
      <c r="W61" s="12">
        <v>-2.4271653</v>
      </c>
      <c r="X61" s="12">
        <v>5.7981176000000003</v>
      </c>
      <c r="Y61" s="12">
        <v>14.046756999999999</v>
      </c>
      <c r="Z61" s="12">
        <v>-11.929603200000001</v>
      </c>
      <c r="AA61" s="12">
        <v>99.733101199999993</v>
      </c>
      <c r="AB61" s="12">
        <v>18.957861600000001</v>
      </c>
      <c r="AC61" s="12">
        <v>18.696175799999999</v>
      </c>
      <c r="AD61" s="12">
        <v>33.867840999999999</v>
      </c>
      <c r="AE61" s="12">
        <v>69.9904358</v>
      </c>
      <c r="AF61" s="7" t="s">
        <v>107</v>
      </c>
      <c r="AG61" s="12">
        <v>18.6705875</v>
      </c>
    </row>
    <row r="62" spans="1:33" s="11" customFormat="1" outlineLevel="1" x14ac:dyDescent="0.3">
      <c r="A62" s="11" t="s">
        <v>68</v>
      </c>
      <c r="B62" s="12">
        <v>-0.91019320000000004</v>
      </c>
      <c r="C62" s="12">
        <v>97.993333300000003</v>
      </c>
      <c r="D62" s="12">
        <v>2.5929156999999998</v>
      </c>
      <c r="E62" s="17">
        <v>1</v>
      </c>
      <c r="F62" s="13">
        <v>108.41666669999999</v>
      </c>
      <c r="G62" s="12">
        <v>6.3367826999999997</v>
      </c>
      <c r="H62" s="12">
        <v>16.2137019</v>
      </c>
      <c r="I62" s="12">
        <v>-0.60621409999999998</v>
      </c>
      <c r="J62" s="12">
        <v>12.9</v>
      </c>
      <c r="K62" s="12">
        <v>3.7</v>
      </c>
      <c r="L62" s="12">
        <v>2.4</v>
      </c>
      <c r="M62" s="21">
        <v>51.5</v>
      </c>
      <c r="N62" s="12">
        <v>6.2</v>
      </c>
      <c r="O62" s="12">
        <v>9.6999999999999993</v>
      </c>
      <c r="P62" s="7">
        <v>1209.3</v>
      </c>
      <c r="Q62" s="7">
        <v>57.6</v>
      </c>
      <c r="R62" s="7">
        <v>4.5</v>
      </c>
      <c r="S62" s="12">
        <v>8.5402786000000006</v>
      </c>
      <c r="T62" s="12">
        <v>4.5</v>
      </c>
      <c r="U62" s="12">
        <v>82.533721600000007</v>
      </c>
      <c r="V62" s="12">
        <v>15.3041502</v>
      </c>
      <c r="W62" s="12">
        <v>-2.4271652000000001</v>
      </c>
      <c r="X62" s="12">
        <v>14.450754699999999</v>
      </c>
      <c r="Y62" s="12">
        <v>13.968258199999999</v>
      </c>
      <c r="Z62" s="12">
        <v>-4.4559860999999996</v>
      </c>
      <c r="AA62" s="12">
        <v>88.607388</v>
      </c>
      <c r="AB62" s="12">
        <v>18.2322852</v>
      </c>
      <c r="AC62" s="12">
        <v>25.350408600000002</v>
      </c>
      <c r="AD62" s="12">
        <v>31.371791000000002</v>
      </c>
      <c r="AE62" s="12">
        <v>64.544760299999993</v>
      </c>
      <c r="AF62" s="7" t="s">
        <v>107</v>
      </c>
      <c r="AG62" s="12">
        <v>19.066092999999999</v>
      </c>
    </row>
    <row r="63" spans="1:33" s="11" customFormat="1" outlineLevel="1" x14ac:dyDescent="0.3">
      <c r="A63" s="11" t="s">
        <v>69</v>
      </c>
      <c r="B63" s="12">
        <v>-1.0352741000000001</v>
      </c>
      <c r="C63" s="12">
        <v>97.9566667</v>
      </c>
      <c r="D63" s="12">
        <v>2.6440796999999998</v>
      </c>
      <c r="E63" s="17">
        <v>0.75</v>
      </c>
      <c r="F63" s="13">
        <v>109.61333329999999</v>
      </c>
      <c r="G63" s="12">
        <v>11.025342500000001</v>
      </c>
      <c r="H63" s="12">
        <v>13.3653593</v>
      </c>
      <c r="I63" s="12">
        <v>0.4066536</v>
      </c>
      <c r="J63" s="12">
        <v>22.6</v>
      </c>
      <c r="K63" s="12">
        <v>16</v>
      </c>
      <c r="L63" s="12">
        <v>-6.8</v>
      </c>
      <c r="M63" s="21">
        <v>28.5</v>
      </c>
      <c r="N63" s="12">
        <v>5.8</v>
      </c>
      <c r="O63" s="12">
        <v>4.7</v>
      </c>
      <c r="P63" s="7">
        <v>1224.7</v>
      </c>
      <c r="Q63" s="7">
        <v>62.2</v>
      </c>
      <c r="R63" s="7">
        <v>4.8</v>
      </c>
      <c r="S63" s="12">
        <v>9.4073495000000005</v>
      </c>
      <c r="T63" s="12">
        <v>4.5</v>
      </c>
      <c r="U63" s="12">
        <v>82.919068300000006</v>
      </c>
      <c r="V63" s="12">
        <v>15.534994299999999</v>
      </c>
      <c r="W63" s="12">
        <v>-2.4271652000000001</v>
      </c>
      <c r="X63" s="12">
        <v>10.660606400000001</v>
      </c>
      <c r="Y63" s="12">
        <v>11.9897296</v>
      </c>
      <c r="Z63" s="12">
        <v>-4.3016509000000003</v>
      </c>
      <c r="AA63" s="12">
        <v>84.219542200000006</v>
      </c>
      <c r="AB63" s="12">
        <v>12.9590374</v>
      </c>
      <c r="AC63" s="12">
        <v>25.999721300000001</v>
      </c>
      <c r="AD63" s="12">
        <v>26.507186799999999</v>
      </c>
      <c r="AE63" s="12">
        <v>55.825115699999998</v>
      </c>
      <c r="AF63" s="7" t="s">
        <v>107</v>
      </c>
      <c r="AG63" s="12">
        <v>19.699112400000001</v>
      </c>
    </row>
    <row r="64" spans="1:33" s="11" customFormat="1" outlineLevel="1" x14ac:dyDescent="0.3">
      <c r="A64" s="11" t="s">
        <v>70</v>
      </c>
      <c r="B64" s="12">
        <v>-0.98067590000000004</v>
      </c>
      <c r="C64" s="12">
        <v>98.773333300000004</v>
      </c>
      <c r="D64" s="12">
        <v>2.4513362999999999</v>
      </c>
      <c r="E64" s="17">
        <v>0.75</v>
      </c>
      <c r="F64" s="13">
        <v>110.08666669999999</v>
      </c>
      <c r="G64" s="12">
        <v>12.452770299999999</v>
      </c>
      <c r="H64" s="12">
        <v>7.8064574000000002</v>
      </c>
      <c r="I64" s="12">
        <v>-3.8461409999999998</v>
      </c>
      <c r="J64" s="12">
        <v>-10.8</v>
      </c>
      <c r="K64" s="12">
        <v>5.0999999999999996</v>
      </c>
      <c r="L64" s="12">
        <v>4.9000000000000004</v>
      </c>
      <c r="M64" s="21">
        <v>-25.2</v>
      </c>
      <c r="N64" s="12">
        <v>5.3</v>
      </c>
      <c r="O64" s="12">
        <v>6.2</v>
      </c>
      <c r="P64" s="7">
        <v>1129.3</v>
      </c>
      <c r="Q64" s="7">
        <v>71.400000000000006</v>
      </c>
      <c r="R64" s="7">
        <v>5.9</v>
      </c>
      <c r="S64" s="12">
        <v>7.8945805</v>
      </c>
      <c r="T64" s="12">
        <v>4.5</v>
      </c>
      <c r="U64" s="12">
        <v>84.4476753</v>
      </c>
      <c r="V64" s="12">
        <v>15.9052682</v>
      </c>
      <c r="W64" s="12">
        <v>-2.4271652000000001</v>
      </c>
      <c r="X64" s="12">
        <v>-1.154717</v>
      </c>
      <c r="Y64" s="12">
        <v>3.0440486999999998</v>
      </c>
      <c r="Z64" s="12">
        <v>-10.060323</v>
      </c>
      <c r="AA64" s="12">
        <v>102.5411125</v>
      </c>
      <c r="AB64" s="12">
        <v>17.745671099999999</v>
      </c>
      <c r="AC64" s="12">
        <v>23.241024700000001</v>
      </c>
      <c r="AD64" s="12">
        <v>34.085794</v>
      </c>
      <c r="AE64" s="12">
        <v>72.766706900000003</v>
      </c>
      <c r="AF64" s="7" t="s">
        <v>107</v>
      </c>
      <c r="AG64" s="12">
        <v>20.3605068</v>
      </c>
    </row>
    <row r="65" spans="1:33" s="11" customFormat="1" outlineLevel="1" x14ac:dyDescent="0.3">
      <c r="A65" s="11" t="s">
        <v>71</v>
      </c>
      <c r="B65" s="12">
        <v>-1.6415721999999999</v>
      </c>
      <c r="C65" s="12">
        <v>98.726666699999996</v>
      </c>
      <c r="D65" s="12">
        <v>1.9868463000000001</v>
      </c>
      <c r="E65" s="17">
        <v>0.75</v>
      </c>
      <c r="F65" s="13">
        <v>112.4933333</v>
      </c>
      <c r="G65" s="12">
        <v>3.1914170999999998</v>
      </c>
      <c r="H65" s="12">
        <v>14.2661826</v>
      </c>
      <c r="I65" s="12">
        <v>-0.32613150000000002</v>
      </c>
      <c r="J65" s="12">
        <v>-15.8</v>
      </c>
      <c r="K65" s="12">
        <v>-17.7</v>
      </c>
      <c r="L65" s="12">
        <v>-1.1000000000000001</v>
      </c>
      <c r="M65" s="21">
        <v>-28.4</v>
      </c>
      <c r="N65" s="12">
        <v>-8.1999999999999993</v>
      </c>
      <c r="O65" s="12">
        <v>-14.7</v>
      </c>
      <c r="P65" s="7">
        <v>1030.2</v>
      </c>
      <c r="Q65" s="7">
        <v>90.8</v>
      </c>
      <c r="R65" s="7">
        <v>8.1</v>
      </c>
      <c r="S65" s="12">
        <v>9.2150171000000007</v>
      </c>
      <c r="T65" s="12">
        <v>4.5</v>
      </c>
      <c r="U65" s="12">
        <v>85.775811700000006</v>
      </c>
      <c r="V65" s="12">
        <v>16.0899067</v>
      </c>
      <c r="W65" s="12">
        <v>8.6185492000000004</v>
      </c>
      <c r="X65" s="12">
        <v>20.364988199999999</v>
      </c>
      <c r="Y65" s="12">
        <v>5.8981456999999997</v>
      </c>
      <c r="Z65" s="12">
        <v>-7.5664854999999998</v>
      </c>
      <c r="AA65" s="12">
        <v>99.633533700000001</v>
      </c>
      <c r="AB65" s="12">
        <v>17.445498099999998</v>
      </c>
      <c r="AC65" s="12">
        <v>19.7850985</v>
      </c>
      <c r="AD65" s="12">
        <v>36.469464199999997</v>
      </c>
      <c r="AE65" s="12">
        <v>69.968784499999998</v>
      </c>
      <c r="AF65" s="7" t="s">
        <v>107</v>
      </c>
      <c r="AG65" s="12">
        <v>17.971709199999999</v>
      </c>
    </row>
    <row r="66" spans="1:33" s="11" customFormat="1" outlineLevel="1" x14ac:dyDescent="0.3">
      <c r="A66" s="11" t="s">
        <v>72</v>
      </c>
      <c r="B66" s="12">
        <v>-0.1331087</v>
      </c>
      <c r="C66" s="12">
        <v>99.533333299999995</v>
      </c>
      <c r="D66" s="12">
        <v>1.5715355</v>
      </c>
      <c r="E66" s="17">
        <v>0.58333330000000005</v>
      </c>
      <c r="F66" s="13">
        <v>102.5766667</v>
      </c>
      <c r="G66" s="12">
        <v>7.5402578</v>
      </c>
      <c r="H66" s="12">
        <v>5.1666762000000004</v>
      </c>
      <c r="I66" s="12">
        <v>-1.3177401</v>
      </c>
      <c r="J66" s="12">
        <v>15.3</v>
      </c>
      <c r="K66" s="12">
        <v>7.5</v>
      </c>
      <c r="L66" s="12">
        <v>3.1</v>
      </c>
      <c r="M66" s="21">
        <v>54.5</v>
      </c>
      <c r="N66" s="12">
        <v>1.9</v>
      </c>
      <c r="O66" s="12">
        <v>12.4</v>
      </c>
      <c r="P66" s="7">
        <v>1227.5999999999999</v>
      </c>
      <c r="Q66" s="7">
        <v>60.8</v>
      </c>
      <c r="R66" s="7">
        <v>4.7</v>
      </c>
      <c r="S66" s="12">
        <v>5.6277901999999997</v>
      </c>
      <c r="T66" s="12">
        <v>3.5</v>
      </c>
      <c r="U66" s="12">
        <v>86.778085500000003</v>
      </c>
      <c r="V66" s="12">
        <v>16.170874099999999</v>
      </c>
      <c r="W66" s="12">
        <v>8.6185492000000004</v>
      </c>
      <c r="X66" s="12">
        <v>0.87970349999999997</v>
      </c>
      <c r="Y66" s="12">
        <v>7.0361244000000003</v>
      </c>
      <c r="Z66" s="12">
        <v>-10.6104985</v>
      </c>
      <c r="AA66" s="12">
        <v>89.0171232</v>
      </c>
      <c r="AB66" s="12">
        <v>16.876606800000001</v>
      </c>
      <c r="AC66" s="12">
        <v>24.181115900000002</v>
      </c>
      <c r="AD66" s="12">
        <v>30.688900100000001</v>
      </c>
      <c r="AE66" s="12">
        <v>65.002798799999994</v>
      </c>
      <c r="AF66" s="7" t="s">
        <v>107</v>
      </c>
      <c r="AG66" s="12">
        <v>18.456345800000001</v>
      </c>
    </row>
    <row r="67" spans="1:33" s="11" customFormat="1" outlineLevel="1" x14ac:dyDescent="0.3">
      <c r="A67" s="11" t="s">
        <v>73</v>
      </c>
      <c r="B67" s="12">
        <v>0.53477319999999995</v>
      </c>
      <c r="C67" s="12">
        <v>99.423333299999996</v>
      </c>
      <c r="D67" s="12">
        <v>1.4972605999999999</v>
      </c>
      <c r="E67" s="17">
        <v>0.5</v>
      </c>
      <c r="F67" s="13">
        <v>110.27</v>
      </c>
      <c r="G67" s="12">
        <v>9.3919397</v>
      </c>
      <c r="H67" s="12">
        <v>5.5413014</v>
      </c>
      <c r="I67" s="12">
        <v>-0.53637860000000004</v>
      </c>
      <c r="J67" s="12">
        <v>30.4</v>
      </c>
      <c r="K67" s="12">
        <v>17.5</v>
      </c>
      <c r="L67" s="12">
        <v>-7.5</v>
      </c>
      <c r="M67" s="21">
        <v>28.3</v>
      </c>
      <c r="N67" s="12">
        <v>18.399999999999999</v>
      </c>
      <c r="O67" s="12">
        <v>3.1</v>
      </c>
      <c r="P67" s="7">
        <v>1276.8</v>
      </c>
      <c r="Q67" s="7">
        <v>51.4</v>
      </c>
      <c r="R67" s="7">
        <v>3.9</v>
      </c>
      <c r="S67" s="12">
        <v>9.5760798000000005</v>
      </c>
      <c r="T67" s="12">
        <v>3.5</v>
      </c>
      <c r="U67" s="12">
        <v>86.163755800000004</v>
      </c>
      <c r="V67" s="12">
        <v>16.912349599999999</v>
      </c>
      <c r="W67" s="12">
        <v>8.6185492000000004</v>
      </c>
      <c r="X67" s="12">
        <v>9.4130356000000006</v>
      </c>
      <c r="Y67" s="12">
        <v>1.2275232</v>
      </c>
      <c r="Z67" s="12">
        <v>-3.9129491000000001</v>
      </c>
      <c r="AA67" s="12">
        <v>83.194535799999997</v>
      </c>
      <c r="AB67" s="12">
        <v>11.528037400000001</v>
      </c>
      <c r="AC67" s="12">
        <v>25.740499</v>
      </c>
      <c r="AD67" s="12">
        <v>27.9330511</v>
      </c>
      <c r="AE67" s="12">
        <v>54.340624200000001</v>
      </c>
      <c r="AF67" s="7" t="s">
        <v>107</v>
      </c>
      <c r="AG67" s="12">
        <v>19.340872399999999</v>
      </c>
    </row>
    <row r="68" spans="1:33" s="11" customFormat="1" outlineLevel="1" x14ac:dyDescent="0.3">
      <c r="A68" s="11" t="s">
        <v>74</v>
      </c>
      <c r="B68" s="12">
        <v>0.83200640000000003</v>
      </c>
      <c r="C68" s="12">
        <v>99.72</v>
      </c>
      <c r="D68" s="12">
        <v>0.95842340000000004</v>
      </c>
      <c r="E68" s="17">
        <v>0.3333333</v>
      </c>
      <c r="F68" s="13">
        <v>109.21</v>
      </c>
      <c r="G68" s="12">
        <v>14.8215076</v>
      </c>
      <c r="H68" s="12">
        <v>15.6523734</v>
      </c>
      <c r="I68" s="12">
        <v>-3.4850460999999999</v>
      </c>
      <c r="J68" s="12">
        <v>-11.9</v>
      </c>
      <c r="K68" s="12">
        <v>0.1</v>
      </c>
      <c r="L68" s="12">
        <v>5.5</v>
      </c>
      <c r="M68" s="21">
        <v>-26.3</v>
      </c>
      <c r="N68" s="12">
        <v>8.4</v>
      </c>
      <c r="O68" s="12">
        <v>7.6</v>
      </c>
      <c r="P68" s="7">
        <v>1156.5</v>
      </c>
      <c r="Q68" s="7">
        <v>49.3</v>
      </c>
      <c r="R68" s="7">
        <v>4.0999999999999996</v>
      </c>
      <c r="S68" s="12">
        <v>8.8150248999999992</v>
      </c>
      <c r="T68" s="12">
        <v>3.5</v>
      </c>
      <c r="U68" s="12">
        <v>88.567929300000003</v>
      </c>
      <c r="V68" s="12">
        <v>17.708763699999999</v>
      </c>
      <c r="W68" s="12">
        <v>8.6185492000000004</v>
      </c>
      <c r="X68" s="12">
        <v>5.5966294999999997</v>
      </c>
      <c r="Y68" s="12">
        <v>-1.6730069000000001</v>
      </c>
      <c r="Z68" s="12">
        <v>0.34713909999999998</v>
      </c>
      <c r="AA68" s="12">
        <v>96.142070000000004</v>
      </c>
      <c r="AB68" s="12">
        <v>16.5797934</v>
      </c>
      <c r="AC68" s="12">
        <v>21.365377800000001</v>
      </c>
      <c r="AD68" s="12">
        <v>34.791655300000002</v>
      </c>
      <c r="AE68" s="12">
        <v>68.048643100000007</v>
      </c>
      <c r="AF68" s="7" t="s">
        <v>107</v>
      </c>
      <c r="AG68" s="12">
        <v>19.889675400000002</v>
      </c>
    </row>
    <row r="69" spans="1:33" s="11" customFormat="1" outlineLevel="1" x14ac:dyDescent="0.3">
      <c r="A69" s="11" t="s">
        <v>75</v>
      </c>
      <c r="B69" s="12">
        <v>1.8456245</v>
      </c>
      <c r="C69" s="12">
        <v>99.49</v>
      </c>
      <c r="D69" s="12">
        <v>0.77317840000000004</v>
      </c>
      <c r="E69" s="17">
        <v>0.25</v>
      </c>
      <c r="F69" s="13">
        <v>108.16666669999999</v>
      </c>
      <c r="G69" s="12">
        <v>11.6430875</v>
      </c>
      <c r="H69" s="12">
        <v>11.8508868</v>
      </c>
      <c r="I69" s="12">
        <v>-0.27590019999999998</v>
      </c>
      <c r="J69" s="12">
        <v>-21.8</v>
      </c>
      <c r="K69" s="12">
        <v>-18.600000000000001</v>
      </c>
      <c r="L69" s="12">
        <v>-2.6</v>
      </c>
      <c r="M69" s="21">
        <v>-19.8</v>
      </c>
      <c r="N69" s="12">
        <v>-21.1</v>
      </c>
      <c r="O69" s="12">
        <v>-18.100000000000001</v>
      </c>
      <c r="P69" s="7">
        <v>779.7</v>
      </c>
      <c r="Q69" s="7">
        <v>46.9</v>
      </c>
      <c r="R69" s="7">
        <v>5.7</v>
      </c>
      <c r="S69" s="12">
        <v>9.0510321000000005</v>
      </c>
      <c r="T69" s="12">
        <v>3.5</v>
      </c>
      <c r="U69" s="12">
        <v>90.379181299999999</v>
      </c>
      <c r="V69" s="12">
        <v>18.339661899999999</v>
      </c>
      <c r="W69" s="12">
        <v>7.3150776000000004</v>
      </c>
      <c r="X69" s="12">
        <v>-5.3289114</v>
      </c>
      <c r="Y69" s="12">
        <v>-5.6237792000000004</v>
      </c>
      <c r="Z69" s="12">
        <v>-8.3924123000000002</v>
      </c>
      <c r="AA69" s="12">
        <v>101.3589743</v>
      </c>
      <c r="AB69" s="12">
        <v>15.8853349</v>
      </c>
      <c r="AC69" s="12">
        <v>23.228100600000001</v>
      </c>
      <c r="AD69" s="12">
        <v>36.825398800000002</v>
      </c>
      <c r="AE69" s="12">
        <v>70.1123257</v>
      </c>
      <c r="AF69" s="7" t="s">
        <v>107</v>
      </c>
      <c r="AG69" s="12">
        <v>18.714101899999999</v>
      </c>
    </row>
    <row r="70" spans="1:33" s="11" customFormat="1" outlineLevel="1" x14ac:dyDescent="0.3">
      <c r="A70" s="11" t="s">
        <v>76</v>
      </c>
      <c r="B70" s="12">
        <v>1.1953549000000001</v>
      </c>
      <c r="C70" s="12">
        <v>100.22333329999999</v>
      </c>
      <c r="D70" s="12">
        <v>0.69323509999999999</v>
      </c>
      <c r="E70" s="17">
        <v>0.21666669999999999</v>
      </c>
      <c r="F70" s="13">
        <v>109.7</v>
      </c>
      <c r="G70" s="12">
        <v>13.1547874</v>
      </c>
      <c r="H70" s="12">
        <v>13.4564988</v>
      </c>
      <c r="I70" s="12">
        <v>-1.2760724999999999</v>
      </c>
      <c r="J70" s="12">
        <v>16.399999999999999</v>
      </c>
      <c r="K70" s="12">
        <v>9.6</v>
      </c>
      <c r="L70" s="12">
        <v>2.4</v>
      </c>
      <c r="M70" s="21">
        <v>52.4</v>
      </c>
      <c r="N70" s="12">
        <v>7.5</v>
      </c>
      <c r="O70" s="12">
        <v>13.2</v>
      </c>
      <c r="P70" s="7">
        <v>944.5</v>
      </c>
      <c r="Q70" s="7">
        <v>38.6</v>
      </c>
      <c r="R70" s="7">
        <v>3.9</v>
      </c>
      <c r="S70" s="12">
        <v>7.8215389000000002</v>
      </c>
      <c r="T70" s="12">
        <v>3.5</v>
      </c>
      <c r="U70" s="12">
        <v>91.193947699999995</v>
      </c>
      <c r="V70" s="12">
        <v>18.765905799999999</v>
      </c>
      <c r="W70" s="12">
        <v>7.3150775000000001</v>
      </c>
      <c r="X70" s="12">
        <v>1.9942663</v>
      </c>
      <c r="Y70" s="12">
        <v>-5.2868735999999998</v>
      </c>
      <c r="Z70" s="12">
        <v>-4.9875778999999998</v>
      </c>
      <c r="AA70" s="12">
        <v>92.455241999999998</v>
      </c>
      <c r="AB70" s="12">
        <v>15.5938585</v>
      </c>
      <c r="AC70" s="12">
        <v>28.529767700000001</v>
      </c>
      <c r="AD70" s="12">
        <v>32.774763499999999</v>
      </c>
      <c r="AE70" s="12">
        <v>64.904131599999999</v>
      </c>
      <c r="AF70" s="12">
        <v>8.4971346000000008</v>
      </c>
      <c r="AG70" s="12">
        <v>19.8047641</v>
      </c>
    </row>
    <row r="71" spans="1:33" s="11" customFormat="1" outlineLevel="1" x14ac:dyDescent="0.3">
      <c r="A71" s="11" t="s">
        <v>77</v>
      </c>
      <c r="B71" s="12">
        <v>1.5779679</v>
      </c>
      <c r="C71" s="12">
        <v>99.91</v>
      </c>
      <c r="D71" s="12">
        <v>0.48948940000000002</v>
      </c>
      <c r="E71" s="17">
        <v>0.1166667</v>
      </c>
      <c r="F71" s="13">
        <v>101.8233333</v>
      </c>
      <c r="G71" s="12">
        <v>20.8833351</v>
      </c>
      <c r="H71" s="12">
        <v>27.678532100000002</v>
      </c>
      <c r="I71" s="12">
        <v>0.95795339999999995</v>
      </c>
      <c r="J71" s="12">
        <v>32.700000000000003</v>
      </c>
      <c r="K71" s="12">
        <v>19.8</v>
      </c>
      <c r="L71" s="12">
        <v>-6.7</v>
      </c>
      <c r="M71" s="21">
        <v>31.7</v>
      </c>
      <c r="N71" s="12">
        <v>5.8</v>
      </c>
      <c r="O71" s="12">
        <v>2.4</v>
      </c>
      <c r="P71" s="7">
        <v>940.4</v>
      </c>
      <c r="Q71" s="7">
        <v>35</v>
      </c>
      <c r="R71" s="7">
        <v>3.6</v>
      </c>
      <c r="S71" s="12">
        <v>11.9453213</v>
      </c>
      <c r="T71" s="12">
        <v>3.5</v>
      </c>
      <c r="U71" s="12">
        <v>90.524388999999999</v>
      </c>
      <c r="V71" s="12">
        <v>18.6490738</v>
      </c>
      <c r="W71" s="12">
        <v>7.3150775000000001</v>
      </c>
      <c r="X71" s="12">
        <v>-7.6356172000000004</v>
      </c>
      <c r="Y71" s="12">
        <v>-2.596047</v>
      </c>
      <c r="Z71" s="12">
        <v>-3.5621052</v>
      </c>
      <c r="AA71" s="12">
        <v>85.978286400000002</v>
      </c>
      <c r="AB71" s="12">
        <v>10.4574459</v>
      </c>
      <c r="AC71" s="12">
        <v>28.337752999999999</v>
      </c>
      <c r="AD71" s="12">
        <v>25.335593100000001</v>
      </c>
      <c r="AE71" s="12">
        <v>52.036125699999999</v>
      </c>
      <c r="AF71" s="12">
        <v>21.481905099999999</v>
      </c>
      <c r="AG71" s="12">
        <v>19.868799800000001</v>
      </c>
    </row>
    <row r="72" spans="1:33" s="11" customFormat="1" outlineLevel="1" x14ac:dyDescent="0.3">
      <c r="A72" s="11" t="s">
        <v>78</v>
      </c>
      <c r="B72" s="12">
        <v>1.7505474000000001</v>
      </c>
      <c r="C72" s="12">
        <v>99.97</v>
      </c>
      <c r="D72" s="12">
        <v>0.25070199999999998</v>
      </c>
      <c r="E72" s="17">
        <v>0.05</v>
      </c>
      <c r="F72" s="13">
        <v>76.4033333</v>
      </c>
      <c r="G72" s="12">
        <v>13.6033902</v>
      </c>
      <c r="H72" s="12">
        <v>8.1348169000000006</v>
      </c>
      <c r="I72" s="12">
        <v>-5.2721489999999998</v>
      </c>
      <c r="J72" s="12">
        <v>-13.2</v>
      </c>
      <c r="K72" s="12">
        <v>-0.5</v>
      </c>
      <c r="L72" s="12">
        <v>5.6</v>
      </c>
      <c r="M72" s="21">
        <v>-30.7</v>
      </c>
      <c r="N72" s="12">
        <v>7.6</v>
      </c>
      <c r="O72" s="12">
        <v>10.6</v>
      </c>
      <c r="P72" s="7">
        <v>814.3</v>
      </c>
      <c r="Q72" s="7">
        <v>31.8</v>
      </c>
      <c r="R72" s="7">
        <v>3.8</v>
      </c>
      <c r="S72" s="12">
        <v>14.101331200000001</v>
      </c>
      <c r="T72" s="12">
        <v>6.5</v>
      </c>
      <c r="U72" s="12">
        <v>92.773616799999999</v>
      </c>
      <c r="V72" s="12">
        <v>18.767630400000002</v>
      </c>
      <c r="W72" s="12">
        <v>7.3150776000000004</v>
      </c>
      <c r="X72" s="12">
        <v>1.2513297000000001</v>
      </c>
      <c r="Y72" s="12">
        <v>3.5708188000000001</v>
      </c>
      <c r="Z72" s="12">
        <v>-8.2479876999999995</v>
      </c>
      <c r="AA72" s="12">
        <v>97.260948099999993</v>
      </c>
      <c r="AB72" s="12">
        <v>14.937732</v>
      </c>
      <c r="AC72" s="12">
        <v>23.0793626</v>
      </c>
      <c r="AD72" s="12">
        <v>33.678150199999997</v>
      </c>
      <c r="AE72" s="12">
        <v>67.579819499999999</v>
      </c>
      <c r="AF72" s="12">
        <v>21.1613851</v>
      </c>
      <c r="AG72" s="12">
        <v>21.033498300000002</v>
      </c>
    </row>
    <row r="73" spans="1:33" s="11" customFormat="1" outlineLevel="1" x14ac:dyDescent="0.3">
      <c r="A73" s="11" t="s">
        <v>79</v>
      </c>
      <c r="B73" s="12">
        <v>2.0633189000000001</v>
      </c>
      <c r="C73" s="12">
        <v>99.203333299999997</v>
      </c>
      <c r="D73" s="12">
        <v>-0.28813620000000001</v>
      </c>
      <c r="E73" s="17">
        <v>0.05</v>
      </c>
      <c r="F73" s="13">
        <v>53.9166667</v>
      </c>
      <c r="G73" s="12">
        <v>15.881978500000001</v>
      </c>
      <c r="H73" s="12">
        <v>20.926639099999999</v>
      </c>
      <c r="I73" s="12">
        <v>1.1744616000000001</v>
      </c>
      <c r="J73" s="12">
        <v>-21.7</v>
      </c>
      <c r="K73" s="12">
        <v>-23.4</v>
      </c>
      <c r="L73" s="12">
        <v>-2.7</v>
      </c>
      <c r="M73" s="21">
        <v>-32.9</v>
      </c>
      <c r="N73" s="12">
        <v>-13.7</v>
      </c>
      <c r="O73" s="12">
        <v>-22.8</v>
      </c>
      <c r="P73" s="7">
        <v>733.5</v>
      </c>
      <c r="Q73" s="7">
        <v>76.3</v>
      </c>
      <c r="R73" s="7">
        <v>9.4</v>
      </c>
      <c r="S73" s="12">
        <v>13.0530799</v>
      </c>
      <c r="T73" s="12">
        <v>13.5</v>
      </c>
      <c r="U73" s="12">
        <v>95.870236800000001</v>
      </c>
      <c r="V73" s="12">
        <v>20.366993000000001</v>
      </c>
      <c r="W73" s="12">
        <v>7.4442079000000003</v>
      </c>
      <c r="X73" s="12">
        <v>4.0778084000000003</v>
      </c>
      <c r="Y73" s="12">
        <v>-1.1493853000000001</v>
      </c>
      <c r="Z73" s="12">
        <v>-9.2274025000000002</v>
      </c>
      <c r="AA73" s="12">
        <v>94.476178099999998</v>
      </c>
      <c r="AB73" s="12">
        <v>16.084855999999998</v>
      </c>
      <c r="AC73" s="12">
        <v>19.9074019</v>
      </c>
      <c r="AD73" s="12">
        <v>37.179743700000003</v>
      </c>
      <c r="AE73" s="12">
        <v>67.051192</v>
      </c>
      <c r="AF73" s="12">
        <v>23.508277100000001</v>
      </c>
      <c r="AG73" s="12">
        <v>20.621614900000001</v>
      </c>
    </row>
    <row r="74" spans="1:33" s="11" customFormat="1" outlineLevel="1" x14ac:dyDescent="0.3">
      <c r="A74" s="11" t="s">
        <v>80</v>
      </c>
      <c r="B74" s="12">
        <v>2.2703967</v>
      </c>
      <c r="C74" s="12">
        <v>100.5233333</v>
      </c>
      <c r="D74" s="12">
        <v>0.29933149999999997</v>
      </c>
      <c r="E74" s="17">
        <v>0.05</v>
      </c>
      <c r="F74" s="13">
        <v>61.693333299999999</v>
      </c>
      <c r="G74" s="12">
        <v>7.4301861999999996</v>
      </c>
      <c r="H74" s="12">
        <v>1.7529566999999999</v>
      </c>
      <c r="I74" s="12">
        <v>-2.9566631999999999</v>
      </c>
      <c r="J74" s="12">
        <v>13.8</v>
      </c>
      <c r="K74" s="12">
        <v>9</v>
      </c>
      <c r="L74" s="12">
        <v>2.5</v>
      </c>
      <c r="M74" s="21">
        <v>61.6</v>
      </c>
      <c r="N74" s="12">
        <v>5.9</v>
      </c>
      <c r="O74" s="12">
        <v>8.1</v>
      </c>
      <c r="P74" s="7">
        <v>909.2</v>
      </c>
      <c r="Q74" s="7">
        <v>43.6</v>
      </c>
      <c r="R74" s="7">
        <v>4.5999999999999996</v>
      </c>
      <c r="S74" s="12">
        <v>12.553285300000001</v>
      </c>
      <c r="T74" s="12">
        <v>15.5</v>
      </c>
      <c r="U74" s="12">
        <v>98.469955799999994</v>
      </c>
      <c r="V74" s="12">
        <v>20.0521663</v>
      </c>
      <c r="W74" s="12">
        <v>4.0149774000000003</v>
      </c>
      <c r="X74" s="12">
        <v>6.0715363</v>
      </c>
      <c r="Y74" s="12">
        <v>-3.9629995999999998</v>
      </c>
      <c r="Z74" s="12">
        <v>-7.4879889999999998</v>
      </c>
      <c r="AA74" s="12">
        <v>87.199695599999998</v>
      </c>
      <c r="AB74" s="12">
        <v>15.2814558</v>
      </c>
      <c r="AC74" s="12">
        <v>26.993983199999999</v>
      </c>
      <c r="AD74" s="12">
        <v>33.451839300000003</v>
      </c>
      <c r="AE74" s="12">
        <v>59.957139900000001</v>
      </c>
      <c r="AF74" s="12">
        <v>17.914155399999999</v>
      </c>
      <c r="AG74" s="12">
        <v>21.536020100000002</v>
      </c>
    </row>
    <row r="75" spans="1:33" s="11" customFormat="1" outlineLevel="1" x14ac:dyDescent="0.3">
      <c r="A75" s="11" t="s">
        <v>81</v>
      </c>
      <c r="B75" s="12">
        <v>2.2457793000000001</v>
      </c>
      <c r="C75" s="12">
        <v>100.1533333</v>
      </c>
      <c r="D75" s="12">
        <v>0.24355250000000001</v>
      </c>
      <c r="E75" s="17">
        <v>0.05</v>
      </c>
      <c r="F75" s="13">
        <v>50.233333299999998</v>
      </c>
      <c r="G75" s="12">
        <v>1.42582E-2</v>
      </c>
      <c r="H75" s="12">
        <v>-4.9539071000000003</v>
      </c>
      <c r="I75" s="12">
        <v>-0.44086910000000001</v>
      </c>
      <c r="J75" s="12">
        <v>24.6</v>
      </c>
      <c r="K75" s="12">
        <v>14.7</v>
      </c>
      <c r="L75" s="12">
        <v>-7.7</v>
      </c>
      <c r="M75" s="21">
        <v>23</v>
      </c>
      <c r="N75" s="12">
        <v>2.2000000000000002</v>
      </c>
      <c r="O75" s="12">
        <v>1.9</v>
      </c>
      <c r="P75" s="7">
        <v>921.9</v>
      </c>
      <c r="Q75" s="7">
        <v>34.799999999999997</v>
      </c>
      <c r="R75" s="7">
        <v>3.6</v>
      </c>
      <c r="S75" s="12">
        <v>10.6730052</v>
      </c>
      <c r="T75" s="12">
        <v>19.5</v>
      </c>
      <c r="U75" s="12">
        <v>100.5085687</v>
      </c>
      <c r="V75" s="12">
        <v>21.384013499999998</v>
      </c>
      <c r="W75" s="12">
        <v>0.4690068</v>
      </c>
      <c r="X75" s="12">
        <v>-3.0247544</v>
      </c>
      <c r="Y75" s="12">
        <v>-10.3484143</v>
      </c>
      <c r="Z75" s="12">
        <v>-5.3519246999999996</v>
      </c>
      <c r="AA75" s="12">
        <v>81.134157999999999</v>
      </c>
      <c r="AB75" s="12">
        <v>10.2848776</v>
      </c>
      <c r="AC75" s="12">
        <v>26.679940899999998</v>
      </c>
      <c r="AD75" s="12">
        <v>26.1322993</v>
      </c>
      <c r="AE75" s="12">
        <v>49.634454499999997</v>
      </c>
      <c r="AF75" s="12">
        <v>9.2816934999999994</v>
      </c>
      <c r="AG75" s="12">
        <v>23.1368765</v>
      </c>
    </row>
    <row r="76" spans="1:33" s="11" customFormat="1" outlineLevel="1" x14ac:dyDescent="0.3">
      <c r="A76" s="11" t="s">
        <v>82</v>
      </c>
      <c r="B76" s="12">
        <v>2.5478125</v>
      </c>
      <c r="C76" s="12">
        <v>100.1233333</v>
      </c>
      <c r="D76" s="12">
        <v>0.1533793</v>
      </c>
      <c r="E76" s="17">
        <v>0.05</v>
      </c>
      <c r="F76" s="13">
        <v>43.57</v>
      </c>
      <c r="G76" s="12">
        <v>-1.0880623</v>
      </c>
      <c r="H76" s="12">
        <v>-1.1190047000000001</v>
      </c>
      <c r="I76" s="12">
        <v>-4.6538506999999996</v>
      </c>
      <c r="J76" s="12">
        <v>-13</v>
      </c>
      <c r="K76" s="12">
        <v>-0.2</v>
      </c>
      <c r="L76" s="12">
        <v>9.5</v>
      </c>
      <c r="M76" s="21">
        <v>-27.7</v>
      </c>
      <c r="N76" s="12">
        <v>7.9</v>
      </c>
      <c r="O76" s="12">
        <v>6.5</v>
      </c>
      <c r="P76" s="7">
        <v>823.5</v>
      </c>
      <c r="Q76" s="7">
        <v>40.6</v>
      </c>
      <c r="R76" s="7">
        <v>4.7</v>
      </c>
      <c r="S76" s="12">
        <v>6.4809475000000001</v>
      </c>
      <c r="T76" s="12">
        <v>19.5</v>
      </c>
      <c r="U76" s="12">
        <v>105.15123869999999</v>
      </c>
      <c r="V76" s="12">
        <v>21.8066332</v>
      </c>
      <c r="W76" s="12">
        <v>-6.1869717</v>
      </c>
      <c r="X76" s="12">
        <v>-4.4414258999999996</v>
      </c>
      <c r="Y76" s="12">
        <v>-18.004981300000001</v>
      </c>
      <c r="Z76" s="12">
        <v>-2.5214338000000001</v>
      </c>
      <c r="AA76" s="12">
        <v>89.911059899999998</v>
      </c>
      <c r="AB76" s="12">
        <v>14.3020899</v>
      </c>
      <c r="AC76" s="12">
        <v>21.5993937</v>
      </c>
      <c r="AD76" s="12">
        <v>32.624165099999999</v>
      </c>
      <c r="AE76" s="12">
        <v>55.675680499999999</v>
      </c>
      <c r="AF76" s="12">
        <v>1.6806095000000001</v>
      </c>
      <c r="AG76" s="12">
        <v>23.119771400000001</v>
      </c>
    </row>
    <row r="77" spans="1:33" s="11" customFormat="1" outlineLevel="1" x14ac:dyDescent="0.3">
      <c r="A77" s="11" t="s">
        <v>83</v>
      </c>
      <c r="B77" s="12">
        <v>1.9366078</v>
      </c>
      <c r="C77" s="12">
        <v>99.246666700000006</v>
      </c>
      <c r="D77" s="12">
        <v>4.3681400000000002E-2</v>
      </c>
      <c r="E77" s="17">
        <v>3.3333300000000003E-2</v>
      </c>
      <c r="F77" s="13">
        <v>33.696666700000002</v>
      </c>
      <c r="G77" s="12">
        <v>3.6620699999999999E-2</v>
      </c>
      <c r="H77" s="12">
        <v>-2.4454973</v>
      </c>
      <c r="I77" s="12">
        <v>0.28186080000000002</v>
      </c>
      <c r="J77" s="12">
        <v>0.56480300000000006</v>
      </c>
      <c r="K77" s="12">
        <v>0.79045370000000004</v>
      </c>
      <c r="L77" s="12">
        <v>-3.9685109000000001</v>
      </c>
      <c r="M77" s="21">
        <v>-1.309561</v>
      </c>
      <c r="N77" s="12">
        <v>-2.8708765000000001</v>
      </c>
      <c r="O77" s="12">
        <v>-8.7370900000000001E-2</v>
      </c>
      <c r="P77" s="7">
        <v>760.2</v>
      </c>
      <c r="Q77" s="7">
        <v>58.6</v>
      </c>
      <c r="R77" s="7">
        <v>7.2</v>
      </c>
      <c r="S77" s="12">
        <v>9.0460908999999994</v>
      </c>
      <c r="T77" s="12">
        <v>17</v>
      </c>
      <c r="U77" s="12">
        <v>106.41361310000001</v>
      </c>
      <c r="V77" s="12">
        <v>22.125821999999999</v>
      </c>
      <c r="W77" s="12">
        <v>0.33779900000000002</v>
      </c>
      <c r="X77" s="12">
        <v>-8.8755959999999998</v>
      </c>
      <c r="Y77" s="12">
        <v>-10.018596799999999</v>
      </c>
      <c r="Z77" s="12">
        <v>-6.0203755000000001</v>
      </c>
      <c r="AA77" s="12">
        <v>93.281826699999996</v>
      </c>
      <c r="AB77" s="12">
        <v>16.028374899999999</v>
      </c>
      <c r="AC77" s="12">
        <v>17.8421974</v>
      </c>
      <c r="AD77" s="12">
        <v>33.118912399999999</v>
      </c>
      <c r="AE77" s="12">
        <v>58.958825900000001</v>
      </c>
      <c r="AF77" s="12">
        <v>-1.2165537</v>
      </c>
      <c r="AG77" s="12">
        <v>22.146787799999998</v>
      </c>
    </row>
    <row r="78" spans="1:33" s="11" customFormat="1" outlineLevel="1" x14ac:dyDescent="0.3">
      <c r="A78" s="11" t="s">
        <v>84</v>
      </c>
      <c r="B78" s="12">
        <v>2.4666936000000002</v>
      </c>
      <c r="C78" s="12">
        <v>100.42</v>
      </c>
      <c r="D78" s="12">
        <v>-0.10279530000000001</v>
      </c>
      <c r="E78" s="17">
        <v>0</v>
      </c>
      <c r="F78" s="13">
        <v>45.523333299999997</v>
      </c>
      <c r="G78" s="12">
        <v>2.0716214000000002</v>
      </c>
      <c r="H78" s="12">
        <v>4.5805194</v>
      </c>
      <c r="I78" s="12">
        <v>-2.0725004</v>
      </c>
      <c r="J78" s="12">
        <v>2.7215525</v>
      </c>
      <c r="K78" s="12">
        <v>8.0613799999999999E-2</v>
      </c>
      <c r="L78" s="12">
        <v>1.7794858</v>
      </c>
      <c r="M78" s="21">
        <v>-1.2533481</v>
      </c>
      <c r="N78" s="12">
        <v>4.7080514999999998</v>
      </c>
      <c r="O78" s="12">
        <v>1.1160428</v>
      </c>
      <c r="P78" s="7">
        <v>895.7</v>
      </c>
      <c r="Q78" s="7">
        <v>42.1</v>
      </c>
      <c r="R78" s="7">
        <v>4.5</v>
      </c>
      <c r="S78" s="12">
        <v>8.4127813000000007</v>
      </c>
      <c r="T78" s="12">
        <v>13</v>
      </c>
      <c r="U78" s="12">
        <v>106.2495005</v>
      </c>
      <c r="V78" s="12">
        <v>22.349653100000001</v>
      </c>
      <c r="W78" s="12">
        <v>1.064252</v>
      </c>
      <c r="X78" s="12">
        <v>-3.3542876000000001</v>
      </c>
      <c r="Y78" s="12">
        <v>-4.5674026000000003</v>
      </c>
      <c r="Z78" s="12">
        <v>-4.2631141000000001</v>
      </c>
      <c r="AA78" s="12">
        <v>87.058553900000007</v>
      </c>
      <c r="AB78" s="12">
        <v>15.386668800000001</v>
      </c>
      <c r="AC78" s="12">
        <v>25.508033999999999</v>
      </c>
      <c r="AD78" s="12">
        <v>33.260039999999996</v>
      </c>
      <c r="AE78" s="12">
        <v>58.8782195</v>
      </c>
      <c r="AF78" s="12">
        <v>3.8471367999999999</v>
      </c>
      <c r="AG78" s="12">
        <v>22.636692799999999</v>
      </c>
    </row>
    <row r="79" spans="1:33" s="11" customFormat="1" outlineLevel="1" x14ac:dyDescent="0.3">
      <c r="A79" s="11" t="s">
        <v>85</v>
      </c>
      <c r="B79" s="12">
        <v>1.6225508</v>
      </c>
      <c r="C79" s="12">
        <v>100.42</v>
      </c>
      <c r="D79" s="12">
        <v>0.26625840000000001</v>
      </c>
      <c r="E79" s="17">
        <v>0</v>
      </c>
      <c r="F79" s="13">
        <v>45.786666699999998</v>
      </c>
      <c r="G79" s="12">
        <v>5.2070711000000003</v>
      </c>
      <c r="H79" s="12">
        <v>3.7264322000000001</v>
      </c>
      <c r="I79" s="12">
        <v>-0.77721229999999997</v>
      </c>
      <c r="J79" s="12">
        <v>7.5175627</v>
      </c>
      <c r="K79" s="12">
        <v>1.2645310999999999</v>
      </c>
      <c r="L79" s="12">
        <v>1.995913</v>
      </c>
      <c r="M79" s="21">
        <v>-0.47788789999999998</v>
      </c>
      <c r="N79" s="12">
        <v>15.7743871</v>
      </c>
      <c r="O79" s="12">
        <v>3.9549403999999999</v>
      </c>
      <c r="P79" s="7">
        <v>891.6</v>
      </c>
      <c r="Q79" s="7">
        <v>30.1</v>
      </c>
      <c r="R79" s="7">
        <v>3.3</v>
      </c>
      <c r="S79" s="12">
        <v>10.1069654</v>
      </c>
      <c r="T79" s="12">
        <v>9.5</v>
      </c>
      <c r="U79" s="12">
        <v>105.0639465</v>
      </c>
      <c r="V79" s="12">
        <v>22.108203499999998</v>
      </c>
      <c r="W79" s="12">
        <v>-0.85447949999999995</v>
      </c>
      <c r="X79" s="12">
        <v>15.5606062</v>
      </c>
      <c r="Y79" s="12">
        <v>3.5858002</v>
      </c>
      <c r="Z79" s="12">
        <v>-4.6087246999999998</v>
      </c>
      <c r="AA79" s="12">
        <v>79.446660600000001</v>
      </c>
      <c r="AB79" s="12">
        <v>11.0621338</v>
      </c>
      <c r="AC79" s="12">
        <v>25.0638231</v>
      </c>
      <c r="AD79" s="12">
        <v>28.872845600000002</v>
      </c>
      <c r="AE79" s="12">
        <v>49.1108841</v>
      </c>
      <c r="AF79" s="12">
        <v>1.7778654</v>
      </c>
      <c r="AG79" s="12">
        <v>23.656751700000001</v>
      </c>
    </row>
    <row r="80" spans="1:33" s="11" customFormat="1" outlineLevel="1" x14ac:dyDescent="0.3">
      <c r="A80" s="11" t="s">
        <v>86</v>
      </c>
      <c r="B80" s="12">
        <v>1.866331</v>
      </c>
      <c r="C80" s="12">
        <v>100.89333329999999</v>
      </c>
      <c r="D80" s="12">
        <v>0.7690515</v>
      </c>
      <c r="E80" s="17">
        <v>0</v>
      </c>
      <c r="F80" s="13">
        <v>49.186666700000004</v>
      </c>
      <c r="G80" s="12">
        <v>9.0293025999999994</v>
      </c>
      <c r="H80" s="12">
        <v>13.696389099999999</v>
      </c>
      <c r="I80" s="12">
        <v>-3.4325846000000002</v>
      </c>
      <c r="J80" s="12">
        <v>6.4205611999999999</v>
      </c>
      <c r="K80" s="12">
        <v>2.7892986</v>
      </c>
      <c r="L80" s="12">
        <v>2.7981346999999999</v>
      </c>
      <c r="M80" s="21">
        <v>-1.1536911999999999</v>
      </c>
      <c r="N80" s="12">
        <v>17.9428196</v>
      </c>
      <c r="O80" s="12">
        <v>5.0293324000000004</v>
      </c>
      <c r="P80" s="7">
        <v>781.3</v>
      </c>
      <c r="Q80" s="7">
        <v>35.700000000000003</v>
      </c>
      <c r="R80" s="7">
        <v>4.4000000000000004</v>
      </c>
      <c r="S80" s="12">
        <v>13.260289999999999</v>
      </c>
      <c r="T80" s="12">
        <v>9</v>
      </c>
      <c r="U80" s="12">
        <v>107.8099709</v>
      </c>
      <c r="V80" s="12">
        <v>21.644248699999999</v>
      </c>
      <c r="W80" s="12">
        <v>2.6661446999999998</v>
      </c>
      <c r="X80" s="12">
        <v>19.0031517</v>
      </c>
      <c r="Y80" s="12">
        <v>11.906590100000001</v>
      </c>
      <c r="Z80" s="12">
        <v>-0.1090141</v>
      </c>
      <c r="AA80" s="12">
        <v>90.161528200000006</v>
      </c>
      <c r="AB80" s="12">
        <v>15.8925102</v>
      </c>
      <c r="AC80" s="12">
        <v>19.568982599999998</v>
      </c>
      <c r="AD80" s="12">
        <v>36.724436300000001</v>
      </c>
      <c r="AE80" s="12">
        <v>59.342056800000002</v>
      </c>
      <c r="AF80" s="12">
        <v>6.5761817000000002</v>
      </c>
      <c r="AG80" s="12">
        <v>32.194871499999998</v>
      </c>
    </row>
    <row r="81" spans="1:33" s="11" customFormat="1" outlineLevel="1" x14ac:dyDescent="0.3">
      <c r="A81" s="11" t="s">
        <v>87</v>
      </c>
      <c r="B81" s="12">
        <v>3.0351661999999999</v>
      </c>
      <c r="C81" s="12">
        <v>101</v>
      </c>
      <c r="D81" s="12">
        <v>1.766642</v>
      </c>
      <c r="E81" s="17">
        <v>0</v>
      </c>
      <c r="F81" s="13">
        <v>53.68</v>
      </c>
      <c r="G81" s="12">
        <v>24.686549899999999</v>
      </c>
      <c r="H81" s="12">
        <v>20.8493703</v>
      </c>
      <c r="I81" s="12">
        <v>-0.773729</v>
      </c>
      <c r="J81" s="12">
        <v>3.9069387999999998</v>
      </c>
      <c r="K81" s="12">
        <v>4.3294581000000001</v>
      </c>
      <c r="L81" s="12">
        <v>1.6594359000000001</v>
      </c>
      <c r="M81" s="21">
        <v>11.0991623</v>
      </c>
      <c r="N81" s="12">
        <v>20.319368699999998</v>
      </c>
      <c r="O81" s="12">
        <v>15.627424</v>
      </c>
      <c r="P81" s="7">
        <v>734.7</v>
      </c>
      <c r="Q81" s="7">
        <v>57.3</v>
      </c>
      <c r="R81" s="7">
        <v>7.2</v>
      </c>
      <c r="S81" s="12">
        <v>11.296169900000001</v>
      </c>
      <c r="T81" s="12">
        <v>9</v>
      </c>
      <c r="U81" s="12">
        <v>110.9680257</v>
      </c>
      <c r="V81" s="12">
        <v>21.246995200000001</v>
      </c>
      <c r="W81" s="12">
        <v>1.8093186999999999</v>
      </c>
      <c r="X81" s="12">
        <v>30.063200399999999</v>
      </c>
      <c r="Y81" s="12">
        <v>23.615811000000001</v>
      </c>
      <c r="Z81" s="12">
        <v>-7.0457019000000001</v>
      </c>
      <c r="AA81" s="12">
        <v>93.586799099999993</v>
      </c>
      <c r="AB81" s="12">
        <v>17.696023700000001</v>
      </c>
      <c r="AC81" s="12">
        <v>19.336161400000002</v>
      </c>
      <c r="AD81" s="12">
        <v>38.549920200000003</v>
      </c>
      <c r="AE81" s="12">
        <v>65.226585900000003</v>
      </c>
      <c r="AF81" s="12">
        <v>9.9962658999999991</v>
      </c>
      <c r="AG81" s="12">
        <v>29.5628092</v>
      </c>
    </row>
    <row r="82" spans="1:33" s="11" customFormat="1" outlineLevel="1" x14ac:dyDescent="0.3">
      <c r="A82" s="11" t="s">
        <v>88</v>
      </c>
      <c r="B82" s="12">
        <v>2.3084487</v>
      </c>
      <c r="C82" s="12">
        <v>102.11333329999999</v>
      </c>
      <c r="D82" s="12">
        <v>1.6862509999999999</v>
      </c>
      <c r="E82" s="17">
        <v>0</v>
      </c>
      <c r="F82" s="13">
        <v>49.67</v>
      </c>
      <c r="G82" s="12">
        <v>7.3250016999999996</v>
      </c>
      <c r="H82" s="12">
        <v>16.276682000000001</v>
      </c>
      <c r="I82" s="12">
        <v>0.4144137</v>
      </c>
      <c r="J82" s="12">
        <v>2.0950820000000001</v>
      </c>
      <c r="K82" s="12">
        <v>5.7100346999999996</v>
      </c>
      <c r="L82" s="12">
        <v>1.3619113</v>
      </c>
      <c r="M82" s="21">
        <v>8.4223949000000005</v>
      </c>
      <c r="N82" s="12">
        <v>6.7852386999999998</v>
      </c>
      <c r="O82" s="12">
        <v>9.3628037000000006</v>
      </c>
      <c r="P82" s="7">
        <v>845.2</v>
      </c>
      <c r="Q82" s="7">
        <v>34.1</v>
      </c>
      <c r="R82" s="7">
        <v>3.9</v>
      </c>
      <c r="S82" s="12">
        <v>13.1708394</v>
      </c>
      <c r="T82" s="12">
        <v>8</v>
      </c>
      <c r="U82" s="12">
        <v>113.80672680000001</v>
      </c>
      <c r="V82" s="12">
        <v>20.591503700000001</v>
      </c>
      <c r="W82" s="12">
        <v>-0.52978970000000003</v>
      </c>
      <c r="X82" s="12">
        <v>10.5422274</v>
      </c>
      <c r="Y82" s="12">
        <v>18.5738764</v>
      </c>
      <c r="Z82" s="12">
        <v>-8.5001732000000008</v>
      </c>
      <c r="AA82" s="12">
        <v>89.0367356</v>
      </c>
      <c r="AB82" s="12">
        <v>16.4102432</v>
      </c>
      <c r="AC82" s="12">
        <v>26.340558999999999</v>
      </c>
      <c r="AD82" s="12">
        <v>31.443459600000001</v>
      </c>
      <c r="AE82" s="12">
        <v>59.683828300000002</v>
      </c>
      <c r="AF82" s="12">
        <v>9.4193201999999996</v>
      </c>
      <c r="AG82" s="12">
        <v>28.9888558</v>
      </c>
    </row>
    <row r="83" spans="1:33" s="11" customFormat="1" outlineLevel="1" x14ac:dyDescent="0.3">
      <c r="A83" s="11" t="s">
        <v>89</v>
      </c>
      <c r="B83" s="12">
        <v>3.0333996999999999</v>
      </c>
      <c r="C83" s="12">
        <v>102.1166667</v>
      </c>
      <c r="D83" s="12">
        <v>1.6895705000000001</v>
      </c>
      <c r="E83" s="17">
        <v>0</v>
      </c>
      <c r="F83" s="13">
        <v>52.11</v>
      </c>
      <c r="G83" s="12">
        <v>3.7763813000000002</v>
      </c>
      <c r="H83" s="12">
        <v>18.124459300000002</v>
      </c>
      <c r="I83" s="12">
        <v>2.3677644</v>
      </c>
      <c r="J83" s="12">
        <v>4.3954031000000002</v>
      </c>
      <c r="K83" s="12">
        <v>7.5545695999999998</v>
      </c>
      <c r="L83" s="12">
        <v>1.0950523999999999</v>
      </c>
      <c r="M83" s="21">
        <v>9.2934094999999992</v>
      </c>
      <c r="N83" s="12">
        <v>7.6136749000000004</v>
      </c>
      <c r="O83" s="12">
        <v>10.7684674</v>
      </c>
      <c r="P83" s="7">
        <v>846.4</v>
      </c>
      <c r="Q83" s="7">
        <v>33.9</v>
      </c>
      <c r="R83" s="7">
        <v>3.9</v>
      </c>
      <c r="S83" s="12">
        <v>11.0896504</v>
      </c>
      <c r="T83" s="12">
        <v>7.5</v>
      </c>
      <c r="U83" s="12">
        <v>112.83418090000001</v>
      </c>
      <c r="V83" s="12">
        <v>21.023484100000001</v>
      </c>
      <c r="W83" s="12">
        <v>5.9824703000000001</v>
      </c>
      <c r="X83" s="12">
        <v>13.2546655</v>
      </c>
      <c r="Y83" s="12">
        <v>16.617330500000001</v>
      </c>
      <c r="Z83" s="12">
        <v>-6.8562060999999996</v>
      </c>
      <c r="AA83" s="12">
        <v>79.809784399999998</v>
      </c>
      <c r="AB83" s="12">
        <v>10.730048500000001</v>
      </c>
      <c r="AC83" s="12">
        <v>24.485234699999999</v>
      </c>
      <c r="AD83" s="12">
        <v>27.315826300000001</v>
      </c>
      <c r="AE83" s="12">
        <v>47.849167299999998</v>
      </c>
      <c r="AF83" s="12">
        <v>17.792947699999999</v>
      </c>
      <c r="AG83" s="12">
        <v>29.332648299999999</v>
      </c>
    </row>
    <row r="84" spans="1:33" s="11" customFormat="1" outlineLevel="1" x14ac:dyDescent="0.3">
      <c r="A84" s="11" t="s">
        <v>90</v>
      </c>
      <c r="B84" s="12">
        <v>2.9900169999999999</v>
      </c>
      <c r="C84" s="12">
        <v>102.6233333</v>
      </c>
      <c r="D84" s="12">
        <v>1.7146821999999999</v>
      </c>
      <c r="E84" s="17">
        <v>0</v>
      </c>
      <c r="F84" s="13">
        <v>61.53</v>
      </c>
      <c r="G84" s="12">
        <v>15.497942699999999</v>
      </c>
      <c r="H84" s="12">
        <v>10.9265138</v>
      </c>
      <c r="I84" s="12">
        <v>-4.8049327000000002</v>
      </c>
      <c r="J84" s="12">
        <v>5.9622713000000003</v>
      </c>
      <c r="K84" s="12">
        <v>4.4409140999999996</v>
      </c>
      <c r="L84" s="12">
        <v>0.43536560000000002</v>
      </c>
      <c r="M84" s="21">
        <v>9.5012307000000007</v>
      </c>
      <c r="N84" s="12">
        <v>11.221201600000001</v>
      </c>
      <c r="O84" s="12">
        <v>7.6122119000000001</v>
      </c>
      <c r="P84" s="7">
        <v>774.3</v>
      </c>
      <c r="Q84" s="7">
        <v>30.5</v>
      </c>
      <c r="R84" s="7">
        <v>3.8</v>
      </c>
      <c r="S84" s="12">
        <v>12.436090800000001</v>
      </c>
      <c r="T84" s="12">
        <v>6.5</v>
      </c>
      <c r="U84" s="12">
        <v>115.891459</v>
      </c>
      <c r="V84" s="12">
        <v>20.460291600000001</v>
      </c>
      <c r="W84" s="12">
        <v>5.7580555000000002</v>
      </c>
      <c r="X84" s="12">
        <v>13.185729500000001</v>
      </c>
      <c r="Y84" s="12">
        <v>11.8497956</v>
      </c>
      <c r="Z84" s="12">
        <v>-1.7208147</v>
      </c>
      <c r="AA84" s="12">
        <v>88.048237499999999</v>
      </c>
      <c r="AB84" s="12">
        <v>15.7321983</v>
      </c>
      <c r="AC84" s="12">
        <v>19.094607700000001</v>
      </c>
      <c r="AD84" s="12">
        <v>34.907829</v>
      </c>
      <c r="AE84" s="12">
        <v>55.674438299999998</v>
      </c>
      <c r="AF84" s="12">
        <v>18.8346841</v>
      </c>
      <c r="AG84" s="12">
        <v>29.572126999999998</v>
      </c>
    </row>
    <row r="85" spans="1:33" s="11" customFormat="1" outlineLevel="1" x14ac:dyDescent="0.3">
      <c r="A85" s="11" t="s">
        <v>91</v>
      </c>
      <c r="B85" s="12">
        <v>2.2828298</v>
      </c>
      <c r="C85" s="12">
        <v>102.5466667</v>
      </c>
      <c r="D85" s="12">
        <v>1.5313532000000001</v>
      </c>
      <c r="E85" s="17">
        <v>0</v>
      </c>
      <c r="F85" s="13">
        <v>66.806666699999994</v>
      </c>
      <c r="G85" s="12">
        <v>-0.82614299999999996</v>
      </c>
      <c r="H85" s="12">
        <v>10.8159709</v>
      </c>
      <c r="I85" s="12">
        <v>3.0360258999999998</v>
      </c>
      <c r="J85" s="12">
        <v>2.3482533999999999</v>
      </c>
      <c r="K85" s="12">
        <v>1.7681872000000001</v>
      </c>
      <c r="L85" s="12">
        <v>-4.4293823000000003</v>
      </c>
      <c r="M85" s="21">
        <v>12.9289874</v>
      </c>
      <c r="N85" s="12">
        <v>13.280003799999999</v>
      </c>
      <c r="O85" s="12">
        <v>7.1870127000000004</v>
      </c>
      <c r="P85" s="7">
        <v>702.6</v>
      </c>
      <c r="Q85" s="7">
        <v>37.4</v>
      </c>
      <c r="R85" s="7">
        <v>5.0999999999999996</v>
      </c>
      <c r="S85" s="12">
        <v>13.175190199999999</v>
      </c>
      <c r="T85" s="12">
        <v>6.5</v>
      </c>
      <c r="U85" s="12">
        <v>116.7719625</v>
      </c>
      <c r="V85" s="12">
        <v>20.5704715</v>
      </c>
      <c r="W85" s="12">
        <v>6.3837210000000004</v>
      </c>
      <c r="X85" s="12">
        <v>7.6386349999999998</v>
      </c>
      <c r="Y85" s="12">
        <v>10.469947599999999</v>
      </c>
      <c r="Z85" s="12">
        <v>-9.4894493999999998</v>
      </c>
      <c r="AA85" s="12">
        <v>91.972780700000001</v>
      </c>
      <c r="AB85" s="12">
        <v>15.567576600000001</v>
      </c>
      <c r="AC85" s="12">
        <v>19.728945199999998</v>
      </c>
      <c r="AD85" s="12">
        <v>37.3004976</v>
      </c>
      <c r="AE85" s="12">
        <v>66.047432999999998</v>
      </c>
      <c r="AF85" s="12">
        <v>19.625901500000001</v>
      </c>
      <c r="AG85" s="12">
        <v>27.143439600000001</v>
      </c>
    </row>
    <row r="86" spans="1:33" s="11" customFormat="1" outlineLevel="1" x14ac:dyDescent="0.3">
      <c r="A86" s="11" t="s">
        <v>92</v>
      </c>
      <c r="B86" s="12">
        <v>2.5023559999999998</v>
      </c>
      <c r="C86" s="12">
        <v>104.0133333</v>
      </c>
      <c r="D86" s="12">
        <v>1.8606777000000001</v>
      </c>
      <c r="E86" s="17">
        <v>0</v>
      </c>
      <c r="F86" s="13">
        <v>74.5</v>
      </c>
      <c r="G86" s="12">
        <v>15.614946399999999</v>
      </c>
      <c r="H86" s="12">
        <v>12.280212499999999</v>
      </c>
      <c r="I86" s="12">
        <v>-0.54353720000000005</v>
      </c>
      <c r="J86" s="12">
        <v>5.0182789000000003</v>
      </c>
      <c r="K86" s="12">
        <v>2.4182005000000002</v>
      </c>
      <c r="L86" s="12">
        <v>-0.74780740000000001</v>
      </c>
      <c r="M86" s="21">
        <v>8.3863105999999998</v>
      </c>
      <c r="N86" s="12">
        <v>8.4898162999999993</v>
      </c>
      <c r="O86" s="12">
        <v>9.5514410999999999</v>
      </c>
      <c r="P86" s="7">
        <v>859.8</v>
      </c>
      <c r="Q86" s="7">
        <v>30.4</v>
      </c>
      <c r="R86" s="7">
        <v>3.4</v>
      </c>
      <c r="S86" s="12">
        <v>13.0058367</v>
      </c>
      <c r="T86" s="12">
        <v>6.5</v>
      </c>
      <c r="U86" s="12">
        <v>117.4889166</v>
      </c>
      <c r="V86" s="12">
        <v>19.885401999999999</v>
      </c>
      <c r="W86" s="12">
        <v>10.7948919</v>
      </c>
      <c r="X86" s="12">
        <v>12.510948600000001</v>
      </c>
      <c r="Y86" s="12">
        <v>12.877722500000001</v>
      </c>
      <c r="Z86" s="12">
        <v>-10.9001459</v>
      </c>
      <c r="AA86" s="12">
        <v>85.741415700000005</v>
      </c>
      <c r="AB86" s="12">
        <v>15.811424000000001</v>
      </c>
      <c r="AC86" s="12">
        <v>24.827450899999999</v>
      </c>
      <c r="AD86" s="12">
        <v>31.214265699999999</v>
      </c>
      <c r="AE86" s="12">
        <v>59.5596119</v>
      </c>
      <c r="AF86" s="12">
        <v>22.125627300000001</v>
      </c>
      <c r="AG86" s="12">
        <v>27.116358600000002</v>
      </c>
    </row>
    <row r="87" spans="1:33" s="11" customFormat="1" outlineLevel="1" x14ac:dyDescent="0.3">
      <c r="A87" s="11" t="s">
        <v>93</v>
      </c>
      <c r="B87" s="12">
        <v>1.7229988000000001</v>
      </c>
      <c r="C87" s="12">
        <v>104.3666667</v>
      </c>
      <c r="D87" s="12">
        <v>2.2033621999999999</v>
      </c>
      <c r="E87" s="17">
        <v>0</v>
      </c>
      <c r="F87" s="13">
        <v>75.223333299999993</v>
      </c>
      <c r="G87" s="12">
        <v>14.093932300000001</v>
      </c>
      <c r="H87" s="12">
        <v>9.9244660000000007</v>
      </c>
      <c r="I87" s="12">
        <v>1.5362213</v>
      </c>
      <c r="J87" s="12">
        <v>3.9075888000000001</v>
      </c>
      <c r="K87" s="12">
        <v>3.4702272000000001</v>
      </c>
      <c r="L87" s="12">
        <v>-1.0678189</v>
      </c>
      <c r="M87" s="21">
        <v>17.191212199999999</v>
      </c>
      <c r="N87" s="12">
        <v>-2.6054111</v>
      </c>
      <c r="O87" s="12">
        <v>6.6691640000000003</v>
      </c>
      <c r="P87" s="7">
        <v>879.5</v>
      </c>
      <c r="Q87" s="7">
        <v>24.2</v>
      </c>
      <c r="R87" s="7">
        <v>2.7</v>
      </c>
      <c r="S87" s="12">
        <v>12.019073499999999</v>
      </c>
      <c r="T87" s="12">
        <v>6.5</v>
      </c>
      <c r="U87" s="12">
        <v>116.05226519999999</v>
      </c>
      <c r="V87" s="12">
        <v>19.401555900000002</v>
      </c>
      <c r="W87" s="12">
        <v>1.5330634000000001</v>
      </c>
      <c r="X87" s="12">
        <v>6.1191884999999999</v>
      </c>
      <c r="Y87" s="12">
        <v>14.4249893</v>
      </c>
      <c r="Z87" s="12">
        <v>-9.9104937</v>
      </c>
      <c r="AA87" s="12">
        <v>77.622868199999999</v>
      </c>
      <c r="AB87" s="12">
        <v>10.729952000000001</v>
      </c>
      <c r="AC87" s="12">
        <v>26.116013800000001</v>
      </c>
      <c r="AD87" s="12">
        <v>24.984483000000001</v>
      </c>
      <c r="AE87" s="12">
        <v>47.120177300000002</v>
      </c>
      <c r="AF87" s="12">
        <v>25.357246199999999</v>
      </c>
      <c r="AG87" s="12">
        <v>27.450322100000001</v>
      </c>
    </row>
    <row r="88" spans="1:33" s="11" customFormat="1" outlineLevel="1" x14ac:dyDescent="0.3">
      <c r="A88" s="11" t="s">
        <v>94</v>
      </c>
      <c r="B88" s="12">
        <v>1.7730376000000001</v>
      </c>
      <c r="C88" s="12">
        <v>104.64</v>
      </c>
      <c r="D88" s="12">
        <v>1.9651152000000001</v>
      </c>
      <c r="E88" s="17">
        <v>0</v>
      </c>
      <c r="F88" s="13">
        <v>67.713333300000002</v>
      </c>
      <c r="G88" s="12">
        <v>8.5200052999999993</v>
      </c>
      <c r="H88" s="12">
        <v>2.6350628999999999</v>
      </c>
      <c r="I88" s="12">
        <v>-6.6672821999999998</v>
      </c>
      <c r="J88" s="12">
        <v>4.7556693000000001</v>
      </c>
      <c r="K88" s="12">
        <v>4.6398986000000004</v>
      </c>
      <c r="L88" s="12">
        <v>4.7010319000000003</v>
      </c>
      <c r="M88" s="21">
        <v>18.473482300000001</v>
      </c>
      <c r="N88" s="12">
        <v>-0.26536650000000001</v>
      </c>
      <c r="O88" s="12">
        <v>10.2029186</v>
      </c>
      <c r="P88" s="7">
        <v>734.5</v>
      </c>
      <c r="Q88" s="7">
        <v>26.5</v>
      </c>
      <c r="R88" s="7">
        <v>3.5</v>
      </c>
      <c r="S88" s="12">
        <v>14.2943601</v>
      </c>
      <c r="T88" s="12">
        <v>6.5</v>
      </c>
      <c r="U88" s="12">
        <v>117.07271299999999</v>
      </c>
      <c r="V88" s="12">
        <v>19.539466099999999</v>
      </c>
      <c r="W88" s="12">
        <v>-1.4835849000000001</v>
      </c>
      <c r="X88" s="12">
        <v>0.98707829999999996</v>
      </c>
      <c r="Y88" s="12">
        <v>18.268965999999999</v>
      </c>
      <c r="Z88" s="12">
        <v>-12.6160391</v>
      </c>
      <c r="AA88" s="12">
        <v>88.2234014</v>
      </c>
      <c r="AB88" s="12">
        <v>16.012906099999999</v>
      </c>
      <c r="AC88" s="12">
        <v>21.593551000000001</v>
      </c>
      <c r="AD88" s="12">
        <v>31.833579100000001</v>
      </c>
      <c r="AE88" s="12">
        <v>58.342081200000003</v>
      </c>
      <c r="AF88" s="12">
        <v>31.009884700000001</v>
      </c>
      <c r="AG88" s="12">
        <v>27.6852178</v>
      </c>
    </row>
    <row r="89" spans="1:33" s="11" customFormat="1" outlineLevel="1" x14ac:dyDescent="0.3">
      <c r="A89" s="11" t="s">
        <v>95</v>
      </c>
      <c r="B89" s="12">
        <v>1.9308453999999999</v>
      </c>
      <c r="C89" s="12">
        <v>104.17</v>
      </c>
      <c r="D89" s="12">
        <v>1.5830191</v>
      </c>
      <c r="E89" s="17">
        <v>0</v>
      </c>
      <c r="F89" s="13">
        <v>63.17</v>
      </c>
      <c r="G89" s="12">
        <v>19.236873500000002</v>
      </c>
      <c r="H89" s="12">
        <v>6.4160823000000002</v>
      </c>
      <c r="I89" s="12">
        <v>-0.8779884</v>
      </c>
      <c r="J89" s="12">
        <v>4.9572200000000004</v>
      </c>
      <c r="K89" s="12">
        <v>3.0054709000000002</v>
      </c>
      <c r="L89" s="12">
        <v>-5.9283989000000004</v>
      </c>
      <c r="M89" s="21">
        <v>11.1353457</v>
      </c>
      <c r="N89" s="12">
        <v>11.1275127</v>
      </c>
      <c r="O89" s="12">
        <v>3.5014455999999998</v>
      </c>
      <c r="P89" s="7">
        <v>829.03200000000004</v>
      </c>
      <c r="Q89" s="7">
        <v>69.593000000000004</v>
      </c>
      <c r="R89" s="7">
        <v>7.7</v>
      </c>
      <c r="S89" s="12">
        <v>17.209853599999999</v>
      </c>
      <c r="T89" s="12">
        <v>6.5</v>
      </c>
      <c r="U89" s="12">
        <v>119.6526843</v>
      </c>
      <c r="V89" s="12">
        <v>19.484181599999999</v>
      </c>
      <c r="W89" s="12">
        <v>1.5779977999999999</v>
      </c>
      <c r="X89" s="12">
        <v>15.935787100000001</v>
      </c>
      <c r="Y89" s="12">
        <v>11.830660699999999</v>
      </c>
      <c r="Z89" s="12">
        <v>-9.8290106999999995</v>
      </c>
      <c r="AA89" s="12">
        <v>89.027864399999999</v>
      </c>
      <c r="AB89" s="12">
        <v>18.2534463</v>
      </c>
      <c r="AC89" s="12">
        <v>19.0314394</v>
      </c>
      <c r="AD89" s="12">
        <v>37.719102200000002</v>
      </c>
      <c r="AE89" s="12">
        <v>63.405738399999997</v>
      </c>
      <c r="AF89" s="12">
        <v>36.549022299999997</v>
      </c>
      <c r="AG89" s="12">
        <v>25.2895623</v>
      </c>
    </row>
    <row r="90" spans="1:33" s="11" customFormat="1" outlineLevel="1" x14ac:dyDescent="0.3">
      <c r="A90" s="11" t="s">
        <v>96</v>
      </c>
      <c r="B90" s="12">
        <v>1.5959346999999999</v>
      </c>
      <c r="C90" s="12">
        <v>105.7566667</v>
      </c>
      <c r="D90" s="12">
        <v>1.6760672000000001</v>
      </c>
      <c r="E90" s="17">
        <v>0</v>
      </c>
      <c r="F90" s="13">
        <v>68.923333299999996</v>
      </c>
      <c r="G90" s="12">
        <v>15.852913600000001</v>
      </c>
      <c r="H90" s="12">
        <v>5.6893126000000001</v>
      </c>
      <c r="I90" s="12">
        <v>-3.5818004999999999</v>
      </c>
      <c r="J90" s="12">
        <v>6.0905218000000003</v>
      </c>
      <c r="K90" s="12">
        <v>1.2395986000000001</v>
      </c>
      <c r="L90" s="12">
        <v>-0.3073787</v>
      </c>
      <c r="M90" s="21">
        <v>25.443117000000001</v>
      </c>
      <c r="N90" s="12">
        <v>4.8221517</v>
      </c>
      <c r="O90" s="12">
        <v>5.2645137999999996</v>
      </c>
      <c r="P90" s="7">
        <v>901.05600000000004</v>
      </c>
      <c r="Q90" s="7">
        <v>41.978999999999999</v>
      </c>
      <c r="R90" s="7">
        <v>4.5</v>
      </c>
      <c r="S90" s="12">
        <v>14.644101900000001</v>
      </c>
      <c r="T90" s="12">
        <v>7</v>
      </c>
      <c r="U90" s="12">
        <v>122.245195</v>
      </c>
      <c r="V90" s="12">
        <v>20.1426184</v>
      </c>
      <c r="W90" s="12">
        <v>1.5605954</v>
      </c>
      <c r="X90" s="12">
        <v>8.5218171999999992</v>
      </c>
      <c r="Y90" s="12">
        <v>9.9013781000000005</v>
      </c>
      <c r="Z90" s="12">
        <v>-11.499925299999999</v>
      </c>
      <c r="AA90" s="12">
        <v>81.602489000000006</v>
      </c>
      <c r="AB90" s="12">
        <v>18.861644500000001</v>
      </c>
      <c r="AC90" s="12">
        <v>27.8583529</v>
      </c>
      <c r="AD90" s="12">
        <v>30.8195461</v>
      </c>
      <c r="AE90" s="12">
        <v>59.591695199999997</v>
      </c>
      <c r="AF90" s="12">
        <v>38.991979999999998</v>
      </c>
      <c r="AG90" s="12">
        <v>26.517112999999998</v>
      </c>
    </row>
    <row r="91" spans="1:33" s="11" customFormat="1" outlineLevel="1" x14ac:dyDescent="0.3">
      <c r="A91" s="11" t="s">
        <v>97</v>
      </c>
      <c r="B91" s="12">
        <v>2.3612953000000001</v>
      </c>
      <c r="C91" s="12">
        <v>105.74</v>
      </c>
      <c r="D91" s="12">
        <v>1.3158734999999999</v>
      </c>
      <c r="E91" s="17">
        <v>0</v>
      </c>
      <c r="F91" s="13">
        <v>61.93</v>
      </c>
      <c r="G91" s="12">
        <v>8.7321626999999999</v>
      </c>
      <c r="H91" s="12">
        <v>6.4925363000000003</v>
      </c>
      <c r="I91" s="12">
        <v>0.98486810000000002</v>
      </c>
      <c r="J91" s="12">
        <v>4.2078813999999998</v>
      </c>
      <c r="K91" s="12">
        <v>6.0872358999999996</v>
      </c>
      <c r="L91" s="12">
        <v>0.3907814</v>
      </c>
      <c r="M91" s="21">
        <v>9.5723866999999991</v>
      </c>
      <c r="N91" s="12">
        <v>11.804717200000001</v>
      </c>
      <c r="O91" s="12">
        <v>9.8454522999999998</v>
      </c>
      <c r="P91" s="7">
        <v>909.83500000000004</v>
      </c>
      <c r="Q91" s="7">
        <v>37.844000000000001</v>
      </c>
      <c r="R91" s="7">
        <v>4</v>
      </c>
      <c r="S91" s="12">
        <v>13.4879289</v>
      </c>
      <c r="T91" s="12">
        <v>7.5</v>
      </c>
      <c r="U91" s="12">
        <v>122.6913648</v>
      </c>
      <c r="V91" s="12">
        <v>19.747122099999999</v>
      </c>
      <c r="W91" s="12">
        <v>4.6533229</v>
      </c>
      <c r="X91" s="12">
        <v>13.2493216</v>
      </c>
      <c r="Y91" s="12">
        <v>10.8658749</v>
      </c>
      <c r="Z91" s="12">
        <v>-10.275104199999999</v>
      </c>
      <c r="AA91" s="12">
        <v>78.744858500000007</v>
      </c>
      <c r="AB91" s="12">
        <v>11.9354677</v>
      </c>
      <c r="AC91" s="12">
        <v>25.2314547</v>
      </c>
      <c r="AD91" s="12">
        <v>26.067688499999999</v>
      </c>
      <c r="AE91" s="12">
        <v>48.241664499999999</v>
      </c>
      <c r="AF91" s="12">
        <v>41.672409799999997</v>
      </c>
      <c r="AG91" s="12">
        <v>25.529409600000001</v>
      </c>
    </row>
    <row r="92" spans="1:33" s="11" customFormat="1" outlineLevel="1" x14ac:dyDescent="0.3">
      <c r="A92" s="11" t="s">
        <v>98</v>
      </c>
      <c r="B92" s="12">
        <v>1.3592039</v>
      </c>
      <c r="C92" s="12">
        <v>106.0066667</v>
      </c>
      <c r="D92" s="12">
        <v>1.3060653</v>
      </c>
      <c r="E92" s="17">
        <v>0</v>
      </c>
      <c r="F92" s="13">
        <v>63.41</v>
      </c>
      <c r="G92" s="12">
        <v>2.5131180999999998</v>
      </c>
      <c r="H92" s="12">
        <v>15.055928</v>
      </c>
      <c r="I92" s="12">
        <v>-2.8700839</v>
      </c>
      <c r="J92" s="12">
        <v>-0.37390269999999998</v>
      </c>
      <c r="K92" s="12">
        <v>4.0278197999999996</v>
      </c>
      <c r="L92" s="12">
        <v>6.7961067000000002</v>
      </c>
      <c r="M92" s="21">
        <v>2.1539424999999999</v>
      </c>
      <c r="N92" s="12">
        <v>5.3229680999999998</v>
      </c>
      <c r="O92" s="12">
        <v>5.8734557000000001</v>
      </c>
      <c r="P92" s="7">
        <v>849.65099999999995</v>
      </c>
      <c r="Q92" s="7">
        <v>38.078000000000003</v>
      </c>
      <c r="R92" s="7">
        <v>4.3</v>
      </c>
      <c r="S92" s="12">
        <v>11.8153846</v>
      </c>
      <c r="T92" s="12">
        <v>5.5</v>
      </c>
      <c r="U92" s="12">
        <v>125.4523293</v>
      </c>
      <c r="V92" s="12">
        <v>19.321755599999999</v>
      </c>
      <c r="W92" s="12">
        <v>0.79352069999999997</v>
      </c>
      <c r="X92" s="12">
        <v>9.7537485999999998</v>
      </c>
      <c r="Y92" s="12">
        <v>4.0990862999999997</v>
      </c>
      <c r="Z92" s="12">
        <v>-6.3301762000000004</v>
      </c>
      <c r="AA92" s="12">
        <v>92.1532543</v>
      </c>
      <c r="AB92" s="12">
        <v>13.451437500000001</v>
      </c>
      <c r="AC92" s="12">
        <v>20.463785300000001</v>
      </c>
      <c r="AD92" s="12">
        <v>32.631877099999997</v>
      </c>
      <c r="AE92" s="12">
        <v>57.966523700000003</v>
      </c>
      <c r="AF92" s="12">
        <v>40.238802300000003</v>
      </c>
      <c r="AG92" s="12">
        <v>25.7446758</v>
      </c>
    </row>
    <row r="93" spans="1:33" s="11" customFormat="1" outlineLevel="1" x14ac:dyDescent="0.3">
      <c r="A93" s="11" t="s">
        <v>99</v>
      </c>
      <c r="B93" s="12">
        <v>-2.2061226999999999</v>
      </c>
      <c r="C93" s="12">
        <v>105.74666670000001</v>
      </c>
      <c r="D93" s="12">
        <v>1.5135516</v>
      </c>
      <c r="E93" s="17">
        <v>0</v>
      </c>
      <c r="F93" s="13">
        <v>50.44</v>
      </c>
      <c r="G93" s="12">
        <v>6.3773293000000004</v>
      </c>
      <c r="H93" s="12">
        <v>6.2583072</v>
      </c>
      <c r="I93" s="12">
        <v>-0.92032590000000003</v>
      </c>
      <c r="J93" s="12">
        <v>-0.46987899999999999</v>
      </c>
      <c r="K93" s="12">
        <v>-1.6661716</v>
      </c>
      <c r="L93" s="12">
        <v>4.2663012</v>
      </c>
      <c r="M93" s="21">
        <v>23.697098499999999</v>
      </c>
      <c r="N93" s="12">
        <v>-6.4356228</v>
      </c>
      <c r="O93" s="12">
        <v>2.4317147000000001</v>
      </c>
      <c r="P93" s="7">
        <v>806.327</v>
      </c>
      <c r="Q93" s="7">
        <v>34.222000000000001</v>
      </c>
      <c r="R93" s="7">
        <v>4.0999999999999996</v>
      </c>
      <c r="S93" s="12">
        <v>10.2686697</v>
      </c>
      <c r="T93" s="12">
        <v>3.25</v>
      </c>
      <c r="U93" s="12">
        <v>127.3130677</v>
      </c>
      <c r="V93" s="12">
        <v>19.396412900000001</v>
      </c>
      <c r="W93" s="12">
        <v>0.39339780000000002</v>
      </c>
      <c r="X93" s="12">
        <v>0.44084679999999998</v>
      </c>
      <c r="Y93" s="12">
        <v>3.5763506999999999</v>
      </c>
      <c r="Z93" s="12">
        <v>-8.3091662999999993</v>
      </c>
      <c r="AA93" s="12">
        <v>86.760156899999998</v>
      </c>
      <c r="AB93" s="12">
        <v>18.064294700000001</v>
      </c>
      <c r="AC93" s="12">
        <v>22.327345099999999</v>
      </c>
      <c r="AD93" s="12">
        <v>35.572655599999997</v>
      </c>
      <c r="AE93" s="12">
        <v>61.846567700000001</v>
      </c>
      <c r="AF93" s="12">
        <v>34.851886800000003</v>
      </c>
      <c r="AG93" s="12">
        <v>27.237719200000001</v>
      </c>
    </row>
    <row r="94" spans="1:33" s="11" customFormat="1" outlineLevel="1" x14ac:dyDescent="0.3">
      <c r="A94" s="11" t="s">
        <v>100</v>
      </c>
      <c r="B94" s="12">
        <v>-13.380244299999999</v>
      </c>
      <c r="C94" s="12">
        <v>106.50333329999999</v>
      </c>
      <c r="D94" s="12">
        <v>0.70602319999999996</v>
      </c>
      <c r="E94" s="17">
        <v>0</v>
      </c>
      <c r="F94" s="13">
        <v>29.343333300000001</v>
      </c>
      <c r="G94" s="12">
        <v>4.9794999999999999E-2</v>
      </c>
      <c r="H94" s="12">
        <v>-8.5651063999999995</v>
      </c>
      <c r="I94" s="12">
        <v>-7.1214250999999997</v>
      </c>
      <c r="J94" s="12">
        <v>-15.527218</v>
      </c>
      <c r="K94" s="12">
        <v>-18.246199399999998</v>
      </c>
      <c r="L94" s="12">
        <v>-4.8967146000000001</v>
      </c>
      <c r="M94" s="21">
        <v>-16.8354505</v>
      </c>
      <c r="N94" s="12">
        <v>-23.418118100000001</v>
      </c>
      <c r="O94" s="12">
        <v>-29.8156192</v>
      </c>
      <c r="P94" s="7">
        <v>821.51499999999999</v>
      </c>
      <c r="Q94" s="7">
        <v>36.189</v>
      </c>
      <c r="R94" s="7">
        <v>4.2</v>
      </c>
      <c r="S94" s="12">
        <v>7.4822666</v>
      </c>
      <c r="T94" s="12">
        <v>3.25</v>
      </c>
      <c r="U94" s="12">
        <v>127.7803694</v>
      </c>
      <c r="V94" s="12">
        <v>19.533203400000001</v>
      </c>
      <c r="W94" s="12">
        <v>-15.1306242</v>
      </c>
      <c r="X94" s="12">
        <v>-19.694429899999999</v>
      </c>
      <c r="Y94" s="12">
        <v>-29.235320999999999</v>
      </c>
      <c r="Z94" s="12">
        <v>-0.7889079</v>
      </c>
      <c r="AA94" s="12">
        <v>81.216274200000001</v>
      </c>
      <c r="AB94" s="12">
        <v>19.6865098</v>
      </c>
      <c r="AC94" s="12">
        <v>25.763042500000001</v>
      </c>
      <c r="AD94" s="12">
        <v>27.170479499999999</v>
      </c>
      <c r="AE94" s="12">
        <v>46.278960300000001</v>
      </c>
      <c r="AF94" s="12">
        <v>23.083099799999999</v>
      </c>
      <c r="AG94" s="12">
        <v>30.166819499999999</v>
      </c>
    </row>
    <row r="95" spans="1:33" s="11" customFormat="1" outlineLevel="1" x14ac:dyDescent="0.3">
      <c r="A95" s="11" t="s">
        <v>101</v>
      </c>
      <c r="B95" s="12">
        <v>-3.6984297000000002</v>
      </c>
      <c r="C95" s="12">
        <v>106.27</v>
      </c>
      <c r="D95" s="12">
        <v>0.50122940000000005</v>
      </c>
      <c r="E95" s="17">
        <v>0</v>
      </c>
      <c r="F95" s="13">
        <v>42.963333300000002</v>
      </c>
      <c r="G95" s="12">
        <v>14.926354999999999</v>
      </c>
      <c r="H95" s="12">
        <v>-1.4263775999999999</v>
      </c>
      <c r="I95" s="12">
        <v>-3.2258862000000001</v>
      </c>
      <c r="J95" s="12">
        <v>-11.240321099999999</v>
      </c>
      <c r="K95" s="12">
        <v>-9.5091038999999995</v>
      </c>
      <c r="L95" s="12">
        <v>7.3656899999999998</v>
      </c>
      <c r="M95" s="21">
        <v>-1.7134294999999999</v>
      </c>
      <c r="N95" s="12">
        <v>-19.994969999999999</v>
      </c>
      <c r="O95" s="12">
        <v>-9.4095765999999994</v>
      </c>
      <c r="P95" s="7">
        <v>863.351</v>
      </c>
      <c r="Q95" s="7">
        <v>30.23</v>
      </c>
      <c r="R95" s="7">
        <v>3.4</v>
      </c>
      <c r="S95" s="12">
        <v>9.3337847000000007</v>
      </c>
      <c r="T95" s="12">
        <v>2.75</v>
      </c>
      <c r="U95" s="12">
        <v>126.7982549</v>
      </c>
      <c r="V95" s="12">
        <v>19.618477500000001</v>
      </c>
      <c r="W95" s="12">
        <v>-6.4645163999999999</v>
      </c>
      <c r="X95" s="12">
        <v>-22.227094099999999</v>
      </c>
      <c r="Y95" s="12">
        <v>-13.0133907</v>
      </c>
      <c r="Z95" s="12">
        <v>-10.110702099999999</v>
      </c>
      <c r="AA95" s="12">
        <v>78.299239499999999</v>
      </c>
      <c r="AB95" s="12">
        <v>13.0962435</v>
      </c>
      <c r="AC95" s="12">
        <v>25.755065699999999</v>
      </c>
      <c r="AD95" s="12">
        <v>21.919813099999999</v>
      </c>
      <c r="AE95" s="12">
        <v>45.375543899999997</v>
      </c>
      <c r="AF95" s="12">
        <v>18.3693712</v>
      </c>
      <c r="AG95" s="12">
        <v>31.354100500000001</v>
      </c>
    </row>
    <row r="96" spans="1:33" s="11" customFormat="1" outlineLevel="1" x14ac:dyDescent="0.3">
      <c r="A96" s="11" t="s">
        <v>102</v>
      </c>
      <c r="B96" s="12">
        <v>-3.2236577</v>
      </c>
      <c r="C96" s="12">
        <v>106.2833333</v>
      </c>
      <c r="D96" s="12">
        <v>0.26098979999999999</v>
      </c>
      <c r="E96" s="17">
        <v>0</v>
      </c>
      <c r="F96" s="13">
        <v>44.29</v>
      </c>
      <c r="G96" s="12">
        <v>21.307506100000001</v>
      </c>
      <c r="H96" s="12">
        <v>2.0015627</v>
      </c>
      <c r="I96" s="12">
        <v>-9.4897849000000001</v>
      </c>
      <c r="J96" s="12">
        <v>-4.2089002999999998</v>
      </c>
      <c r="K96" s="12">
        <v>-2.5196497999999998</v>
      </c>
      <c r="L96" s="12">
        <v>10.2947474</v>
      </c>
      <c r="M96" s="21">
        <v>31.3208758</v>
      </c>
      <c r="N96" s="12">
        <v>-10.7417222</v>
      </c>
      <c r="O96" s="12">
        <v>-1.4835868000000001</v>
      </c>
      <c r="P96" s="7">
        <v>845.56799999999998</v>
      </c>
      <c r="Q96" s="7">
        <v>31.802</v>
      </c>
      <c r="R96" s="7">
        <v>3.6</v>
      </c>
      <c r="S96" s="12">
        <v>13.398011</v>
      </c>
      <c r="T96" s="12">
        <v>2.65</v>
      </c>
      <c r="U96" s="12">
        <v>126.6558818</v>
      </c>
      <c r="V96" s="12">
        <v>20.417691699999999</v>
      </c>
      <c r="W96" s="12">
        <v>-2.4066290000000001</v>
      </c>
      <c r="X96" s="12">
        <v>-13.3593381</v>
      </c>
      <c r="Y96" s="12">
        <v>-9.7747959000000009</v>
      </c>
      <c r="Z96" s="12">
        <v>-9.7134795999999994</v>
      </c>
      <c r="AA96" s="12">
        <v>84.155225000000002</v>
      </c>
      <c r="AB96" s="12">
        <v>18.867031999999998</v>
      </c>
      <c r="AC96" s="12">
        <v>25.460617899999999</v>
      </c>
      <c r="AD96" s="12">
        <v>28.8388864</v>
      </c>
      <c r="AE96" s="12">
        <v>53.422506800000001</v>
      </c>
      <c r="AF96" s="12">
        <v>16.050153399999999</v>
      </c>
      <c r="AG96" s="12">
        <v>34.231482</v>
      </c>
    </row>
    <row r="97" spans="1:33" s="11" customFormat="1" outlineLevel="1" x14ac:dyDescent="0.3">
      <c r="A97" s="11" t="s">
        <v>103</v>
      </c>
      <c r="B97" s="12">
        <v>-0.1765746</v>
      </c>
      <c r="C97" s="12">
        <v>107.21</v>
      </c>
      <c r="D97" s="12">
        <v>1.3838102999999999</v>
      </c>
      <c r="E97" s="17">
        <v>0</v>
      </c>
      <c r="F97" s="13">
        <v>60.82</v>
      </c>
      <c r="G97" s="12">
        <v>12.124218000000001</v>
      </c>
      <c r="H97" s="12">
        <v>11.106083999999999</v>
      </c>
      <c r="I97" s="12">
        <v>-1.238688</v>
      </c>
      <c r="J97" s="12">
        <v>8.6821041999999995</v>
      </c>
      <c r="K97" s="12">
        <v>9.8635219000000003</v>
      </c>
      <c r="L97" s="12">
        <v>2.7501039999999999</v>
      </c>
      <c r="M97" s="21">
        <v>4.3369948000000003</v>
      </c>
      <c r="N97" s="12">
        <v>-8.7426364000000003</v>
      </c>
      <c r="O97" s="12">
        <v>7.3062269000000004</v>
      </c>
      <c r="P97" s="7">
        <v>798.05399999999997</v>
      </c>
      <c r="Q97" s="7">
        <v>35.798999999999999</v>
      </c>
      <c r="R97" s="7">
        <v>4.3</v>
      </c>
      <c r="S97" s="12">
        <v>10.934122800000001</v>
      </c>
      <c r="T97" s="12">
        <v>2.65</v>
      </c>
      <c r="U97" s="12">
        <v>128.31050769999999</v>
      </c>
      <c r="V97" s="12">
        <v>21.112480099999999</v>
      </c>
      <c r="W97" s="12">
        <v>3.2288983</v>
      </c>
      <c r="X97" s="12">
        <v>-8.0199013000000008</v>
      </c>
      <c r="Y97" s="12">
        <v>1.9918463</v>
      </c>
      <c r="Z97" s="12">
        <v>-12.465393300000001</v>
      </c>
      <c r="AA97" s="12">
        <v>86.211789100000004</v>
      </c>
      <c r="AB97" s="12">
        <v>18.972974600000001</v>
      </c>
      <c r="AC97" s="12">
        <v>22.412639500000001</v>
      </c>
      <c r="AD97" s="12">
        <v>31.801746999999999</v>
      </c>
      <c r="AE97" s="12">
        <v>61.141170099999997</v>
      </c>
      <c r="AF97" s="12">
        <v>18.175915</v>
      </c>
      <c r="AG97" s="12">
        <v>29.526769999999999</v>
      </c>
    </row>
    <row r="98" spans="1:33" s="11" customFormat="1" outlineLevel="1" x14ac:dyDescent="0.3">
      <c r="A98" s="11" t="s">
        <v>104</v>
      </c>
      <c r="B98" s="12">
        <v>14.630134099999999</v>
      </c>
      <c r="C98" s="12">
        <v>108.82</v>
      </c>
      <c r="D98" s="12">
        <v>2.1752058000000001</v>
      </c>
      <c r="E98" s="17">
        <v>0</v>
      </c>
      <c r="F98" s="13">
        <v>68.833333300000007</v>
      </c>
      <c r="G98" s="12">
        <v>23.462247900000001</v>
      </c>
      <c r="H98" s="12">
        <v>30.1711153</v>
      </c>
      <c r="I98" s="12">
        <v>-4.9991380999999997</v>
      </c>
      <c r="J98" s="12">
        <v>16.770282300000002</v>
      </c>
      <c r="K98" s="12">
        <v>31.527422000000001</v>
      </c>
      <c r="L98" s="12">
        <v>2.7836880000000002</v>
      </c>
      <c r="M98" s="21">
        <v>20.8650938</v>
      </c>
      <c r="N98" s="12">
        <v>22.815587699999998</v>
      </c>
      <c r="O98" s="12">
        <v>54.206266800000002</v>
      </c>
      <c r="P98" s="7">
        <v>842.61099999999999</v>
      </c>
      <c r="Q98" s="7">
        <v>31.433</v>
      </c>
      <c r="R98" s="7">
        <v>3.6</v>
      </c>
      <c r="S98" s="12">
        <v>15.2312396</v>
      </c>
      <c r="T98" s="12">
        <v>2.65</v>
      </c>
      <c r="U98" s="12">
        <v>131.6470511</v>
      </c>
      <c r="V98" s="12">
        <v>21.469064100000001</v>
      </c>
      <c r="W98" s="12">
        <v>27.249480500000001</v>
      </c>
      <c r="X98" s="12">
        <v>21.934849700000001</v>
      </c>
      <c r="Y98" s="12">
        <v>52.790910799999999</v>
      </c>
      <c r="Z98" s="12">
        <v>-15.737864699999999</v>
      </c>
      <c r="AA98" s="12">
        <v>79.147435999999999</v>
      </c>
      <c r="AB98" s="12">
        <v>18.907029600000001</v>
      </c>
      <c r="AC98" s="12">
        <v>26.857281100000002</v>
      </c>
      <c r="AD98" s="12">
        <v>27.5644268</v>
      </c>
      <c r="AE98" s="12">
        <v>58.695670999999997</v>
      </c>
      <c r="AF98" s="12">
        <v>30.360939399999999</v>
      </c>
      <c r="AG98" s="12">
        <v>31.470188100000001</v>
      </c>
    </row>
    <row r="99" spans="1:33" s="11" customFormat="1" outlineLevel="1" x14ac:dyDescent="0.3">
      <c r="A99" s="11" t="s">
        <v>105</v>
      </c>
      <c r="B99" s="12">
        <v>4.8925850000000004</v>
      </c>
      <c r="C99" s="12">
        <v>109.55666669999999</v>
      </c>
      <c r="D99" s="12">
        <v>3.0927511999999999</v>
      </c>
      <c r="E99" s="17">
        <v>0</v>
      </c>
      <c r="F99" s="13">
        <v>73.47</v>
      </c>
      <c r="G99" s="12">
        <v>3.8528245000000001</v>
      </c>
      <c r="H99" s="12">
        <v>22.733625700000001</v>
      </c>
      <c r="I99" s="12">
        <v>1.4257972999999999</v>
      </c>
      <c r="J99" s="12">
        <v>11.7078495</v>
      </c>
      <c r="K99" s="12">
        <v>19.574501600000001</v>
      </c>
      <c r="L99" s="12">
        <v>4.4206548999999997</v>
      </c>
      <c r="M99" s="21">
        <v>-7.5657705000000002</v>
      </c>
      <c r="N99" s="12">
        <v>36.041876700000003</v>
      </c>
      <c r="O99" s="12">
        <v>18.264194700000001</v>
      </c>
      <c r="P99" s="7">
        <v>885.71500000000003</v>
      </c>
      <c r="Q99" s="7">
        <v>22.582000000000001</v>
      </c>
      <c r="R99" s="7">
        <v>2.5</v>
      </c>
      <c r="S99" s="12">
        <v>13.640810999999999</v>
      </c>
      <c r="T99" s="12">
        <v>4.6500000000000004</v>
      </c>
      <c r="U99" s="12">
        <v>133.038535</v>
      </c>
      <c r="V99" s="12">
        <v>20.9947281</v>
      </c>
      <c r="W99" s="12">
        <v>12.6058617</v>
      </c>
      <c r="X99" s="12">
        <v>45.381327599999999</v>
      </c>
      <c r="Y99" s="12">
        <v>29.035793399999999</v>
      </c>
      <c r="Z99" s="12">
        <v>-11.46449</v>
      </c>
      <c r="AA99" s="12">
        <v>82.2239924</v>
      </c>
      <c r="AB99" s="12">
        <v>12.384583299999999</v>
      </c>
      <c r="AC99" s="12">
        <v>23.7378322</v>
      </c>
      <c r="AD99" s="12">
        <v>28.199481599999999</v>
      </c>
      <c r="AE99" s="12">
        <v>51.694439199999998</v>
      </c>
      <c r="AF99" s="12">
        <v>36.738052000000003</v>
      </c>
      <c r="AG99" s="12">
        <v>30.230590899999999</v>
      </c>
    </row>
    <row r="100" spans="1:33" s="11" customFormat="1" outlineLevel="1" x14ac:dyDescent="0.3">
      <c r="A100" s="11" t="s">
        <v>106</v>
      </c>
      <c r="B100" s="12">
        <v>5.3916862999999999</v>
      </c>
      <c r="C100" s="12">
        <v>111.5333333</v>
      </c>
      <c r="D100" s="12">
        <v>4.9396268000000001</v>
      </c>
      <c r="E100" s="17">
        <v>0</v>
      </c>
      <c r="F100" s="13">
        <v>79.586666699999995</v>
      </c>
      <c r="G100" s="12">
        <v>9.4155774000000001</v>
      </c>
      <c r="H100" s="12">
        <v>29.317723900000001</v>
      </c>
      <c r="I100" s="12">
        <v>-3.2838215000000002</v>
      </c>
      <c r="J100" s="12">
        <v>18.275672499999999</v>
      </c>
      <c r="K100" s="12">
        <v>11.1428186</v>
      </c>
      <c r="L100" s="12">
        <v>2.0604642000000002</v>
      </c>
      <c r="M100" s="21">
        <v>-4.4998494999999998</v>
      </c>
      <c r="N100" s="12">
        <v>23.762303500000002</v>
      </c>
      <c r="O100" s="12">
        <v>14.8523719</v>
      </c>
      <c r="P100" s="7">
        <v>847.40099999999995</v>
      </c>
      <c r="Q100" s="7">
        <v>22.881</v>
      </c>
      <c r="R100" s="7">
        <v>2.6</v>
      </c>
      <c r="S100" s="12">
        <v>10.245036600000001</v>
      </c>
      <c r="T100" s="12">
        <v>6.5</v>
      </c>
      <c r="U100" s="12">
        <v>141.51847179999999</v>
      </c>
      <c r="V100" s="12">
        <v>20.1328274</v>
      </c>
      <c r="W100" s="12">
        <v>9.6056510999999993</v>
      </c>
      <c r="X100" s="12">
        <v>47.865135500000001</v>
      </c>
      <c r="Y100" s="12">
        <v>39.780996100000003</v>
      </c>
      <c r="Z100" s="12">
        <v>-10.5674002</v>
      </c>
      <c r="AA100" s="12">
        <v>86.801889099999997</v>
      </c>
      <c r="AB100" s="12">
        <v>17.936070399999998</v>
      </c>
      <c r="AC100" s="12">
        <v>23.2992703</v>
      </c>
      <c r="AD100" s="12">
        <v>35.023318400000001</v>
      </c>
      <c r="AE100" s="12">
        <v>61.120426199999997</v>
      </c>
      <c r="AF100" s="12">
        <v>40.597300500000003</v>
      </c>
      <c r="AG100" s="12">
        <v>32.5566946</v>
      </c>
    </row>
    <row r="101" spans="1:33" s="11" customFormat="1" outlineLevel="1" x14ac:dyDescent="0.3">
      <c r="A101" s="11" t="s">
        <v>108</v>
      </c>
      <c r="B101" s="12">
        <v>5.7284746999999996</v>
      </c>
      <c r="C101" s="12">
        <v>114.2266667</v>
      </c>
      <c r="D101" s="12">
        <v>6.5447875</v>
      </c>
      <c r="E101" s="17">
        <v>0</v>
      </c>
      <c r="F101" s="12">
        <v>100.2966667</v>
      </c>
      <c r="G101" s="12">
        <v>23.0534386</v>
      </c>
      <c r="H101" s="12">
        <v>20.223608899999999</v>
      </c>
      <c r="I101" s="12">
        <v>-2.1818805999999999</v>
      </c>
      <c r="J101" s="12">
        <v>1.1698743</v>
      </c>
      <c r="K101" s="12">
        <v>-1.8278764000000001</v>
      </c>
      <c r="L101" s="12">
        <v>13.0640082</v>
      </c>
      <c r="M101" s="21">
        <v>-3.2211417</v>
      </c>
      <c r="N101" s="12">
        <v>37.8862229</v>
      </c>
      <c r="O101" s="12">
        <v>12.1067438</v>
      </c>
      <c r="P101" s="7">
        <v>828.47</v>
      </c>
      <c r="Q101" s="7">
        <v>25.687999999999999</v>
      </c>
      <c r="R101" s="7">
        <v>3</v>
      </c>
      <c r="S101" s="12">
        <v>12.897055</v>
      </c>
      <c r="T101" s="12">
        <v>12.5</v>
      </c>
      <c r="U101" s="12">
        <v>152.81250449999999</v>
      </c>
      <c r="V101" s="12">
        <v>20.3093523</v>
      </c>
      <c r="W101" s="12">
        <v>3.8488891999999999</v>
      </c>
      <c r="X101" s="12">
        <v>67.333758799999998</v>
      </c>
      <c r="Y101" s="12">
        <v>39.186354600000001</v>
      </c>
      <c r="Z101" s="12">
        <v>-18.5180279</v>
      </c>
      <c r="AA101" s="12">
        <v>83.3794951</v>
      </c>
      <c r="AB101" s="12">
        <v>21.146986999999999</v>
      </c>
      <c r="AC101" s="12">
        <v>21.501002799999998</v>
      </c>
      <c r="AD101" s="12">
        <v>44.5127259</v>
      </c>
      <c r="AE101" s="12">
        <v>71.050132399999995</v>
      </c>
      <c r="AF101" s="12">
        <v>37.9495225</v>
      </c>
      <c r="AG101" s="12">
        <v>29.112515299999998</v>
      </c>
    </row>
    <row r="102" spans="1:33" s="11" customFormat="1" outlineLevel="1" x14ac:dyDescent="0.3">
      <c r="A102" s="11" t="s">
        <v>109</v>
      </c>
      <c r="B102" s="12">
        <v>4.2015890999999996</v>
      </c>
      <c r="C102" s="12">
        <v>118.4333333</v>
      </c>
      <c r="D102" s="12">
        <v>8.8341604</v>
      </c>
      <c r="E102" s="17">
        <v>0</v>
      </c>
      <c r="F102" s="12">
        <v>113.5433333</v>
      </c>
      <c r="G102" s="12">
        <v>13.105214500000001</v>
      </c>
      <c r="H102" s="12">
        <v>18.607036099999998</v>
      </c>
      <c r="I102" s="12">
        <v>-3.4161665999999999</v>
      </c>
      <c r="J102" s="12">
        <v>-0.1803825</v>
      </c>
      <c r="K102" s="12">
        <v>-4.3652819999999997</v>
      </c>
      <c r="L102" s="12">
        <v>0.73356469999999996</v>
      </c>
      <c r="M102" s="21">
        <v>-10.9890686</v>
      </c>
      <c r="N102" s="12">
        <v>57.792630799999998</v>
      </c>
      <c r="O102" s="12">
        <v>20.259951900000001</v>
      </c>
      <c r="P102" s="7">
        <v>878.86500000000001</v>
      </c>
      <c r="Q102" s="7">
        <v>21.561</v>
      </c>
      <c r="R102" s="7">
        <v>2.4</v>
      </c>
      <c r="S102" s="12">
        <v>14.7238653</v>
      </c>
      <c r="T102" s="12">
        <v>18.5</v>
      </c>
      <c r="U102" s="12">
        <v>170.2495237</v>
      </c>
      <c r="V102" s="12">
        <v>20.0922734</v>
      </c>
      <c r="W102" s="12">
        <v>-2.4303216999999999</v>
      </c>
      <c r="X102" s="12">
        <v>107.1032283</v>
      </c>
      <c r="Y102" s="12">
        <v>50.452697800000003</v>
      </c>
      <c r="Z102" s="12">
        <v>-13.4877954</v>
      </c>
      <c r="AA102" s="12">
        <v>80.689257999999995</v>
      </c>
      <c r="AB102" s="12">
        <v>18.7464409</v>
      </c>
      <c r="AC102" s="12">
        <v>23.714431999999999</v>
      </c>
      <c r="AD102" s="12">
        <v>46.920718899999997</v>
      </c>
      <c r="AE102" s="12">
        <v>72.461414500000004</v>
      </c>
      <c r="AF102" s="12">
        <v>26.6574366</v>
      </c>
      <c r="AG102" s="12">
        <v>29.184978600000001</v>
      </c>
    </row>
    <row r="103" spans="1:33" s="11" customFormat="1" outlineLevel="1" x14ac:dyDescent="0.3">
      <c r="A103" s="11" t="s">
        <v>110</v>
      </c>
      <c r="B103" s="12">
        <v>2.5907767000000002</v>
      </c>
      <c r="C103" s="12">
        <v>120.83</v>
      </c>
      <c r="D103" s="12">
        <v>10.289956500000001</v>
      </c>
      <c r="E103" s="17">
        <v>0.75</v>
      </c>
      <c r="F103" s="12">
        <v>100.7133333</v>
      </c>
      <c r="G103" s="12">
        <v>23.212297599999999</v>
      </c>
      <c r="H103" s="12">
        <v>24.6647687</v>
      </c>
      <c r="I103" s="12">
        <v>1.9142664</v>
      </c>
      <c r="J103" s="12">
        <v>-9.5161981000000004</v>
      </c>
      <c r="K103" s="12">
        <v>-8.0988521999999996</v>
      </c>
      <c r="L103" s="12">
        <v>-0.79024269999999996</v>
      </c>
      <c r="M103" s="21">
        <v>-4.0974636999999996</v>
      </c>
      <c r="N103" s="12">
        <v>13.781961900000001</v>
      </c>
      <c r="O103" s="12">
        <v>21.151038700000001</v>
      </c>
      <c r="P103" s="7">
        <v>879.54399999999998</v>
      </c>
      <c r="Q103" s="7">
        <v>22.271000000000001</v>
      </c>
      <c r="R103" s="7">
        <v>2.5</v>
      </c>
      <c r="S103" s="12">
        <v>16.0467321</v>
      </c>
      <c r="T103" s="12">
        <v>21.5</v>
      </c>
      <c r="U103" s="12">
        <v>178.20089350000001</v>
      </c>
      <c r="V103" s="12">
        <v>19.495528199999999</v>
      </c>
      <c r="W103" s="12">
        <v>-8.1903077</v>
      </c>
      <c r="X103" s="12">
        <v>52.547686400000003</v>
      </c>
      <c r="Y103" s="12">
        <v>52.231521999999998</v>
      </c>
      <c r="Z103" s="12">
        <v>-15.416808700000001</v>
      </c>
      <c r="AA103" s="12">
        <v>85.581029799999996</v>
      </c>
      <c r="AB103" s="12">
        <v>12.3438613</v>
      </c>
      <c r="AC103" s="12">
        <v>22.698123800000001</v>
      </c>
      <c r="AD103" s="12">
        <v>35.585988800000003</v>
      </c>
      <c r="AE103" s="12">
        <v>65.148328800000002</v>
      </c>
      <c r="AF103" s="12">
        <v>11.8135958</v>
      </c>
      <c r="AG103" s="12">
        <v>31.587976399999999</v>
      </c>
    </row>
    <row r="104" spans="1:33" s="11" customFormat="1" outlineLevel="1" x14ac:dyDescent="0.3">
      <c r="A104" s="11" t="s">
        <v>111</v>
      </c>
      <c r="B104" s="12">
        <v>1.4006327999999999</v>
      </c>
      <c r="C104" s="12">
        <v>123.8</v>
      </c>
      <c r="D104" s="12">
        <v>10.9982068</v>
      </c>
      <c r="E104" s="17">
        <v>1.9166666999999999</v>
      </c>
      <c r="F104" s="12">
        <v>88.556666699999994</v>
      </c>
      <c r="G104" s="12">
        <v>29.026677100000001</v>
      </c>
      <c r="H104" s="12">
        <v>11.3353251</v>
      </c>
      <c r="I104" s="12">
        <v>-9.2662859999999991</v>
      </c>
      <c r="J104" s="12">
        <v>-8.7375670000000003</v>
      </c>
      <c r="K104" s="12">
        <v>-9.5473909999999993</v>
      </c>
      <c r="L104" s="12">
        <v>1.4149434000000001</v>
      </c>
      <c r="M104" s="21">
        <v>-8.3213065999999998</v>
      </c>
      <c r="N104" s="12">
        <v>8.3885913999999993</v>
      </c>
      <c r="O104" s="12">
        <v>10.394312299999999</v>
      </c>
      <c r="P104" s="7">
        <v>862.447</v>
      </c>
      <c r="Q104" s="7">
        <v>41.225999999999999</v>
      </c>
      <c r="R104" s="7">
        <v>4.5999999999999996</v>
      </c>
      <c r="S104" s="12">
        <v>18.136492100000002</v>
      </c>
      <c r="T104" s="12">
        <v>20</v>
      </c>
      <c r="U104" s="12">
        <v>186.87950499999999</v>
      </c>
      <c r="V104" s="12">
        <v>19.7052011</v>
      </c>
      <c r="W104" s="12">
        <v>-11.363241199999999</v>
      </c>
      <c r="X104" s="12">
        <v>31.059353000000002</v>
      </c>
      <c r="Y104" s="12">
        <v>42.033349800000003</v>
      </c>
      <c r="Z104" s="12">
        <v>-21.181432999999998</v>
      </c>
      <c r="AA104" s="12">
        <v>88.783553999999995</v>
      </c>
      <c r="AB104" s="12">
        <v>19.311893000000001</v>
      </c>
      <c r="AC104" s="12">
        <v>22.105603500000001</v>
      </c>
      <c r="AD104" s="12">
        <v>39.853461500000002</v>
      </c>
      <c r="AE104" s="12">
        <v>70.343922199999994</v>
      </c>
      <c r="AF104" s="12">
        <v>1.7551772000000001</v>
      </c>
      <c r="AG104" s="12">
        <v>35.024972099999999</v>
      </c>
    </row>
    <row r="105" spans="1:33" s="11" customFormat="1" outlineLevel="1" x14ac:dyDescent="0.3">
      <c r="A105" s="11" t="s">
        <v>112</v>
      </c>
      <c r="B105" s="12">
        <v>1.3448477999999999</v>
      </c>
      <c r="C105" s="12">
        <v>124.9666667</v>
      </c>
      <c r="D105" s="12">
        <v>9.4023579000000002</v>
      </c>
      <c r="E105" s="17">
        <v>3</v>
      </c>
      <c r="F105" s="12">
        <v>81.173333299999996</v>
      </c>
      <c r="G105" s="12">
        <v>21.8865123</v>
      </c>
      <c r="H105" s="12">
        <v>19.387922799999998</v>
      </c>
      <c r="I105" s="12">
        <v>-3.0956556000000002</v>
      </c>
      <c r="J105" s="12">
        <v>-2.3581490000000001</v>
      </c>
      <c r="K105" s="12">
        <v>-2.6084795000000001</v>
      </c>
      <c r="L105" s="12">
        <v>0.36387950000000002</v>
      </c>
      <c r="M105" s="21">
        <v>-0.44265300000000002</v>
      </c>
      <c r="N105" s="12">
        <v>7.5094069000000001</v>
      </c>
      <c r="O105" s="12">
        <v>6.5831856000000002</v>
      </c>
      <c r="P105" s="7">
        <v>865.346</v>
      </c>
      <c r="Q105" s="7">
        <v>50.802999999999997</v>
      </c>
      <c r="R105" s="7">
        <v>5.5</v>
      </c>
      <c r="S105" s="12">
        <v>20.138482100000001</v>
      </c>
      <c r="T105" s="12">
        <v>14</v>
      </c>
      <c r="U105" s="12">
        <v>191.01961170000001</v>
      </c>
      <c r="V105" s="12">
        <v>20.218257300000001</v>
      </c>
      <c r="W105" s="12">
        <v>-5.0493041999999999</v>
      </c>
      <c r="X105" s="12">
        <v>15.9701038</v>
      </c>
      <c r="Y105" s="12">
        <v>19.117751500000001</v>
      </c>
      <c r="Z105" s="12">
        <v>-14.949987</v>
      </c>
      <c r="AA105" s="12">
        <v>85.439753800000005</v>
      </c>
      <c r="AB105" s="12">
        <v>22.140919700000001</v>
      </c>
      <c r="AC105" s="12">
        <v>20.756955000000001</v>
      </c>
      <c r="AD105" s="12">
        <v>44.409196000000001</v>
      </c>
      <c r="AE105" s="12">
        <v>73.767376400000003</v>
      </c>
      <c r="AF105" s="12">
        <v>-3.1882663</v>
      </c>
      <c r="AG105" s="19">
        <v>31.174434900000001</v>
      </c>
    </row>
    <row r="106" spans="1:33" s="11" customFormat="1" outlineLevel="1" x14ac:dyDescent="0.3">
      <c r="A106" s="11" t="s">
        <v>113</v>
      </c>
      <c r="B106" s="12">
        <v>0.20197219999999999</v>
      </c>
      <c r="C106" s="12">
        <v>126.9766667</v>
      </c>
      <c r="D106" s="12">
        <v>7.2136222999999999</v>
      </c>
      <c r="E106" s="17">
        <v>3.75</v>
      </c>
      <c r="F106" s="12">
        <v>78.316666699999999</v>
      </c>
      <c r="G106" s="12">
        <v>18.610579999999999</v>
      </c>
      <c r="H106" s="12">
        <v>6.7876859999999999</v>
      </c>
      <c r="I106" s="12">
        <v>-7.3917453000000002</v>
      </c>
      <c r="J106" s="12">
        <v>-2.2438809000000002</v>
      </c>
      <c r="K106" s="12">
        <v>-7.6512247999999996</v>
      </c>
      <c r="L106" s="12">
        <v>-1.5725529</v>
      </c>
      <c r="M106" s="21">
        <v>-5.8585858999999996</v>
      </c>
      <c r="N106" s="12">
        <v>-5.7745059999999997</v>
      </c>
      <c r="O106" s="12">
        <v>-11.463541299999999</v>
      </c>
      <c r="P106" s="7">
        <v>899.56799999999998</v>
      </c>
      <c r="Q106" s="7">
        <v>35.549999999999997</v>
      </c>
      <c r="R106" s="7">
        <v>3.8</v>
      </c>
      <c r="S106" s="12">
        <v>17.344499899999999</v>
      </c>
      <c r="T106" s="12">
        <v>6</v>
      </c>
      <c r="U106" s="12">
        <v>197.14990969999999</v>
      </c>
      <c r="V106" s="12">
        <v>19.556554200000001</v>
      </c>
      <c r="W106" s="12">
        <v>-10.6137216</v>
      </c>
      <c r="X106" s="12">
        <v>-16.4134557</v>
      </c>
      <c r="Y106" s="12">
        <v>-11.814587700000001</v>
      </c>
      <c r="Z106" s="12">
        <v>-10.627571</v>
      </c>
      <c r="AA106" s="12">
        <v>82.027714099999997</v>
      </c>
      <c r="AB106" s="12">
        <v>19.225089700000002</v>
      </c>
      <c r="AC106" s="12">
        <v>20.178238799999999</v>
      </c>
      <c r="AD106" s="12">
        <v>35.536239000000002</v>
      </c>
      <c r="AE106" s="12">
        <v>57.444191400000001</v>
      </c>
      <c r="AF106" s="12">
        <v>-3.7434845999999999</v>
      </c>
      <c r="AG106" s="19">
        <v>32.241419899999997</v>
      </c>
    </row>
    <row r="107" spans="1:33" s="11" customFormat="1" outlineLevel="1" x14ac:dyDescent="0.3">
      <c r="A107" s="11" t="s">
        <v>114</v>
      </c>
      <c r="B107" s="12">
        <v>-0.19771859999999999</v>
      </c>
      <c r="C107" s="12">
        <v>127.6866667</v>
      </c>
      <c r="D107" s="12">
        <v>5.6746392999999999</v>
      </c>
      <c r="E107" s="17">
        <v>4.25</v>
      </c>
      <c r="F107" s="12">
        <v>86.66</v>
      </c>
      <c r="G107" s="12">
        <v>24.751173099999999</v>
      </c>
      <c r="H107" s="12">
        <v>12.342657900000001</v>
      </c>
      <c r="I107" s="12">
        <v>-1.3387606999999999</v>
      </c>
      <c r="J107" s="12">
        <v>2.6250406000000002</v>
      </c>
      <c r="K107" s="12">
        <v>-1.0957391000000001</v>
      </c>
      <c r="L107" s="12">
        <v>-2.1340487000000001</v>
      </c>
      <c r="M107" s="21">
        <v>-4.2733847999999997</v>
      </c>
      <c r="N107" s="12">
        <v>6.3687768</v>
      </c>
      <c r="O107" s="12">
        <v>-9.8194253000000007</v>
      </c>
      <c r="P107" s="7">
        <v>907.94500000000005</v>
      </c>
      <c r="Q107" s="7">
        <v>39.188000000000002</v>
      </c>
      <c r="R107" s="7">
        <v>4.0999999999999996</v>
      </c>
      <c r="S107" s="12">
        <v>16.050750799999999</v>
      </c>
      <c r="T107" s="12">
        <v>6</v>
      </c>
      <c r="U107" s="12">
        <v>195.44613699999999</v>
      </c>
      <c r="V107" s="12">
        <v>19.522236899999999</v>
      </c>
      <c r="W107" s="12">
        <v>-0.69108000000000003</v>
      </c>
      <c r="X107" s="12">
        <v>-6.7393327999999997</v>
      </c>
      <c r="Y107" s="12">
        <v>-10.173614300000001</v>
      </c>
      <c r="Z107" s="12">
        <v>-13.348626599999999</v>
      </c>
      <c r="AA107" s="12">
        <v>90.659412500000002</v>
      </c>
      <c r="AB107" s="12">
        <v>13.7937577</v>
      </c>
      <c r="AC107" s="12">
        <v>20.025475</v>
      </c>
      <c r="AD107" s="12">
        <v>32.549802499999998</v>
      </c>
      <c r="AE107" s="12">
        <v>57.3632907</v>
      </c>
      <c r="AF107" s="12">
        <v>2.5679649000000002</v>
      </c>
      <c r="AG107" s="19">
        <v>31.843298300000001</v>
      </c>
    </row>
    <row r="108" spans="1:33" s="11" customFormat="1" outlineLevel="1" x14ac:dyDescent="0.3">
      <c r="A108" s="11" t="s">
        <v>115</v>
      </c>
      <c r="B108" s="7" t="s">
        <v>107</v>
      </c>
      <c r="C108" s="12">
        <v>127.9933333</v>
      </c>
      <c r="D108" s="12">
        <v>3.3871836000000002</v>
      </c>
      <c r="E108" s="17">
        <v>4.5</v>
      </c>
      <c r="F108" s="12">
        <v>83.723333299999993</v>
      </c>
      <c r="G108" s="12">
        <v>8.7187470999999999</v>
      </c>
      <c r="H108" s="12">
        <v>9.5921254999999999</v>
      </c>
      <c r="I108" s="7" t="s">
        <v>107</v>
      </c>
      <c r="J108" s="7" t="s">
        <v>107</v>
      </c>
      <c r="K108" s="7" t="s">
        <v>107</v>
      </c>
      <c r="L108" s="7" t="s">
        <v>107</v>
      </c>
      <c r="M108" s="20" t="s">
        <v>107</v>
      </c>
      <c r="N108" s="7" t="s">
        <v>107</v>
      </c>
      <c r="O108" s="7" t="s">
        <v>107</v>
      </c>
      <c r="P108" s="7" t="s">
        <v>107</v>
      </c>
      <c r="Q108" s="7" t="s">
        <v>107</v>
      </c>
      <c r="R108" s="7" t="s">
        <v>107</v>
      </c>
      <c r="S108" s="7" t="s">
        <v>107</v>
      </c>
      <c r="T108" s="12">
        <v>4.75</v>
      </c>
      <c r="U108" s="12">
        <v>196.84090119999999</v>
      </c>
      <c r="V108" s="12">
        <v>19.285036000000002</v>
      </c>
      <c r="W108" s="7" t="s">
        <v>107</v>
      </c>
      <c r="X108" s="7" t="s">
        <v>107</v>
      </c>
      <c r="Y108" s="7" t="s">
        <v>107</v>
      </c>
      <c r="Z108" s="7" t="s">
        <v>107</v>
      </c>
      <c r="AA108" s="7" t="s">
        <v>107</v>
      </c>
      <c r="AB108" s="7" t="s">
        <v>107</v>
      </c>
      <c r="AC108" s="7" t="s">
        <v>107</v>
      </c>
      <c r="AD108" s="7" t="s">
        <v>107</v>
      </c>
      <c r="AE108" s="7" t="s">
        <v>107</v>
      </c>
      <c r="AF108" s="12">
        <v>8.8182065999999999</v>
      </c>
      <c r="AG108" s="7" t="s">
        <v>107</v>
      </c>
    </row>
  </sheetData>
  <pageMargins left="0.7" right="0.7" top="0.75" bottom="0.75" header="0.3" footer="0.3"/>
  <pageSetup paperSize="9" orientation="portrait" horizontalDpi="90" verticalDpi="90"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AA2E0-19AF-4831-BC69-3B835EBA5280}">
  <sheetPr codeName="Tabelle31">
    <tabColor rgb="FFFFFF00"/>
  </sheetPr>
  <dimension ref="A1:AG108"/>
  <sheetViews>
    <sheetView workbookViewId="0">
      <pane xSplit="1" ySplit="12" topLeftCell="W108" activePane="bottomRight" state="frozen"/>
      <selection activeCell="E12" sqref="E12"/>
      <selection pane="topRight" activeCell="E12" sqref="E12"/>
      <selection pane="bottomLeft" activeCell="E12" sqref="E12"/>
      <selection pane="bottomRight" activeCell="AG1" sqref="AG1"/>
    </sheetView>
  </sheetViews>
  <sheetFormatPr defaultColWidth="9.109375" defaultRowHeight="14.4" outlineLevelRow="1" x14ac:dyDescent="0.3"/>
  <cols>
    <col min="2" max="2" width="11.5546875" bestFit="1" customWidth="1"/>
    <col min="4" max="4" width="12.44140625" customWidth="1"/>
    <col min="7" max="7" width="12.44140625" bestFit="1" customWidth="1"/>
    <col min="18" max="18" width="11.109375" bestFit="1" customWidth="1"/>
    <col min="19" max="19" width="12.44140625" bestFit="1" customWidth="1"/>
    <col min="24" max="24" width="12.5546875" bestFit="1" customWidth="1"/>
    <col min="25" max="25" width="12.6640625" bestFit="1" customWidth="1"/>
    <col min="27" max="27" width="13.6640625" customWidth="1"/>
  </cols>
  <sheetData>
    <row r="1" spans="1:33" s="8" customFormat="1" x14ac:dyDescent="0.3">
      <c r="A1" s="8" t="s">
        <v>0</v>
      </c>
      <c r="B1" s="8" t="s">
        <v>1</v>
      </c>
      <c r="C1" s="8" t="s">
        <v>2</v>
      </c>
      <c r="D1" s="8" t="s">
        <v>3</v>
      </c>
      <c r="E1" s="14" t="s">
        <v>4</v>
      </c>
      <c r="F1" s="8" t="s">
        <v>5</v>
      </c>
      <c r="G1" s="8" t="s">
        <v>6</v>
      </c>
      <c r="H1" s="8" t="s">
        <v>254</v>
      </c>
      <c r="I1" s="8" t="s">
        <v>7</v>
      </c>
      <c r="J1" s="8" t="s">
        <v>230</v>
      </c>
      <c r="K1" s="8" t="s">
        <v>231</v>
      </c>
      <c r="L1" s="8" t="s">
        <v>232</v>
      </c>
      <c r="M1" s="8" t="s">
        <v>233</v>
      </c>
      <c r="N1" s="8" t="s">
        <v>234</v>
      </c>
      <c r="O1" s="8" t="s">
        <v>235</v>
      </c>
      <c r="P1" s="8" t="s">
        <v>8</v>
      </c>
      <c r="Q1" s="8" t="s">
        <v>9</v>
      </c>
      <c r="R1" s="8" t="s">
        <v>10</v>
      </c>
      <c r="S1" s="8" t="s">
        <v>11</v>
      </c>
      <c r="T1" s="14" t="s">
        <v>12</v>
      </c>
      <c r="U1" s="8" t="s">
        <v>13</v>
      </c>
      <c r="V1" s="8" t="s">
        <v>14</v>
      </c>
      <c r="W1" s="8" t="s">
        <v>15</v>
      </c>
      <c r="X1" s="8" t="s">
        <v>16</v>
      </c>
      <c r="Y1" s="8" t="s">
        <v>17</v>
      </c>
      <c r="Z1" s="8" t="s">
        <v>18</v>
      </c>
      <c r="AA1" s="8" t="s">
        <v>248</v>
      </c>
      <c r="AB1" s="8" t="s">
        <v>236</v>
      </c>
      <c r="AC1" s="8" t="s">
        <v>237</v>
      </c>
      <c r="AD1" s="8" t="s">
        <v>238</v>
      </c>
      <c r="AE1" s="8" t="s">
        <v>239</v>
      </c>
      <c r="AF1" s="14" t="s">
        <v>255</v>
      </c>
      <c r="AG1" s="14" t="s">
        <v>1317</v>
      </c>
    </row>
    <row r="2" spans="1:33" s="10" customFormat="1" outlineLevel="1" x14ac:dyDescent="0.3">
      <c r="B2" s="26"/>
      <c r="C2" s="26"/>
      <c r="D2" s="26" t="s">
        <v>198</v>
      </c>
      <c r="E2" s="26"/>
      <c r="F2" s="26"/>
      <c r="G2" s="26" t="s">
        <v>1170</v>
      </c>
      <c r="H2" s="26" t="s">
        <v>1174</v>
      </c>
      <c r="I2" s="26"/>
      <c r="J2" s="26" t="s">
        <v>1177</v>
      </c>
      <c r="K2" s="26" t="s">
        <v>1180</v>
      </c>
      <c r="L2" s="26" t="s">
        <v>1182</v>
      </c>
      <c r="M2" s="26" t="s">
        <v>1184</v>
      </c>
      <c r="N2" s="26" t="s">
        <v>1186</v>
      </c>
      <c r="O2" s="26" t="s">
        <v>1188</v>
      </c>
      <c r="P2" s="26"/>
      <c r="Q2" s="26"/>
      <c r="R2" s="26"/>
      <c r="S2" s="26" t="s">
        <v>1190</v>
      </c>
      <c r="T2" s="26"/>
      <c r="U2" s="26"/>
      <c r="V2" s="26"/>
      <c r="W2" s="26" t="s">
        <v>1213</v>
      </c>
      <c r="X2" s="26" t="s">
        <v>1196</v>
      </c>
      <c r="Y2" s="26" t="s">
        <v>1198</v>
      </c>
      <c r="Z2" s="26"/>
      <c r="AA2" s="26" t="s">
        <v>1201</v>
      </c>
      <c r="AB2" s="26"/>
      <c r="AC2" s="26"/>
      <c r="AD2" s="26"/>
      <c r="AE2" s="26"/>
      <c r="AF2" s="26" t="s">
        <v>1207</v>
      </c>
      <c r="AG2" s="26"/>
    </row>
    <row r="3" spans="1:33" outlineLevel="1" x14ac:dyDescent="0.3">
      <c r="B3" s="27" t="s">
        <v>123</v>
      </c>
      <c r="C3" s="27" t="s">
        <v>195</v>
      </c>
      <c r="D3" s="27" t="s">
        <v>195</v>
      </c>
      <c r="E3" s="27" t="s">
        <v>186</v>
      </c>
      <c r="F3" s="27" t="s">
        <v>125</v>
      </c>
      <c r="G3" s="27" t="s">
        <v>125</v>
      </c>
      <c r="H3" s="27" t="s">
        <v>125</v>
      </c>
      <c r="I3" s="27" t="s">
        <v>125</v>
      </c>
      <c r="J3" s="27" t="s">
        <v>1179</v>
      </c>
      <c r="K3" s="27" t="s">
        <v>326</v>
      </c>
      <c r="L3" s="27" t="s">
        <v>326</v>
      </c>
      <c r="M3" s="27" t="s">
        <v>326</v>
      </c>
      <c r="N3" s="27" t="s">
        <v>326</v>
      </c>
      <c r="O3" s="27" t="s">
        <v>326</v>
      </c>
      <c r="P3" s="27" t="s">
        <v>1273</v>
      </c>
      <c r="Q3" s="27" t="s">
        <v>1273</v>
      </c>
      <c r="R3" s="27" t="s">
        <v>1273</v>
      </c>
      <c r="S3" s="27" t="s">
        <v>1192</v>
      </c>
      <c r="T3" s="27" t="s">
        <v>1193</v>
      </c>
      <c r="U3" s="27" t="s">
        <v>125</v>
      </c>
      <c r="V3" s="27" t="s">
        <v>125</v>
      </c>
      <c r="W3" s="27" t="s">
        <v>369</v>
      </c>
      <c r="X3" s="27" t="s">
        <v>207</v>
      </c>
      <c r="Y3" s="27" t="s">
        <v>207</v>
      </c>
      <c r="Z3" s="27" t="s">
        <v>203</v>
      </c>
      <c r="AA3" s="27" t="s">
        <v>125</v>
      </c>
      <c r="AB3" s="27" t="s">
        <v>125</v>
      </c>
      <c r="AC3" s="27" t="s">
        <v>125</v>
      </c>
      <c r="AD3" s="27" t="s">
        <v>125</v>
      </c>
      <c r="AE3" s="27" t="s">
        <v>125</v>
      </c>
      <c r="AF3" s="27" t="s">
        <v>125</v>
      </c>
      <c r="AG3" s="27" t="s">
        <v>125</v>
      </c>
    </row>
    <row r="4" spans="1:33" outlineLevel="1" x14ac:dyDescent="0.3">
      <c r="B4" s="2">
        <v>144396</v>
      </c>
      <c r="C4" s="2">
        <v>77811</v>
      </c>
      <c r="D4" s="2">
        <v>77812</v>
      </c>
      <c r="E4" s="2">
        <v>144399</v>
      </c>
      <c r="F4" s="27">
        <v>101874</v>
      </c>
      <c r="G4" s="27">
        <v>88764</v>
      </c>
      <c r="H4" s="27">
        <v>88763</v>
      </c>
      <c r="I4" s="27">
        <v>89222</v>
      </c>
      <c r="J4" s="2">
        <v>88644</v>
      </c>
      <c r="K4" s="2">
        <v>90870</v>
      </c>
      <c r="L4" s="2">
        <v>90914</v>
      </c>
      <c r="M4" s="2">
        <v>90936</v>
      </c>
      <c r="N4" s="2">
        <v>90980</v>
      </c>
      <c r="O4" s="2">
        <v>91002</v>
      </c>
      <c r="P4" s="2">
        <v>59253</v>
      </c>
      <c r="Q4" s="2">
        <v>59262</v>
      </c>
      <c r="R4" s="2">
        <v>59263</v>
      </c>
      <c r="S4" s="2">
        <v>70126</v>
      </c>
      <c r="T4" s="2">
        <v>59024</v>
      </c>
      <c r="U4" s="27">
        <v>74574</v>
      </c>
      <c r="V4" s="27">
        <v>59017</v>
      </c>
      <c r="W4" s="2">
        <v>59231</v>
      </c>
      <c r="X4" s="2">
        <v>87182</v>
      </c>
      <c r="Y4" s="2">
        <v>87193</v>
      </c>
      <c r="Z4" s="2">
        <v>88734</v>
      </c>
      <c r="AA4" s="27">
        <v>90342</v>
      </c>
      <c r="AB4" s="27">
        <v>90386</v>
      </c>
      <c r="AC4" s="27">
        <v>90408</v>
      </c>
      <c r="AD4" s="27">
        <v>90496</v>
      </c>
      <c r="AE4" s="27">
        <v>90518</v>
      </c>
      <c r="AF4" s="27">
        <v>89616</v>
      </c>
      <c r="AG4" s="27">
        <v>141283</v>
      </c>
    </row>
    <row r="5" spans="1:33" outlineLevel="1" x14ac:dyDescent="0.3">
      <c r="B5" s="27" t="s">
        <v>221</v>
      </c>
      <c r="C5" s="27" t="s">
        <v>194</v>
      </c>
      <c r="D5" s="27" t="s">
        <v>199</v>
      </c>
      <c r="E5" s="27" t="s">
        <v>253</v>
      </c>
      <c r="F5" s="27" t="s">
        <v>189</v>
      </c>
      <c r="G5" s="27" t="s">
        <v>1171</v>
      </c>
      <c r="H5" s="27" t="s">
        <v>1175</v>
      </c>
      <c r="I5" s="27" t="s">
        <v>1176</v>
      </c>
      <c r="J5" s="27" t="s">
        <v>1178</v>
      </c>
      <c r="K5" s="27" t="s">
        <v>1181</v>
      </c>
      <c r="L5" s="27" t="s">
        <v>1183</v>
      </c>
      <c r="M5" s="27" t="s">
        <v>1185</v>
      </c>
      <c r="N5" s="27" t="s">
        <v>1187</v>
      </c>
      <c r="O5" s="27" t="s">
        <v>1189</v>
      </c>
      <c r="P5" s="27" t="s">
        <v>1210</v>
      </c>
      <c r="Q5" s="27" t="s">
        <v>1211</v>
      </c>
      <c r="R5" s="27" t="s">
        <v>1212</v>
      </c>
      <c r="S5" s="27" t="s">
        <v>1191</v>
      </c>
      <c r="T5" s="27" t="s">
        <v>1315</v>
      </c>
      <c r="U5" s="27" t="s">
        <v>1194</v>
      </c>
      <c r="V5" s="27" t="s">
        <v>1195</v>
      </c>
      <c r="W5" s="27" t="s">
        <v>1214</v>
      </c>
      <c r="X5" s="27" t="s">
        <v>1197</v>
      </c>
      <c r="Y5" s="27" t="s">
        <v>1199</v>
      </c>
      <c r="Z5" s="27" t="s">
        <v>1200</v>
      </c>
      <c r="AA5" s="27" t="s">
        <v>1202</v>
      </c>
      <c r="AB5" s="27" t="s">
        <v>1203</v>
      </c>
      <c r="AC5" s="27" t="s">
        <v>1204</v>
      </c>
      <c r="AD5" s="27" t="s">
        <v>1205</v>
      </c>
      <c r="AE5" s="27" t="s">
        <v>1206</v>
      </c>
      <c r="AF5" s="27" t="s">
        <v>1208</v>
      </c>
      <c r="AG5" s="27" t="s">
        <v>1209</v>
      </c>
    </row>
    <row r="6" spans="1:33" outlineLevel="1" x14ac:dyDescent="0.3">
      <c r="B6" s="27" t="s">
        <v>222</v>
      </c>
      <c r="C6" s="27" t="s">
        <v>196</v>
      </c>
      <c r="D6" s="27" t="s">
        <v>196</v>
      </c>
      <c r="E6" s="27" t="s">
        <v>187</v>
      </c>
      <c r="F6" s="27" t="s">
        <v>190</v>
      </c>
      <c r="G6" s="27" t="s">
        <v>1172</v>
      </c>
      <c r="H6" s="27" t="s">
        <v>1172</v>
      </c>
      <c r="I6" s="27" t="s">
        <v>1172</v>
      </c>
      <c r="J6" s="27" t="s">
        <v>1172</v>
      </c>
      <c r="K6" s="27" t="s">
        <v>1172</v>
      </c>
      <c r="L6" s="27" t="s">
        <v>1172</v>
      </c>
      <c r="M6" s="27" t="s">
        <v>1172</v>
      </c>
      <c r="N6" s="27" t="s">
        <v>1172</v>
      </c>
      <c r="O6" s="27" t="s">
        <v>1172</v>
      </c>
      <c r="P6" s="27" t="s">
        <v>1172</v>
      </c>
      <c r="Q6" s="27" t="s">
        <v>1172</v>
      </c>
      <c r="R6" s="27" t="s">
        <v>1172</v>
      </c>
      <c r="S6" s="27" t="s">
        <v>1172</v>
      </c>
      <c r="T6" s="27" t="s">
        <v>1172</v>
      </c>
      <c r="U6" s="27" t="s">
        <v>1172</v>
      </c>
      <c r="V6" s="27" t="s">
        <v>1172</v>
      </c>
      <c r="W6" s="27" t="s">
        <v>1172</v>
      </c>
      <c r="X6" s="27" t="s">
        <v>1172</v>
      </c>
      <c r="Y6" s="27" t="s">
        <v>1172</v>
      </c>
      <c r="Z6" s="27" t="s">
        <v>1172</v>
      </c>
      <c r="AA6" s="27" t="s">
        <v>1172</v>
      </c>
      <c r="AB6" s="27" t="s">
        <v>1172</v>
      </c>
      <c r="AC6" s="27" t="s">
        <v>1172</v>
      </c>
      <c r="AD6" s="27" t="s">
        <v>1172</v>
      </c>
      <c r="AE6" s="27" t="s">
        <v>1172</v>
      </c>
      <c r="AF6" s="27" t="s">
        <v>1172</v>
      </c>
      <c r="AG6" s="27" t="s">
        <v>1172</v>
      </c>
    </row>
    <row r="7" spans="1:33" outlineLevel="1" x14ac:dyDescent="0.3">
      <c r="B7" s="27" t="s">
        <v>223</v>
      </c>
      <c r="C7" s="27" t="s">
        <v>197</v>
      </c>
      <c r="D7" s="27" t="s">
        <v>197</v>
      </c>
      <c r="E7" s="27" t="s">
        <v>188</v>
      </c>
      <c r="F7" s="27" t="s">
        <v>191</v>
      </c>
      <c r="G7" s="27" t="s">
        <v>1173</v>
      </c>
      <c r="H7" s="27" t="s">
        <v>1173</v>
      </c>
      <c r="I7" s="27" t="s">
        <v>1173</v>
      </c>
      <c r="J7" s="27" t="s">
        <v>1173</v>
      </c>
      <c r="K7" s="27" t="s">
        <v>1173</v>
      </c>
      <c r="L7" s="27" t="s">
        <v>1173</v>
      </c>
      <c r="M7" s="27" t="s">
        <v>1173</v>
      </c>
      <c r="N7" s="27" t="s">
        <v>1173</v>
      </c>
      <c r="O7" s="27" t="s">
        <v>1173</v>
      </c>
      <c r="P7" s="27" t="s">
        <v>1173</v>
      </c>
      <c r="Q7" s="27" t="s">
        <v>1173</v>
      </c>
      <c r="R7" s="27" t="s">
        <v>1173</v>
      </c>
      <c r="S7" s="27" t="s">
        <v>1173</v>
      </c>
      <c r="T7" s="27" t="s">
        <v>1173</v>
      </c>
      <c r="U7" s="27" t="s">
        <v>1173</v>
      </c>
      <c r="V7" s="27" t="s">
        <v>1173</v>
      </c>
      <c r="W7" s="27" t="s">
        <v>1173</v>
      </c>
      <c r="X7" s="27" t="s">
        <v>1173</v>
      </c>
      <c r="Y7" s="27" t="s">
        <v>1173</v>
      </c>
      <c r="Z7" s="27" t="s">
        <v>1173</v>
      </c>
      <c r="AA7" s="27" t="s">
        <v>1173</v>
      </c>
      <c r="AB7" s="27" t="s">
        <v>1173</v>
      </c>
      <c r="AC7" s="27" t="s">
        <v>1173</v>
      </c>
      <c r="AD7" s="27" t="s">
        <v>1173</v>
      </c>
      <c r="AE7" s="27" t="s">
        <v>1173</v>
      </c>
      <c r="AF7" s="27" t="s">
        <v>1173</v>
      </c>
      <c r="AG7" s="27" t="s">
        <v>1173</v>
      </c>
    </row>
    <row r="8" spans="1:33" outlineLevel="1" x14ac:dyDescent="0.3">
      <c r="A8" s="16" t="s">
        <v>489</v>
      </c>
      <c r="B8" s="27" t="s">
        <v>120</v>
      </c>
      <c r="C8" s="27" t="s">
        <v>163</v>
      </c>
      <c r="D8" s="27" t="s">
        <v>163</v>
      </c>
      <c r="E8" s="27" t="s">
        <v>159</v>
      </c>
      <c r="F8" s="27"/>
      <c r="G8" s="27" t="s">
        <v>179</v>
      </c>
      <c r="H8" s="27" t="s">
        <v>173</v>
      </c>
      <c r="I8" s="27" t="s">
        <v>182</v>
      </c>
      <c r="J8" s="27" t="s">
        <v>120</v>
      </c>
      <c r="K8" s="27" t="s">
        <v>126</v>
      </c>
      <c r="L8" s="27" t="s">
        <v>129</v>
      </c>
      <c r="M8" s="27" t="s">
        <v>132</v>
      </c>
      <c r="N8" s="27" t="s">
        <v>135</v>
      </c>
      <c r="O8" s="27" t="s">
        <v>138</v>
      </c>
      <c r="P8" s="27" t="s">
        <v>141</v>
      </c>
      <c r="Q8" s="27" t="s">
        <v>146</v>
      </c>
      <c r="R8" s="27" t="s">
        <v>149</v>
      </c>
      <c r="S8" s="27" t="s">
        <v>154</v>
      </c>
      <c r="T8" s="27" t="s">
        <v>159</v>
      </c>
      <c r="U8" s="27" t="s">
        <v>163</v>
      </c>
      <c r="V8" s="27" t="s">
        <v>168</v>
      </c>
      <c r="W8" s="27" t="s">
        <v>217</v>
      </c>
      <c r="X8" s="27" t="s">
        <v>208</v>
      </c>
      <c r="Y8" s="27" t="s">
        <v>213</v>
      </c>
      <c r="Z8" s="27" t="s">
        <v>204</v>
      </c>
      <c r="AA8" s="27" t="s">
        <v>126</v>
      </c>
      <c r="AB8" s="27" t="s">
        <v>129</v>
      </c>
      <c r="AC8" s="27" t="s">
        <v>132</v>
      </c>
      <c r="AD8" s="27" t="s">
        <v>135</v>
      </c>
      <c r="AE8" s="27" t="s">
        <v>138</v>
      </c>
      <c r="AF8" s="27" t="s">
        <v>351</v>
      </c>
      <c r="AG8" s="27" t="s">
        <v>402</v>
      </c>
    </row>
    <row r="9" spans="1:33" outlineLevel="1" x14ac:dyDescent="0.3">
      <c r="A9" s="16" t="s">
        <v>490</v>
      </c>
      <c r="B9" s="27" t="s">
        <v>121</v>
      </c>
      <c r="C9" s="27" t="s">
        <v>164</v>
      </c>
      <c r="D9" s="27" t="s">
        <v>164</v>
      </c>
      <c r="E9" s="27" t="s">
        <v>160</v>
      </c>
      <c r="F9" s="27"/>
      <c r="G9" s="27" t="s">
        <v>180</v>
      </c>
      <c r="H9" s="27" t="s">
        <v>174</v>
      </c>
      <c r="I9" s="27" t="s">
        <v>183</v>
      </c>
      <c r="J9" s="27" t="s">
        <v>121</v>
      </c>
      <c r="K9" s="27" t="s">
        <v>127</v>
      </c>
      <c r="L9" s="27" t="s">
        <v>130</v>
      </c>
      <c r="M9" s="27" t="s">
        <v>133</v>
      </c>
      <c r="N9" s="27" t="s">
        <v>136</v>
      </c>
      <c r="O9" s="27" t="s">
        <v>139</v>
      </c>
      <c r="P9" s="27" t="s">
        <v>142</v>
      </c>
      <c r="Q9" s="27" t="s">
        <v>147</v>
      </c>
      <c r="R9" s="27" t="s">
        <v>150</v>
      </c>
      <c r="S9" s="27" t="s">
        <v>155</v>
      </c>
      <c r="T9" s="27" t="s">
        <v>160</v>
      </c>
      <c r="U9" s="27" t="s">
        <v>164</v>
      </c>
      <c r="V9" s="27" t="s">
        <v>169</v>
      </c>
      <c r="W9" s="27" t="s">
        <v>218</v>
      </c>
      <c r="X9" s="27" t="s">
        <v>209</v>
      </c>
      <c r="Y9" s="27" t="s">
        <v>214</v>
      </c>
      <c r="Z9" s="27" t="s">
        <v>205</v>
      </c>
      <c r="AA9" s="27" t="s">
        <v>127</v>
      </c>
      <c r="AB9" s="27" t="s">
        <v>130</v>
      </c>
      <c r="AC9" s="27" t="s">
        <v>133</v>
      </c>
      <c r="AD9" s="27" t="s">
        <v>136</v>
      </c>
      <c r="AE9" s="27" t="s">
        <v>139</v>
      </c>
      <c r="AF9" s="27" t="s">
        <v>352</v>
      </c>
      <c r="AG9" s="28" t="s">
        <v>403</v>
      </c>
    </row>
    <row r="10" spans="1:33" outlineLevel="1" x14ac:dyDescent="0.3">
      <c r="A10" s="16" t="s">
        <v>491</v>
      </c>
      <c r="B10" s="27" t="s">
        <v>224</v>
      </c>
      <c r="C10" s="27" t="s">
        <v>165</v>
      </c>
      <c r="D10" s="27" t="s">
        <v>200</v>
      </c>
      <c r="E10" s="27" t="s">
        <v>226</v>
      </c>
      <c r="F10" s="27"/>
      <c r="G10" s="27" t="s">
        <v>175</v>
      </c>
      <c r="H10" s="27" t="s">
        <v>175</v>
      </c>
      <c r="I10" s="27" t="s">
        <v>184</v>
      </c>
      <c r="J10" s="27" t="s">
        <v>122</v>
      </c>
      <c r="K10" s="27" t="s">
        <v>122</v>
      </c>
      <c r="L10" s="27" t="s">
        <v>122</v>
      </c>
      <c r="M10" s="27" t="s">
        <v>122</v>
      </c>
      <c r="N10" s="27" t="s">
        <v>122</v>
      </c>
      <c r="O10" s="27" t="s">
        <v>122</v>
      </c>
      <c r="P10" s="27" t="s">
        <v>143</v>
      </c>
      <c r="Q10" s="27" t="s">
        <v>143</v>
      </c>
      <c r="R10" s="27" t="s">
        <v>151</v>
      </c>
      <c r="S10" s="27" t="s">
        <v>156</v>
      </c>
      <c r="T10" s="27" t="s">
        <v>447</v>
      </c>
      <c r="U10" s="27" t="s">
        <v>165</v>
      </c>
      <c r="V10" s="27" t="s">
        <v>170</v>
      </c>
      <c r="W10" s="27" t="s">
        <v>219</v>
      </c>
      <c r="X10" s="27" t="s">
        <v>210</v>
      </c>
      <c r="Y10" s="27" t="s">
        <v>210</v>
      </c>
      <c r="Z10" s="27" t="s">
        <v>184</v>
      </c>
      <c r="AA10" s="27" t="s">
        <v>184</v>
      </c>
      <c r="AB10" s="27" t="s">
        <v>184</v>
      </c>
      <c r="AC10" s="27" t="s">
        <v>184</v>
      </c>
      <c r="AD10" s="27" t="s">
        <v>184</v>
      </c>
      <c r="AE10" s="27" t="s">
        <v>184</v>
      </c>
      <c r="AF10" s="27" t="s">
        <v>156</v>
      </c>
      <c r="AG10" s="27" t="s">
        <v>184</v>
      </c>
    </row>
    <row r="11" spans="1:33" outlineLevel="1" x14ac:dyDescent="0.3">
      <c r="A11" s="16" t="s">
        <v>492</v>
      </c>
      <c r="B11" s="27" t="s">
        <v>225</v>
      </c>
      <c r="C11" s="27" t="s">
        <v>166</v>
      </c>
      <c r="D11" s="27" t="s">
        <v>201</v>
      </c>
      <c r="E11" s="27" t="s">
        <v>227</v>
      </c>
      <c r="F11" s="27"/>
      <c r="G11" s="27" t="s">
        <v>176</v>
      </c>
      <c r="H11" s="27" t="s">
        <v>176</v>
      </c>
      <c r="I11" s="27" t="s">
        <v>185</v>
      </c>
      <c r="J11" s="27" t="s">
        <v>118</v>
      </c>
      <c r="K11" s="27" t="s">
        <v>118</v>
      </c>
      <c r="L11" s="27" t="s">
        <v>118</v>
      </c>
      <c r="M11" s="27" t="s">
        <v>118</v>
      </c>
      <c r="N11" s="27" t="s">
        <v>118</v>
      </c>
      <c r="O11" s="27" t="s">
        <v>118</v>
      </c>
      <c r="P11" s="27" t="s">
        <v>144</v>
      </c>
      <c r="Q11" s="27" t="s">
        <v>144</v>
      </c>
      <c r="R11" s="27" t="s">
        <v>152</v>
      </c>
      <c r="S11" s="27" t="s">
        <v>157</v>
      </c>
      <c r="T11" s="27" t="s">
        <v>448</v>
      </c>
      <c r="U11" s="27" t="s">
        <v>166</v>
      </c>
      <c r="V11" s="27" t="s">
        <v>171</v>
      </c>
      <c r="W11" s="27" t="s">
        <v>220</v>
      </c>
      <c r="X11" s="27" t="s">
        <v>211</v>
      </c>
      <c r="Y11" s="27" t="s">
        <v>211</v>
      </c>
      <c r="Z11" s="27" t="s">
        <v>185</v>
      </c>
      <c r="AA11" s="27" t="s">
        <v>185</v>
      </c>
      <c r="AB11" s="27" t="s">
        <v>185</v>
      </c>
      <c r="AC11" s="27" t="s">
        <v>185</v>
      </c>
      <c r="AD11" s="27" t="s">
        <v>185</v>
      </c>
      <c r="AE11" s="27" t="s">
        <v>185</v>
      </c>
      <c r="AF11" s="27" t="s">
        <v>157</v>
      </c>
      <c r="AG11" s="27" t="s">
        <v>185</v>
      </c>
    </row>
    <row r="12" spans="1:33" outlineLevel="1" x14ac:dyDescent="0.3">
      <c r="B12" s="4" t="str">
        <f>INDEX({"31/01/2024 @ 15:44","macro_id=DBGlobal","label_id=144396","time=Q","year_from=2000","year_to=2023","direction=V","opt_font=true","fontsize=8","opt_color=true","col_desc=Calculation:10;Footnote 1:9;ID:8;Label:7;Reporter:6:s;Reporter:5:long;Indicator:4:s;Indicator:3:l;Unit:2:s;Unit:1:long;","numberformat=0.00","auto_tr=1999|2015","com=true","comp=4"},1,1)</f>
        <v>31/01/2024 @ 15:44</v>
      </c>
      <c r="C12" s="4" t="str">
        <f>INDEX({"31/01/2024 @ 15:44","macro_id=DBGlobal","label_id=77811","time=Q","year_from=2000","year_to=2023","direction=V","opt_font=true","fontsize=8","opt_color=true","col_desc=Calculation:10;Footnote 1:9;ID:8;Label:7;Reporter:6:s;Reporter:5:long;Indicator:4:s;Indicator:3:l;Unit:2:s;Unit:1:long;","numberformat=0.00","auto_tr=1999|2015","com=true","comp=4"},1,1)</f>
        <v>31/01/2024 @ 15:44</v>
      </c>
      <c r="D12" s="6" t="str">
        <f>INDEX({"31/01/2024 @ 15:44","macro_id=DBGlobal","label_id=77812","calc=SubScal(L_77812,100)","time=Q","year_from=2000","year_to=2023","direction=V","opt_font=true","fontsize=8","opt_color=true","col_desc=Calculation:10;Footnote 1:9;ID:8;Label:7;Reporter:6:s;Reporter:5:long;Indicator:4:s;Indicator:3:l;Unit:2:s;Unit:1:long;","numberformat=0.00","auto_tr=1999|2015","com=true","comp=4"},1,1)</f>
        <v>31/01/2024 @ 15:44</v>
      </c>
      <c r="E12" s="4" t="str">
        <f>INDEX({"31/01/2024 @ 15:44","macro_id=DBGlobal","label_id=144399","time=Q","year_from=2000","year_to=2023","direction=V","opt_font=true","fontsize=8","opt_color=true","col_desc=Calculation:10;Footnote 1:9;ID:8;Label:7;Reporter:6:s;Reporter:5:long;Indicator:4:s;Indicator:3:l;Unit:2:s;Unit:1:long;","numberformat=0.00","auto_tr=1999|2015","com=true","comp=4"},1,1)</f>
        <v>31/01/2024 @ 15:44</v>
      </c>
      <c r="F12" s="4" t="str">
        <f>INDEX({"31/01/2024 @ 15:44","macro_id=DBGlobal","label_id=101874","time=Q","year_from=2000","year_to=2023","direction=V","opt_font=true","fontsize=8","opt_color=true","col_desc=Calculation:10;Footnote 1:9;ID:8;Label:7;Reporter:6:s;Reporter:5:long;Indicator:4:s;Indicator:3:l;Unit:2:s;Unit:1:long;","numberformat=0.00","auto_tr=1999|2015","com=true","comp=4"},1,1)</f>
        <v>31/01/2024 @ 15:44</v>
      </c>
      <c r="G12" s="5" t="str">
        <f>INDEX({"31/01/2024 @ 15:44","macro_id=DBGlobal","label_id=88764","calc=SubScal(CPPY=100(L_88764),100)","time=Q","year_from=2000","year_to=2023","direction=V","opt_font=true","fontsize=8","opt_color=true","col_desc=Calculation:10;Footnote 1:9;ID:8;Label:7;Reporter:6:s;Reporter:5:long;Indicator:4:s;Indicator:3:l;Unit:2:s;Unit:1:long;","numberformat=0.00","auto_tr=1999|2015","com=true","comp=4"},1,1)</f>
        <v>31/01/2024 @ 15:44</v>
      </c>
      <c r="H12" s="5" t="str">
        <f>INDEX({"31/01/2024 @ 15:44","macro_id=DBGlobal","label_id=88763","calc=SubScal(CPPY=100(L_88763),100)","time=Q","year_from=2000","year_to=2023","direction=V","opt_font=true","fontsize=8","opt_color=true","col_desc=Calculation:10;Footnote 1:9;ID:8;Label:7;Reporter:6:s;Reporter:5:long;Indicator:4:s;Indicator:3:l;Unit:2:s;Unit:1:long;","numberformat=0.00","auto_tr=1999|2015","com=true","comp=4"},1,1)</f>
        <v>31/01/2024 @ 15:44</v>
      </c>
      <c r="I12" s="1" t="str">
        <f>INDEX({"31/01/2024 @ 15:44","macro_id=DBGlobal","label_id=89222","time=Q","year_from=2000","year_to=2023","direction=V","opt_font=true","fontsize=8","opt_color=true","col_desc=Calculation:10;Footnote 1:9;ID:8;Label:7;Reporter:6:s;Reporter:5:long;Indicator:4:s;Indicator:3:l;Unit:2:s;Unit:1:long;","numberformat=0.00","auto_tr=1999|2015","com=true","comp=4"},1,1)</f>
        <v>31/01/2024 @ 15:44</v>
      </c>
      <c r="J12" s="5" t="str">
        <f>INDEX({"31/01/2024 @ 15:44","macro_id=DBGlobal","label_id=88644","calc=SubScal(CPPY=100(L_88644),100)","time=Q","year_from=2000","year_to=2023","direction=V","opt_font=true","fontsize=8","opt_color=true","col_desc=Calculation:10;Footnote 1:9;ID:8;Label:7;Reporter:6:s;Reporter:5:long;Indicator:4:s;Indicator:3:l;Unit:2:s;Unit:1:long;","numberformat=0.00","auto_tr=1999|2015","com=true","comp=4"},1,1)</f>
        <v>31/01/2024 @ 15:44</v>
      </c>
      <c r="K12" s="5" t="str">
        <f>INDEX({"31/01/2024 @ 15:44","macro_id=DBGlobal","label_id=90870","calc=SubScal(CPPY=100(L_90870),100)","time=Q","year_from=2000","year_to=2023","direction=V","opt_font=true","fontsize=8","opt_color=true","col_desc=Calculation:10;Footnote 1:9;ID:8;Label:7;Reporter:6:s;Reporter:5:long;Indicator:4:s;Indicator:3:l;Unit:2:s;Unit:1:long;","numberformat=0.00","auto_tr=1999|2015","com=true","comp=4"},1,1)</f>
        <v>31/01/2024 @ 15:44</v>
      </c>
      <c r="L12" s="5" t="str">
        <f>INDEX({"31/01/2024 @ 15:44","macro_id=DBGlobal","label_id=90914","calc=SubScal(CPPY=100(L_90914),100)","time=Q","year_from=2000","year_to=2023","direction=V","opt_font=true","fontsize=8","opt_color=true","col_desc=Calculation:10;Footnote 1:9;ID:8;Label:7;Reporter:6:s;Reporter:5:long;Indicator:4:s;Indicator:3:l;Unit:2:s;Unit:1:long;","numberformat=0.00","auto_tr=1999|2015","com=true","comp=4"},1,1)</f>
        <v>31/01/2024 @ 15:44</v>
      </c>
      <c r="M12" s="5" t="str">
        <f>INDEX({"31/01/2024 @ 15:44","macro_id=DBGlobal","label_id=90936","calc=SubScal(CPPY=100(L_90936),100)","time=Q","year_from=2000","year_to=2023","direction=V","opt_font=true","fontsize=8","opt_color=true","col_desc=Calculation:10;Footnote 1:9;ID:8;Label:7;Reporter:6:s;Reporter:5:long;Indicator:4:s;Indicator:3:l;Unit:2:s;Unit:1:long;","numberformat=0.00","auto_tr=1999|2015","com=true","comp=4"},1,1)</f>
        <v>31/01/2024 @ 15:44</v>
      </c>
      <c r="N12" s="5" t="str">
        <f>INDEX({"31/01/2024 @ 15:44","macro_id=DBGlobal","label_id=90980","calc=SubScal(CPPY=100(L_90980),100)","time=Q","year_from=2000","year_to=2023","direction=V","opt_font=true","fontsize=8","opt_color=true","col_desc=Calculation:10;Footnote 1:9;ID:8;Label:7;Reporter:6:s;Reporter:5:long;Indicator:4:s;Indicator:3:l;Unit:2:s;Unit:1:long;","numberformat=0.00","auto_tr=1999|2015","com=true","comp=4"},1,1)</f>
        <v>31/01/2024 @ 15:44</v>
      </c>
      <c r="O12" s="5" t="str">
        <f>INDEX({"31/01/2024 @ 15:44","macro_id=DBGlobal","label_id=91002","calc=SubScal(CPPY=100(L_91002),100)","time=Q","year_from=2000","year_to=2023","direction=V","opt_font=true","fontsize=8","opt_color=true","col_desc=Calculation:10;Footnote 1:9;ID:8;Label:7;Reporter:6:s;Reporter:5:long;Indicator:4:s;Indicator:3:l;Unit:2:s;Unit:1:long;","numberformat=0.00","auto_tr=1999|2015","com=true","comp=4"},1,1)</f>
        <v>31/01/2024 @ 15:44</v>
      </c>
      <c r="P12" s="1" t="str">
        <f>INDEX({"31/01/2024 @ 15:44","macro_id=DBGlobal","label_id=59253","time=Q","year_from=2000","year_to=2023","direction=V","opt_font=true","fontsize=8","opt_color=true","col_desc=Calculation:10;Footnote 1:9;ID:8;Label:7;Reporter:6:s;Reporter:5:long;Indicator:4:s;Indicator:3:l;Unit:2:s;Unit:1:long;","numberformat=0.00","auto_tr=1999|2015","com=true","comp=4"},1,1)</f>
        <v>31/01/2024 @ 15:44</v>
      </c>
      <c r="Q12" s="1" t="str">
        <f>INDEX({"31/01/2024 @ 15:44","macro_id=DBGlobal","label_id=59262","time=Q","year_from=2000","year_to=2023","direction=V","opt_font=true","fontsize=8","opt_color=true","col_desc=Calculation:10;Footnote 1:9;ID:8;Label:7;Reporter:6:s;Reporter:5:long;Indicator:4:s;Indicator:3:l;Unit:2:s;Unit:1:long;","numberformat=0.00","auto_tr=1999|2015","com=true","comp=4"},1,1)</f>
        <v>31/01/2024 @ 15:44</v>
      </c>
      <c r="R12" s="1" t="str">
        <f>INDEX({"31/01/2024 @ 15:44","macro_id=DBGlobal","label_id=59263","time=Q","year_from=2000","year_to=2023","direction=V","opt_font=true","fontsize=8","opt_color=true","col_desc=Calculation:10;Footnote 1:9;ID:8;Label:7;Reporter:6:s;Reporter:5:long;Indicator:4:s;Indicator:3:l;Unit:2:s;Unit:1:long;","numberformat=0.00","auto_tr=1999|2015","com=true","comp=4"},1,1)</f>
        <v>31/01/2024 @ 15:44</v>
      </c>
      <c r="S12" s="5" t="str">
        <f>INDEX({"31/01/2024 @ 15:44","macro_id=DBGlobal","label_id=70126","calc=SubScal(L_70126,100)","time=Q","year_from=2000","year_to=2023","direction=V","opt_font=true","fontsize=8","opt_color=true","col_desc=Calculation:10;Footnote 1:9;ID:8;Label:7;Reporter:6:s;Reporter:5:long;Indicator:4:s;Indicator:3:l;Unit:2:s;Unit:1:long;","numberformat=0.00","auto_tr=1999|2015","com=true","comp=4"},1,1)</f>
        <v>31/01/2024 @ 15:44</v>
      </c>
      <c r="T12" s="1" t="str">
        <f>INDEX({"31/01/2024 @ 15:44","macro_id=DBGlobal","label_id=59024","time=Q","year_from=2000","year_to=2023","direction=V","opt_font=true","fontsize=8","opt_color=true","col_desc=Calculation:10;Footnote 1:9;ID:8;Label:7;Reporter:6:s;Reporter:5:long;Indicator:4:s;Indicator:3:l;Unit:2:s;Unit:1:long;","numberformat=0.00","auto_tr=1999|2015","com=true","comp=4"},1,1)</f>
        <v>31/01/2024 @ 15:44</v>
      </c>
      <c r="U12" s="1" t="str">
        <f>INDEX({"31/01/2024 @ 15:44","macro_id=DBGlobal","label_id=74574","time=Q","year_from=2000","year_to=2023","direction=V","opt_font=true","fontsize=8","opt_color=true","col_desc=Calculation:10;Footnote 1:9;ID:8;Label:7;Reporter:6:s;Reporter:5:long;Indicator:4:s;Indicator:3:l;Unit:2:s;Unit:1:long;","numberformat=0.00","auto_tr=1999|2015","com=true","comp=4"},1,1)</f>
        <v>31/01/2024 @ 15:44</v>
      </c>
      <c r="V12" s="1" t="str">
        <f>INDEX({"31/01/2024 @ 15:44","macro_id=DBGlobal","label_id=59017","time=Q","year_from=2000","year_to=2023","direction=V","opt_font=true","fontsize=8","opt_color=true","col_desc=Calculation:10;Footnote 1:9;ID:8;Label:7;Reporter:6:s;Reporter:5:long;Indicator:4:s;Indicator:3:l;Unit:2:s;Unit:1:long;","numberformat=0.00","auto_tr=1999|2015","com=true","comp=4"},1,1)</f>
        <v>31/01/2024 @ 15:44</v>
      </c>
      <c r="W12" s="5" t="str">
        <f>INDEX({"31/01/2024 @ 15:44","macro_id=DBGlobal","label_id=59231","calc=SubScal(L_59231,100)","time=Q","year_from=2000","year_to=2023","direction=V","opt_font=true","fontsize=8","opt_color=true","col_desc=Calculation:10;Footnote 1:9;ID:8;Label:7;Reporter:6:s;Reporter:5:long;Indicator:4:s;Indicator:3:l;Unit:2:s;Unit:1:long;","numberformat=0.00","auto_tr=1999|2015","com=true","comp=4"},1,1)</f>
        <v>31/01/2024 @ 15:44</v>
      </c>
      <c r="X12" s="6" t="str">
        <f>INDEX({"31/01/2024 @ 15:44","macro_id=DBGlobal","label_id=87182","calc=SubScal(CPPY=100(AddNull(L_87182,L_87204)),100)","time=Q","year_from=2000","year_to=2023","direction=V","opt_font=true","fontsize=8","opt_color=true","col_desc=Calculation:10;Footnote 1:9;ID:8;Label:7;Reporter:6:s;Reporter:5:long;Indicator:4:s;Indicator:3:l;Unit:2:s;Unit:1:long;","numberformat=0.00","auto_tr=1999|2015","com=true","comp=4"},1,1)</f>
        <v>31/01/2024 @ 15:44</v>
      </c>
      <c r="Y12" s="6" t="str">
        <f>INDEX({"31/01/2024 @ 15:44","macro_id=DBGlobal","label_id=87193","calc=SubScal(CPPY=100(AddNull(L_87193,L_87215)),100)","time=Q","year_from=2000","year_to=2023","direction=V","opt_font=true","fontsize=8","opt_color=true","col_desc=Calculation:10;Footnote 1:9;ID:8;Label:7;Reporter:6:s;Reporter:5:long;Indicator:4:s;Indicator:3:l;Unit:2:s;Unit:1:long;","numberformat=0.00","auto_tr=1999|2015","com=true","comp=4"},1,1)</f>
        <v>31/01/2024 @ 15:44</v>
      </c>
      <c r="Z12" s="1" t="str">
        <f>INDEX({"31/01/2024 @ 15:44","macro_id=DBGlobal","label_id=88734","time=Q","year_from=2000","year_to=2023","direction=V","opt_font=true","fontsize=8","opt_color=true","col_desc=Calculation:10;Footnote 1:9;ID:8;Label:7;Reporter:6:s;Reporter:5:long;Indicator:4:s;Indicator:3:l;Unit:2:s;Unit:1:long;","numberformat=0.00","auto_tr=1999|2015","com=true","comp=4"},1,1)</f>
        <v>31/01/2024 @ 15:44</v>
      </c>
      <c r="AA12" s="5" t="str">
        <f>INDEX({"31/01/2024 @ 15:44","macro_id=DBGlobal","label_id=90342","calc=AddNull(L_90342,L_90364)","time=Q","year_from=2000","year_to=2023","direction=V","opt_font=true","fontsize=8","opt_color=true","col_desc=Calculation:10;Footnote 1:9;ID:8;Label:7;Reporter:6:s;Reporter:5:long;Indicator:4:s;Indicator:3:l;Unit:2:s;Unit:1:long;","numberformat=0.00","auto_tr=1999|2015","com=true","comp=4"},1,1)</f>
        <v>31/01/2024 @ 15:44</v>
      </c>
      <c r="AB12" s="1" t="str">
        <f>INDEX({"31/01/2024 @ 15:44","macro_id=DBGlobal","label_id=90386","time=Q","year_from=2000","year_to=2023","direction=V","opt_font=true","fontsize=8","opt_color=true","col_desc=Calculation:10;Footnote 1:9;ID:8;Label:7;Reporter:6:s;Reporter:5:long;Indicator:4:s;Indicator:3:l;Unit:2:s;Unit:1:long;","numberformat=0.00","auto_tr=1999|2015","com=true","comp=4"},1,1)</f>
        <v>31/01/2024 @ 15:44</v>
      </c>
      <c r="AC12" s="1" t="str">
        <f>INDEX({"31/01/2024 @ 15:44","macro_id=DBGlobal","label_id=90408","time=Q","year_from=2000","year_to=2023","direction=V","opt_font=true","fontsize=8","opt_color=true","col_desc=Calculation:10;Footnote 1:9;ID:8;Label:7;Reporter:6:s;Reporter:5:long;Indicator:4:s;Indicator:3:l;Unit:2:s;Unit:1:long;","numberformat=0.00","auto_tr=1999|2015","com=true","comp=4"},1,1)</f>
        <v>31/01/2024 @ 15:44</v>
      </c>
      <c r="AD12" s="1" t="str">
        <f>INDEX({"31/01/2024 @ 15:44","macro_id=DBGlobal","label_id=90496","time=Q","year_from=2000","year_to=2023","direction=V","opt_font=true","fontsize=8","opt_color=true","col_desc=Calculation:10;Footnote 1:9;ID:8;Label:7;Reporter:6:s;Reporter:5:long;Indicator:4:s;Indicator:3:l;Unit:2:s;Unit:1:long;","numberformat=0.00","auto_tr=1999|2015","com=true","comp=4"},1,1)</f>
        <v>31/01/2024 @ 15:44</v>
      </c>
      <c r="AE12" s="1" t="str">
        <f>INDEX({"31/01/2024 @ 15:44","macro_id=DBGlobal","label_id=90518","time=Q","year_from=2000","year_to=2023","direction=V","opt_font=true","fontsize=8","opt_color=true","col_desc=Calculation:10;Footnote 1:9;ID:8;Label:7;Reporter:6:s;Reporter:5:long;Indicator:4:s;Indicator:3:l;Unit:2:s;Unit:1:long;","numberformat=0.00","auto_tr=1999|2015","com=true","comp=4"},1,1)</f>
        <v>31/01/2024 @ 15:44</v>
      </c>
      <c r="AF12" s="5" t="str">
        <f>INDEX({"31/01/2024 @ 15:44","macro_id=DBGlobal","label_id=89616","calc=SubScal(L_89616,100)","time=Q","year_from=2000","year_to=2023","direction=V","opt_font=true","fontsize=8","opt_color=true","col_desc=Calculation:10;Footnote 1:9;ID:8;Label:7;Reporter:6:s;Reporter:5:long;Indicator:4:s;Indicator:3:l;Unit:2:s;Unit:1:long;","numberformat=0.00","auto_tr=1999|2015","com=true","comp=4"},1,1)</f>
        <v>31/01/2024 @ 15:44</v>
      </c>
      <c r="AG12" s="4" t="str">
        <f>INDEX({"31/01/2024 @ 15:44","macro_id=DBGlobal","label_id=141283","time=Q","year_from=2000","year_to=2023","direction=V","opt_font=true","fontsize=8","opt_color=true","col_desc=Calculation:10;Footnote 1:9;ID:8;Label:7;Reporter:6:s;Reporter:5:long;Indicator:4:s;Indicator:3:l;Unit:2:s;Unit:1:long;","numberformat=0.00","auto_tr=1999|2015","com=true","comp=4"},1,1)</f>
        <v>31/01/2024 @ 15:44</v>
      </c>
    </row>
    <row r="13" spans="1:33" s="11" customFormat="1" x14ac:dyDescent="0.3">
      <c r="A13" s="11" t="s">
        <v>19</v>
      </c>
      <c r="B13" s="12">
        <v>4.8214176000000002</v>
      </c>
      <c r="C13" s="12">
        <v>73.989999999999995</v>
      </c>
      <c r="D13" s="12">
        <v>1.7557532</v>
      </c>
      <c r="E13" s="12">
        <v>3.25</v>
      </c>
      <c r="F13" s="13">
        <v>26.926666699999998</v>
      </c>
      <c r="G13" s="7" t="s">
        <v>107</v>
      </c>
      <c r="H13" s="7" t="s">
        <v>107</v>
      </c>
      <c r="I13" s="12">
        <v>2.9053233000000001</v>
      </c>
      <c r="J13" s="7" t="s">
        <v>107</v>
      </c>
      <c r="K13" s="7" t="s">
        <v>107</v>
      </c>
      <c r="L13" s="7" t="s">
        <v>107</v>
      </c>
      <c r="M13" s="7" t="s">
        <v>107</v>
      </c>
      <c r="N13" s="7" t="s">
        <v>107</v>
      </c>
      <c r="O13" s="7" t="s">
        <v>107</v>
      </c>
      <c r="P13" s="7" t="s">
        <v>107</v>
      </c>
      <c r="Q13" s="7" t="s">
        <v>107</v>
      </c>
      <c r="R13" s="7" t="s">
        <v>107</v>
      </c>
      <c r="S13" s="7" t="s">
        <v>107</v>
      </c>
      <c r="T13" s="12">
        <v>16</v>
      </c>
      <c r="U13" s="12">
        <v>30.735431500000001</v>
      </c>
      <c r="V13" s="12">
        <v>141.91333330000001</v>
      </c>
      <c r="W13" s="7" t="s">
        <v>107</v>
      </c>
      <c r="X13" s="7" t="s">
        <v>107</v>
      </c>
      <c r="Y13" s="7" t="s">
        <v>107</v>
      </c>
      <c r="Z13" s="12">
        <v>1.7199977</v>
      </c>
      <c r="AA13" s="12">
        <v>66.266243700000004</v>
      </c>
      <c r="AB13" s="12">
        <v>9.3040155999999996</v>
      </c>
      <c r="AC13" s="12">
        <v>12.8576579</v>
      </c>
      <c r="AD13" s="12">
        <v>55.296321200000001</v>
      </c>
      <c r="AE13" s="12">
        <v>47.233820199999997</v>
      </c>
      <c r="AF13" s="12">
        <v>49.521822299999997</v>
      </c>
      <c r="AG13" s="7" t="s">
        <v>107</v>
      </c>
    </row>
    <row r="14" spans="1:33" s="11" customFormat="1" outlineLevel="1" x14ac:dyDescent="0.3">
      <c r="A14" s="11" t="s">
        <v>20</v>
      </c>
      <c r="B14" s="12">
        <v>4.3154814000000004</v>
      </c>
      <c r="C14" s="12">
        <v>74.493333300000003</v>
      </c>
      <c r="D14" s="12">
        <v>1.6742492</v>
      </c>
      <c r="E14" s="12">
        <v>3.9166666999999999</v>
      </c>
      <c r="F14" s="13">
        <v>26.766666699999998</v>
      </c>
      <c r="G14" s="7" t="s">
        <v>107</v>
      </c>
      <c r="H14" s="7" t="s">
        <v>107</v>
      </c>
      <c r="I14" s="12">
        <v>0.72153100000000003</v>
      </c>
      <c r="J14" s="7" t="s">
        <v>107</v>
      </c>
      <c r="K14" s="7" t="s">
        <v>107</v>
      </c>
      <c r="L14" s="7" t="s">
        <v>107</v>
      </c>
      <c r="M14" s="7" t="s">
        <v>107</v>
      </c>
      <c r="N14" s="7" t="s">
        <v>107</v>
      </c>
      <c r="O14" s="7" t="s">
        <v>107</v>
      </c>
      <c r="P14" s="7" t="s">
        <v>107</v>
      </c>
      <c r="Q14" s="7" t="s">
        <v>107</v>
      </c>
      <c r="R14" s="7" t="s">
        <v>107</v>
      </c>
      <c r="S14" s="7" t="s">
        <v>107</v>
      </c>
      <c r="T14" s="12">
        <v>14</v>
      </c>
      <c r="U14" s="12">
        <v>31.085237299999999</v>
      </c>
      <c r="V14" s="12">
        <v>136.22666670000001</v>
      </c>
      <c r="W14" s="7" t="s">
        <v>107</v>
      </c>
      <c r="X14" s="7" t="s">
        <v>107</v>
      </c>
      <c r="Y14" s="7" t="s">
        <v>107</v>
      </c>
      <c r="Z14" s="12">
        <v>4.7980378000000004</v>
      </c>
      <c r="AA14" s="12">
        <v>64.188332599999995</v>
      </c>
      <c r="AB14" s="12">
        <v>12.775313199999999</v>
      </c>
      <c r="AC14" s="12">
        <v>20.799997300000001</v>
      </c>
      <c r="AD14" s="12">
        <v>61.023616099999998</v>
      </c>
      <c r="AE14" s="12">
        <v>50.555577200000002</v>
      </c>
      <c r="AF14" s="12">
        <v>51.394538099999998</v>
      </c>
      <c r="AG14" s="7" t="s">
        <v>107</v>
      </c>
    </row>
    <row r="15" spans="1:33" s="11" customFormat="1" outlineLevel="1" x14ac:dyDescent="0.3">
      <c r="A15" s="11" t="s">
        <v>21</v>
      </c>
      <c r="B15" s="12">
        <v>3.5071058000000002</v>
      </c>
      <c r="C15" s="12">
        <v>74.819999999999993</v>
      </c>
      <c r="D15" s="12">
        <v>1.9670194000000001</v>
      </c>
      <c r="E15" s="17">
        <v>4.3333332999999996</v>
      </c>
      <c r="F15" s="13">
        <v>30.673333299999999</v>
      </c>
      <c r="G15" s="7" t="s">
        <v>107</v>
      </c>
      <c r="H15" s="7" t="s">
        <v>107</v>
      </c>
      <c r="I15" s="12">
        <v>2.9792423000000001</v>
      </c>
      <c r="J15" s="7" t="s">
        <v>107</v>
      </c>
      <c r="K15" s="7" t="s">
        <v>107</v>
      </c>
      <c r="L15" s="7" t="s">
        <v>107</v>
      </c>
      <c r="M15" s="7" t="s">
        <v>107</v>
      </c>
      <c r="N15" s="7" t="s">
        <v>107</v>
      </c>
      <c r="O15" s="7" t="s">
        <v>107</v>
      </c>
      <c r="P15" s="7" t="s">
        <v>107</v>
      </c>
      <c r="Q15" s="7" t="s">
        <v>107</v>
      </c>
      <c r="R15" s="7" t="s">
        <v>107</v>
      </c>
      <c r="S15" s="7" t="s">
        <v>107</v>
      </c>
      <c r="T15" s="12">
        <v>14</v>
      </c>
      <c r="U15" s="12">
        <v>31.5219229</v>
      </c>
      <c r="V15" s="12">
        <v>131.7366667</v>
      </c>
      <c r="W15" s="7" t="s">
        <v>107</v>
      </c>
      <c r="X15" s="7" t="s">
        <v>107</v>
      </c>
      <c r="Y15" s="7" t="s">
        <v>107</v>
      </c>
      <c r="Z15" s="12">
        <v>-0.98649960000000003</v>
      </c>
      <c r="AA15" s="12">
        <v>59.799824700000002</v>
      </c>
      <c r="AB15" s="12">
        <v>10.9949911</v>
      </c>
      <c r="AC15" s="12">
        <v>17.548296199999999</v>
      </c>
      <c r="AD15" s="12">
        <v>48.598593200000003</v>
      </c>
      <c r="AE15" s="12">
        <v>45.927362299999999</v>
      </c>
      <c r="AF15" s="12">
        <v>66.039984099999998</v>
      </c>
      <c r="AG15" s="7" t="s">
        <v>107</v>
      </c>
    </row>
    <row r="16" spans="1:33" s="11" customFormat="1" outlineLevel="1" x14ac:dyDescent="0.3">
      <c r="A16" s="11" t="s">
        <v>22</v>
      </c>
      <c r="B16" s="12">
        <v>2.8994336000000001</v>
      </c>
      <c r="C16" s="12">
        <v>75.3</v>
      </c>
      <c r="D16" s="12">
        <v>2.2218200000000001</v>
      </c>
      <c r="E16" s="17">
        <v>4.75</v>
      </c>
      <c r="F16" s="13">
        <v>29.7233333</v>
      </c>
      <c r="G16" s="7" t="s">
        <v>107</v>
      </c>
      <c r="H16" s="7" t="s">
        <v>107</v>
      </c>
      <c r="I16" s="12">
        <v>-6.5043158999999999</v>
      </c>
      <c r="J16" s="7" t="s">
        <v>107</v>
      </c>
      <c r="K16" s="7" t="s">
        <v>107</v>
      </c>
      <c r="L16" s="7" t="s">
        <v>107</v>
      </c>
      <c r="M16" s="7" t="s">
        <v>107</v>
      </c>
      <c r="N16" s="7" t="s">
        <v>107</v>
      </c>
      <c r="O16" s="7" t="s">
        <v>107</v>
      </c>
      <c r="P16" s="7" t="s">
        <v>107</v>
      </c>
      <c r="Q16" s="7" t="s">
        <v>107</v>
      </c>
      <c r="R16" s="7" t="s">
        <v>107</v>
      </c>
      <c r="S16" s="7" t="s">
        <v>107</v>
      </c>
      <c r="T16" s="12">
        <v>14</v>
      </c>
      <c r="U16" s="12">
        <v>32.488760999999997</v>
      </c>
      <c r="V16" s="12">
        <v>127.7066667</v>
      </c>
      <c r="W16" s="7" t="s">
        <v>107</v>
      </c>
      <c r="X16" s="7" t="s">
        <v>107</v>
      </c>
      <c r="Y16" s="7" t="s">
        <v>107</v>
      </c>
      <c r="Z16" s="12">
        <v>3.1792804000000001</v>
      </c>
      <c r="AA16" s="12">
        <v>59.010412100000003</v>
      </c>
      <c r="AB16" s="12">
        <v>14.7414931</v>
      </c>
      <c r="AC16" s="12">
        <v>20.483259400000001</v>
      </c>
      <c r="AD16" s="12">
        <v>62.690124400000002</v>
      </c>
      <c r="AE16" s="12">
        <v>52.751787800000002</v>
      </c>
      <c r="AF16" s="12">
        <v>78.122339800000006</v>
      </c>
      <c r="AG16" s="12">
        <v>25.478867699999999</v>
      </c>
    </row>
    <row r="17" spans="1:33" s="11" customFormat="1" outlineLevel="1" x14ac:dyDescent="0.3">
      <c r="A17" s="11" t="s">
        <v>23</v>
      </c>
      <c r="B17" s="12">
        <v>3.0047543999999999</v>
      </c>
      <c r="C17" s="12">
        <v>75.393333299999995</v>
      </c>
      <c r="D17" s="12">
        <v>1.8966527</v>
      </c>
      <c r="E17" s="17">
        <v>4.75</v>
      </c>
      <c r="F17" s="13">
        <v>25.873333299999999</v>
      </c>
      <c r="G17" s="12">
        <v>23.778565199999999</v>
      </c>
      <c r="H17" s="12">
        <v>78.378217599999999</v>
      </c>
      <c r="I17" s="12">
        <v>13.0613958</v>
      </c>
      <c r="J17" s="12">
        <v>11.2</v>
      </c>
      <c r="K17" s="7" t="s">
        <v>107</v>
      </c>
      <c r="L17" s="7" t="s">
        <v>107</v>
      </c>
      <c r="M17" s="7" t="s">
        <v>107</v>
      </c>
      <c r="N17" s="7" t="s">
        <v>107</v>
      </c>
      <c r="O17" s="7" t="s">
        <v>107</v>
      </c>
      <c r="P17" s="7">
        <v>6221.9</v>
      </c>
      <c r="Q17" s="7">
        <v>902.4</v>
      </c>
      <c r="R17" s="7">
        <v>12.7</v>
      </c>
      <c r="S17" s="7" t="s">
        <v>107</v>
      </c>
      <c r="T17" s="12">
        <v>12.5</v>
      </c>
      <c r="U17" s="12">
        <v>33.526466200000002</v>
      </c>
      <c r="V17" s="12">
        <v>136.8233333</v>
      </c>
      <c r="W17" s="7" t="s">
        <v>107</v>
      </c>
      <c r="X17" s="7" t="s">
        <v>107</v>
      </c>
      <c r="Y17" s="7" t="s">
        <v>107</v>
      </c>
      <c r="Z17" s="12">
        <v>2.7104862999999999</v>
      </c>
      <c r="AA17" s="12">
        <v>55.361815900000003</v>
      </c>
      <c r="AB17" s="12">
        <v>11.1182886</v>
      </c>
      <c r="AC17" s="12">
        <v>23.980705700000001</v>
      </c>
      <c r="AD17" s="12">
        <v>56.876631600000003</v>
      </c>
      <c r="AE17" s="12">
        <v>49.507504099999998</v>
      </c>
      <c r="AF17" s="12">
        <v>98.092801499999993</v>
      </c>
      <c r="AG17" s="7" t="s">
        <v>107</v>
      </c>
    </row>
    <row r="18" spans="1:33" s="11" customFormat="1" outlineLevel="1" x14ac:dyDescent="0.3">
      <c r="A18" s="11" t="s">
        <v>24</v>
      </c>
      <c r="B18" s="12">
        <v>2.2522867999999998</v>
      </c>
      <c r="C18" s="12">
        <v>76.483333299999998</v>
      </c>
      <c r="D18" s="12">
        <v>2.6713800000000001</v>
      </c>
      <c r="E18" s="17">
        <v>4.5833332999999996</v>
      </c>
      <c r="F18" s="13">
        <v>27.273333300000001</v>
      </c>
      <c r="G18" s="12">
        <v>39.5016879</v>
      </c>
      <c r="H18" s="12">
        <v>11.4734634</v>
      </c>
      <c r="I18" s="12">
        <v>-4.4513661999999998</v>
      </c>
      <c r="J18" s="12">
        <v>13.191076300000001</v>
      </c>
      <c r="K18" s="7" t="s">
        <v>107</v>
      </c>
      <c r="L18" s="7" t="s">
        <v>107</v>
      </c>
      <c r="M18" s="7" t="s">
        <v>107</v>
      </c>
      <c r="N18" s="7" t="s">
        <v>107</v>
      </c>
      <c r="O18" s="7" t="s">
        <v>107</v>
      </c>
      <c r="P18" s="7">
        <v>6880.4219999999996</v>
      </c>
      <c r="Q18" s="7">
        <v>746.4</v>
      </c>
      <c r="R18" s="7">
        <v>9.8000000000000007</v>
      </c>
      <c r="S18" s="7" t="s">
        <v>107</v>
      </c>
      <c r="T18" s="12">
        <v>12</v>
      </c>
      <c r="U18" s="12">
        <v>34.098964199999998</v>
      </c>
      <c r="V18" s="12">
        <v>128.6733333</v>
      </c>
      <c r="W18" s="7" t="s">
        <v>107</v>
      </c>
      <c r="X18" s="7" t="s">
        <v>107</v>
      </c>
      <c r="Y18" s="7" t="s">
        <v>107</v>
      </c>
      <c r="Z18" s="12">
        <v>-7.2582338000000002</v>
      </c>
      <c r="AA18" s="12">
        <v>51.087114200000002</v>
      </c>
      <c r="AB18" s="12">
        <v>13.573172</v>
      </c>
      <c r="AC18" s="12">
        <v>27.2887667</v>
      </c>
      <c r="AD18" s="12">
        <v>49.9816188</v>
      </c>
      <c r="AE18" s="12">
        <v>51.787348799999997</v>
      </c>
      <c r="AF18" s="12">
        <v>108.02149300000001</v>
      </c>
      <c r="AG18" s="7" t="s">
        <v>107</v>
      </c>
    </row>
    <row r="19" spans="1:33" s="11" customFormat="1" outlineLevel="1" x14ac:dyDescent="0.3">
      <c r="A19" s="11" t="s">
        <v>25</v>
      </c>
      <c r="B19" s="12">
        <v>1.8991327</v>
      </c>
      <c r="C19" s="12">
        <v>76.516666700000002</v>
      </c>
      <c r="D19" s="12">
        <v>2.2676647000000001</v>
      </c>
      <c r="E19" s="17">
        <v>4.1666667000000004</v>
      </c>
      <c r="F19" s="13">
        <v>25.303333299999998</v>
      </c>
      <c r="G19" s="12">
        <v>25.311875799999999</v>
      </c>
      <c r="H19" s="12">
        <v>2.0187225999999998</v>
      </c>
      <c r="I19" s="12">
        <v>-0.93483720000000003</v>
      </c>
      <c r="J19" s="12">
        <v>14.065127499999999</v>
      </c>
      <c r="K19" s="7" t="s">
        <v>107</v>
      </c>
      <c r="L19" s="7" t="s">
        <v>107</v>
      </c>
      <c r="M19" s="7" t="s">
        <v>107</v>
      </c>
      <c r="N19" s="7" t="s">
        <v>107</v>
      </c>
      <c r="O19" s="7" t="s">
        <v>107</v>
      </c>
      <c r="P19" s="7">
        <v>7049.2089999999998</v>
      </c>
      <c r="Q19" s="7">
        <v>715.1</v>
      </c>
      <c r="R19" s="7">
        <v>9.1999999999999993</v>
      </c>
      <c r="S19" s="7" t="s">
        <v>107</v>
      </c>
      <c r="T19" s="12">
        <v>11</v>
      </c>
      <c r="U19" s="12">
        <v>34.155636899999998</v>
      </c>
      <c r="V19" s="12">
        <v>130.96666669999999</v>
      </c>
      <c r="W19" s="7" t="s">
        <v>107</v>
      </c>
      <c r="X19" s="7" t="s">
        <v>107</v>
      </c>
      <c r="Y19" s="7" t="s">
        <v>107</v>
      </c>
      <c r="Z19" s="12">
        <v>-6.8848091</v>
      </c>
      <c r="AA19" s="12">
        <v>60.055602100000002</v>
      </c>
      <c r="AB19" s="12">
        <v>11.4671387</v>
      </c>
      <c r="AC19" s="12">
        <v>23.933207700000001</v>
      </c>
      <c r="AD19" s="12">
        <v>38.474049399999998</v>
      </c>
      <c r="AE19" s="12">
        <v>40.902718900000004</v>
      </c>
      <c r="AF19" s="12">
        <v>125.58009730000001</v>
      </c>
      <c r="AG19" s="7" t="s">
        <v>107</v>
      </c>
    </row>
    <row r="20" spans="1:33" s="11" customFormat="1" outlineLevel="1" x14ac:dyDescent="0.3">
      <c r="A20" s="11" t="s">
        <v>26</v>
      </c>
      <c r="B20" s="12">
        <v>1.4300580000000001</v>
      </c>
      <c r="C20" s="12">
        <v>76.746666700000006</v>
      </c>
      <c r="D20" s="12">
        <v>1.9212041</v>
      </c>
      <c r="E20" s="17">
        <v>3.4166666999999999</v>
      </c>
      <c r="F20" s="13">
        <v>19.350000000000001</v>
      </c>
      <c r="G20" s="12">
        <v>17.875173799999999</v>
      </c>
      <c r="H20" s="12">
        <v>19.530637500000001</v>
      </c>
      <c r="I20" s="12">
        <v>-6.1212432000000003</v>
      </c>
      <c r="J20" s="12">
        <v>14.7901402</v>
      </c>
      <c r="K20" s="7" t="s">
        <v>107</v>
      </c>
      <c r="L20" s="7" t="s">
        <v>107</v>
      </c>
      <c r="M20" s="7" t="s">
        <v>107</v>
      </c>
      <c r="N20" s="7" t="s">
        <v>107</v>
      </c>
      <c r="O20" s="7" t="s">
        <v>107</v>
      </c>
      <c r="P20" s="7">
        <v>6644.68</v>
      </c>
      <c r="Q20" s="7">
        <v>757.7</v>
      </c>
      <c r="R20" s="7">
        <v>10.199999999999999</v>
      </c>
      <c r="S20" s="7" t="s">
        <v>107</v>
      </c>
      <c r="T20" s="12">
        <v>9</v>
      </c>
      <c r="U20" s="12">
        <v>34.763033900000003</v>
      </c>
      <c r="V20" s="12">
        <v>133.1333333</v>
      </c>
      <c r="W20" s="7" t="s">
        <v>107</v>
      </c>
      <c r="X20" s="7" t="s">
        <v>107</v>
      </c>
      <c r="Y20" s="7" t="s">
        <v>107</v>
      </c>
      <c r="Z20" s="12">
        <v>-11.582801399999999</v>
      </c>
      <c r="AA20" s="12">
        <v>63.857672100000002</v>
      </c>
      <c r="AB20" s="12">
        <v>17.263988000000001</v>
      </c>
      <c r="AC20" s="12">
        <v>32.097156499999997</v>
      </c>
      <c r="AD20" s="12">
        <v>42.299069699999997</v>
      </c>
      <c r="AE20" s="12">
        <v>47.443625099999998</v>
      </c>
      <c r="AF20" s="12">
        <v>110.3843791</v>
      </c>
      <c r="AG20" s="12">
        <v>20.383451399999998</v>
      </c>
    </row>
    <row r="21" spans="1:33" s="11" customFormat="1" outlineLevel="1" x14ac:dyDescent="0.3">
      <c r="A21" s="11" t="s">
        <v>27</v>
      </c>
      <c r="B21" s="12">
        <v>7.1740499999999999E-2</v>
      </c>
      <c r="C21" s="12">
        <v>77.180000000000007</v>
      </c>
      <c r="D21" s="12">
        <v>2.3697940000000002</v>
      </c>
      <c r="E21" s="17">
        <v>3.25</v>
      </c>
      <c r="F21" s="13">
        <v>21.1333333</v>
      </c>
      <c r="G21" s="12">
        <v>15.349369100000001</v>
      </c>
      <c r="H21" s="12">
        <v>-16.7272502</v>
      </c>
      <c r="I21" s="12">
        <v>3.8135428999999998</v>
      </c>
      <c r="J21" s="12">
        <v>10.5</v>
      </c>
      <c r="K21" s="7" t="s">
        <v>107</v>
      </c>
      <c r="L21" s="7" t="s">
        <v>107</v>
      </c>
      <c r="M21" s="7" t="s">
        <v>107</v>
      </c>
      <c r="N21" s="7" t="s">
        <v>107</v>
      </c>
      <c r="O21" s="7" t="s">
        <v>107</v>
      </c>
      <c r="P21" s="7">
        <v>6402.9930000000004</v>
      </c>
      <c r="Q21" s="7">
        <v>778.6</v>
      </c>
      <c r="R21" s="7">
        <v>10.8</v>
      </c>
      <c r="S21" s="7" t="s">
        <v>107</v>
      </c>
      <c r="T21" s="12">
        <v>8</v>
      </c>
      <c r="U21" s="12">
        <v>35.438032399999997</v>
      </c>
      <c r="V21" s="12">
        <v>133.11000000000001</v>
      </c>
      <c r="W21" s="7" t="s">
        <v>107</v>
      </c>
      <c r="X21" s="7" t="s">
        <v>107</v>
      </c>
      <c r="Y21" s="7" t="s">
        <v>107</v>
      </c>
      <c r="Z21" s="12">
        <v>0.66841150000000005</v>
      </c>
      <c r="AA21" s="12">
        <v>64.380287600000003</v>
      </c>
      <c r="AB21" s="12">
        <v>12.9608861</v>
      </c>
      <c r="AC21" s="12">
        <v>29.429071400000002</v>
      </c>
      <c r="AD21" s="12">
        <v>48.214870500000004</v>
      </c>
      <c r="AE21" s="12">
        <v>44.606113899999997</v>
      </c>
      <c r="AF21" s="12">
        <v>88.845837700000004</v>
      </c>
      <c r="AG21" s="7" t="s">
        <v>107</v>
      </c>
    </row>
    <row r="22" spans="1:33" s="11" customFormat="1" outlineLevel="1" x14ac:dyDescent="0.3">
      <c r="A22" s="11" t="s">
        <v>28</v>
      </c>
      <c r="B22" s="12">
        <v>1.2490021</v>
      </c>
      <c r="C22" s="12">
        <v>77.933333300000001</v>
      </c>
      <c r="D22" s="12">
        <v>1.8958379000000001</v>
      </c>
      <c r="E22" s="17">
        <v>3.25</v>
      </c>
      <c r="F22" s="13">
        <v>25.053333299999998</v>
      </c>
      <c r="G22" s="12">
        <v>6.7777031000000001</v>
      </c>
      <c r="H22" s="12">
        <v>22.359534199999999</v>
      </c>
      <c r="I22" s="12">
        <v>-1.3315513999999999</v>
      </c>
      <c r="J22" s="12">
        <v>8.3083980000000004</v>
      </c>
      <c r="K22" s="7" t="s">
        <v>107</v>
      </c>
      <c r="L22" s="7" t="s">
        <v>107</v>
      </c>
      <c r="M22" s="7" t="s">
        <v>107</v>
      </c>
      <c r="N22" s="7" t="s">
        <v>107</v>
      </c>
      <c r="O22" s="7" t="s">
        <v>107</v>
      </c>
      <c r="P22" s="7">
        <v>6836.26</v>
      </c>
      <c r="Q22" s="7">
        <v>679.6</v>
      </c>
      <c r="R22" s="7">
        <v>9</v>
      </c>
      <c r="S22" s="7" t="s">
        <v>107</v>
      </c>
      <c r="T22" s="12">
        <v>8</v>
      </c>
      <c r="U22" s="12">
        <v>35.972467700000003</v>
      </c>
      <c r="V22" s="12">
        <v>139.71</v>
      </c>
      <c r="W22" s="7" t="s">
        <v>107</v>
      </c>
      <c r="X22" s="7" t="s">
        <v>107</v>
      </c>
      <c r="Y22" s="7" t="s">
        <v>107</v>
      </c>
      <c r="Z22" s="12">
        <v>-5.0520712999999997</v>
      </c>
      <c r="AA22" s="12">
        <v>52.730521799999998</v>
      </c>
      <c r="AB22" s="12">
        <v>12.1176064</v>
      </c>
      <c r="AC22" s="12">
        <v>27.402709399999999</v>
      </c>
      <c r="AD22" s="12">
        <v>47.176437900000003</v>
      </c>
      <c r="AE22" s="12">
        <v>48.718388500000003</v>
      </c>
      <c r="AF22" s="12">
        <v>85.027675299999999</v>
      </c>
      <c r="AG22" s="7" t="s">
        <v>107</v>
      </c>
    </row>
    <row r="23" spans="1:33" s="11" customFormat="1" outlineLevel="1" x14ac:dyDescent="0.3">
      <c r="A23" s="11" t="s">
        <v>29</v>
      </c>
      <c r="B23" s="12">
        <v>1.6677649999999999</v>
      </c>
      <c r="C23" s="12">
        <v>77.973333299999993</v>
      </c>
      <c r="D23" s="12">
        <v>1.9037246000000001</v>
      </c>
      <c r="E23" s="17">
        <v>3.25</v>
      </c>
      <c r="F23" s="13">
        <v>26.93</v>
      </c>
      <c r="G23" s="12">
        <v>15.2254807</v>
      </c>
      <c r="H23" s="12">
        <v>32.064794800000001</v>
      </c>
      <c r="I23" s="12">
        <v>1.6116306</v>
      </c>
      <c r="J23" s="12">
        <v>9.6524321000000004</v>
      </c>
      <c r="K23" s="7" t="s">
        <v>107</v>
      </c>
      <c r="L23" s="7" t="s">
        <v>107</v>
      </c>
      <c r="M23" s="7" t="s">
        <v>107</v>
      </c>
      <c r="N23" s="7" t="s">
        <v>107</v>
      </c>
      <c r="O23" s="7" t="s">
        <v>107</v>
      </c>
      <c r="P23" s="7">
        <v>6952.1850000000004</v>
      </c>
      <c r="Q23" s="7">
        <v>625.1</v>
      </c>
      <c r="R23" s="7">
        <v>8.3000000000000007</v>
      </c>
      <c r="S23" s="7" t="s">
        <v>107</v>
      </c>
      <c r="T23" s="12">
        <v>8</v>
      </c>
      <c r="U23" s="12">
        <v>36.356094200000001</v>
      </c>
      <c r="V23" s="12">
        <v>151.79</v>
      </c>
      <c r="W23" s="7" t="s">
        <v>107</v>
      </c>
      <c r="X23" s="7" t="s">
        <v>107</v>
      </c>
      <c r="Y23" s="7" t="s">
        <v>107</v>
      </c>
      <c r="Z23" s="12">
        <v>-6.7255380000000002</v>
      </c>
      <c r="AA23" s="12">
        <v>54.484290999999999</v>
      </c>
      <c r="AB23" s="12">
        <v>9.7603787000000004</v>
      </c>
      <c r="AC23" s="12">
        <v>27.3460289</v>
      </c>
      <c r="AD23" s="12">
        <v>42.971365599999999</v>
      </c>
      <c r="AE23" s="12">
        <v>45.639638400000003</v>
      </c>
      <c r="AF23" s="12">
        <v>73.739837399999999</v>
      </c>
      <c r="AG23" s="7" t="s">
        <v>107</v>
      </c>
    </row>
    <row r="24" spans="1:33" s="11" customFormat="1" outlineLevel="1" x14ac:dyDescent="0.3">
      <c r="A24" s="11" t="s">
        <v>30</v>
      </c>
      <c r="B24" s="12">
        <v>1.208337</v>
      </c>
      <c r="C24" s="12">
        <v>78.4033333</v>
      </c>
      <c r="D24" s="12">
        <v>2.158617</v>
      </c>
      <c r="E24" s="17">
        <v>3.0833333000000001</v>
      </c>
      <c r="F24" s="13">
        <v>26.736666700000001</v>
      </c>
      <c r="G24" s="12">
        <v>7.0041127999999997</v>
      </c>
      <c r="H24" s="12">
        <v>11.0138792</v>
      </c>
      <c r="I24" s="12">
        <v>-4.6355240999999996</v>
      </c>
      <c r="J24" s="12">
        <v>10.5377302</v>
      </c>
      <c r="K24" s="7" t="s">
        <v>107</v>
      </c>
      <c r="L24" s="7" t="s">
        <v>107</v>
      </c>
      <c r="M24" s="7" t="s">
        <v>107</v>
      </c>
      <c r="N24" s="7" t="s">
        <v>107</v>
      </c>
      <c r="O24" s="7" t="s">
        <v>107</v>
      </c>
      <c r="P24" s="7">
        <v>6646.7790000000005</v>
      </c>
      <c r="Q24" s="7">
        <v>679.56799999999998</v>
      </c>
      <c r="R24" s="7">
        <v>9.3000000000000007</v>
      </c>
      <c r="S24" s="7" t="s">
        <v>107</v>
      </c>
      <c r="T24" s="12">
        <v>7.5</v>
      </c>
      <c r="U24" s="12">
        <v>36.978020600000001</v>
      </c>
      <c r="V24" s="12">
        <v>154.12666669999999</v>
      </c>
      <c r="W24" s="7" t="s">
        <v>107</v>
      </c>
      <c r="X24" s="7" t="s">
        <v>107</v>
      </c>
      <c r="Y24" s="7" t="s">
        <v>107</v>
      </c>
      <c r="Z24" s="12">
        <v>-4.1953404000000001</v>
      </c>
      <c r="AA24" s="12">
        <v>49.193407399999998</v>
      </c>
      <c r="AB24" s="12">
        <v>12.148637900000001</v>
      </c>
      <c r="AC24" s="12">
        <v>25.537078000000001</v>
      </c>
      <c r="AD24" s="12">
        <v>50.265043800000001</v>
      </c>
      <c r="AE24" s="12">
        <v>48.8304975</v>
      </c>
      <c r="AF24" s="12">
        <v>90.212558799999996</v>
      </c>
      <c r="AG24" s="12">
        <v>17.651067900000001</v>
      </c>
    </row>
    <row r="25" spans="1:33" s="11" customFormat="1" outlineLevel="1" x14ac:dyDescent="0.3">
      <c r="A25" s="11" t="s">
        <v>31</v>
      </c>
      <c r="B25" s="12">
        <v>1.0748135000000001</v>
      </c>
      <c r="C25" s="12">
        <v>78.856666700000005</v>
      </c>
      <c r="D25" s="12">
        <v>2.1724109</v>
      </c>
      <c r="E25" s="17">
        <v>2.6666666999999999</v>
      </c>
      <c r="F25" s="13">
        <v>31.52</v>
      </c>
      <c r="G25" s="12">
        <v>37.406589500000003</v>
      </c>
      <c r="H25" s="12">
        <v>54.611195000000002</v>
      </c>
      <c r="I25" s="12">
        <v>7.2877828999999998</v>
      </c>
      <c r="J25" s="12">
        <v>11</v>
      </c>
      <c r="K25" s="7" t="s">
        <v>107</v>
      </c>
      <c r="L25" s="7" t="s">
        <v>107</v>
      </c>
      <c r="M25" s="7" t="s">
        <v>107</v>
      </c>
      <c r="N25" s="7" t="s">
        <v>107</v>
      </c>
      <c r="O25" s="7" t="s">
        <v>107</v>
      </c>
      <c r="P25" s="7">
        <v>6545.2</v>
      </c>
      <c r="Q25" s="7">
        <v>699.3</v>
      </c>
      <c r="R25" s="7">
        <v>9.6999999999999993</v>
      </c>
      <c r="S25" s="7" t="s">
        <v>107</v>
      </c>
      <c r="T25" s="12">
        <v>7.5</v>
      </c>
      <c r="U25" s="12">
        <v>37.983068000000003</v>
      </c>
      <c r="V25" s="12">
        <v>164.80333329999999</v>
      </c>
      <c r="W25" s="7" t="s">
        <v>107</v>
      </c>
      <c r="X25" s="7" t="s">
        <v>107</v>
      </c>
      <c r="Y25" s="7" t="s">
        <v>107</v>
      </c>
      <c r="Z25" s="12">
        <v>7.5773954000000003</v>
      </c>
      <c r="AA25" s="12">
        <v>54.271274400000003</v>
      </c>
      <c r="AB25" s="12">
        <v>10.904374000000001</v>
      </c>
      <c r="AC25" s="12">
        <v>20.4255283</v>
      </c>
      <c r="AD25" s="12">
        <v>57.622436200000003</v>
      </c>
      <c r="AE25" s="12">
        <v>43.6702029</v>
      </c>
      <c r="AF25" s="12">
        <v>100.4694106</v>
      </c>
      <c r="AG25" s="7" t="s">
        <v>107</v>
      </c>
    </row>
    <row r="26" spans="1:33" s="11" customFormat="1" outlineLevel="1" x14ac:dyDescent="0.3">
      <c r="A26" s="11" t="s">
        <v>32</v>
      </c>
      <c r="B26" s="12">
        <v>0.33264589999999999</v>
      </c>
      <c r="C26" s="12">
        <v>79.37</v>
      </c>
      <c r="D26" s="12">
        <v>1.843456</v>
      </c>
      <c r="E26" s="17">
        <v>2.3333333000000001</v>
      </c>
      <c r="F26" s="13">
        <v>26.17</v>
      </c>
      <c r="G26" s="12">
        <v>26.999211899999999</v>
      </c>
      <c r="H26" s="12">
        <v>22.192875699999998</v>
      </c>
      <c r="I26" s="12">
        <v>-2.3840941999999998</v>
      </c>
      <c r="J26" s="12">
        <v>10.197640699999999</v>
      </c>
      <c r="K26" s="7" t="s">
        <v>107</v>
      </c>
      <c r="L26" s="7" t="s">
        <v>107</v>
      </c>
      <c r="M26" s="7" t="s">
        <v>107</v>
      </c>
      <c r="N26" s="7" t="s">
        <v>107</v>
      </c>
      <c r="O26" s="7" t="s">
        <v>107</v>
      </c>
      <c r="P26" s="7">
        <v>7107.7</v>
      </c>
      <c r="Q26" s="7">
        <v>671.7</v>
      </c>
      <c r="R26" s="7">
        <v>8.6</v>
      </c>
      <c r="S26" s="7" t="s">
        <v>107</v>
      </c>
      <c r="T26" s="12">
        <v>7.5</v>
      </c>
      <c r="U26" s="12">
        <v>38.312891700000002</v>
      </c>
      <c r="V26" s="12">
        <v>170.52</v>
      </c>
      <c r="W26" s="7" t="s">
        <v>107</v>
      </c>
      <c r="X26" s="7" t="s">
        <v>107</v>
      </c>
      <c r="Y26" s="7" t="s">
        <v>107</v>
      </c>
      <c r="Z26" s="12">
        <v>-2.7857386000000002</v>
      </c>
      <c r="AA26" s="12">
        <v>54.2990797</v>
      </c>
      <c r="AB26" s="12">
        <v>13.291320600000001</v>
      </c>
      <c r="AC26" s="12">
        <v>26.729585199999999</v>
      </c>
      <c r="AD26" s="12">
        <v>48.467596899999997</v>
      </c>
      <c r="AE26" s="12">
        <v>44.588707499999998</v>
      </c>
      <c r="AF26" s="12">
        <v>103.6471057</v>
      </c>
      <c r="AG26" s="7" t="s">
        <v>107</v>
      </c>
    </row>
    <row r="27" spans="1:33" s="11" customFormat="1" outlineLevel="1" x14ac:dyDescent="0.3">
      <c r="A27" s="11" t="s">
        <v>33</v>
      </c>
      <c r="B27" s="12">
        <v>0.71308099999999996</v>
      </c>
      <c r="C27" s="12">
        <v>79.47</v>
      </c>
      <c r="D27" s="12">
        <v>1.9194597</v>
      </c>
      <c r="E27" s="17">
        <v>2</v>
      </c>
      <c r="F27" s="13">
        <v>28.45</v>
      </c>
      <c r="G27" s="12">
        <v>49.403586799999999</v>
      </c>
      <c r="H27" s="12">
        <v>17.146636000000001</v>
      </c>
      <c r="I27" s="12">
        <v>-3.3683200000000002</v>
      </c>
      <c r="J27" s="12">
        <v>8.6453325999999997</v>
      </c>
      <c r="K27" s="7" t="s">
        <v>107</v>
      </c>
      <c r="L27" s="7" t="s">
        <v>107</v>
      </c>
      <c r="M27" s="7" t="s">
        <v>107</v>
      </c>
      <c r="N27" s="7" t="s">
        <v>107</v>
      </c>
      <c r="O27" s="7" t="s">
        <v>107</v>
      </c>
      <c r="P27" s="7">
        <v>7228.7</v>
      </c>
      <c r="Q27" s="7">
        <v>641.9</v>
      </c>
      <c r="R27" s="7">
        <v>8.1999999999999993</v>
      </c>
      <c r="S27" s="7" t="s">
        <v>107</v>
      </c>
      <c r="T27" s="12">
        <v>7</v>
      </c>
      <c r="U27" s="12">
        <v>38.453563899999999</v>
      </c>
      <c r="V27" s="12">
        <v>165.59333330000001</v>
      </c>
      <c r="W27" s="7" t="s">
        <v>107</v>
      </c>
      <c r="X27" s="7" t="s">
        <v>107</v>
      </c>
      <c r="Y27" s="7" t="s">
        <v>107</v>
      </c>
      <c r="Z27" s="12">
        <v>-0.89495959999999997</v>
      </c>
      <c r="AA27" s="12">
        <v>53.196640899999998</v>
      </c>
      <c r="AB27" s="12">
        <v>10.012361500000001</v>
      </c>
      <c r="AC27" s="12">
        <v>26.418154999999999</v>
      </c>
      <c r="AD27" s="12">
        <v>43.047446800000003</v>
      </c>
      <c r="AE27" s="12">
        <v>38.981821199999999</v>
      </c>
      <c r="AF27" s="12">
        <v>111.8532685</v>
      </c>
      <c r="AG27" s="7" t="s">
        <v>107</v>
      </c>
    </row>
    <row r="28" spans="1:33" s="11" customFormat="1" outlineLevel="1" x14ac:dyDescent="0.3">
      <c r="A28" s="11" t="s">
        <v>34</v>
      </c>
      <c r="B28" s="12">
        <v>1.3127310999999999</v>
      </c>
      <c r="C28" s="12">
        <v>79.913333300000005</v>
      </c>
      <c r="D28" s="12">
        <v>1.9259385</v>
      </c>
      <c r="E28" s="17">
        <v>2</v>
      </c>
      <c r="F28" s="13">
        <v>29.39</v>
      </c>
      <c r="G28" s="12">
        <v>7.8855566000000001</v>
      </c>
      <c r="H28" s="12">
        <v>10.2600257</v>
      </c>
      <c r="I28" s="12">
        <v>-3.5707840000000002</v>
      </c>
      <c r="J28" s="12">
        <v>8.1454725000000003</v>
      </c>
      <c r="K28" s="7" t="s">
        <v>107</v>
      </c>
      <c r="L28" s="7" t="s">
        <v>107</v>
      </c>
      <c r="M28" s="7" t="s">
        <v>107</v>
      </c>
      <c r="N28" s="7" t="s">
        <v>107</v>
      </c>
      <c r="O28" s="7" t="s">
        <v>107</v>
      </c>
      <c r="P28" s="7">
        <v>6991.6</v>
      </c>
      <c r="Q28" s="7">
        <v>669.5</v>
      </c>
      <c r="R28" s="7">
        <v>8.6999999999999993</v>
      </c>
      <c r="S28" s="7" t="s">
        <v>107</v>
      </c>
      <c r="T28" s="12">
        <v>7</v>
      </c>
      <c r="U28" s="12">
        <v>39.619179199999998</v>
      </c>
      <c r="V28" s="12">
        <v>174.24666669999999</v>
      </c>
      <c r="W28" s="7" t="s">
        <v>107</v>
      </c>
      <c r="X28" s="7" t="s">
        <v>107</v>
      </c>
      <c r="Y28" s="7" t="s">
        <v>107</v>
      </c>
      <c r="Z28" s="12">
        <v>-5.3666814</v>
      </c>
      <c r="AA28" s="12">
        <v>56.152748299999999</v>
      </c>
      <c r="AB28" s="12">
        <v>11.1282908</v>
      </c>
      <c r="AC28" s="12">
        <v>28.0508016</v>
      </c>
      <c r="AD28" s="12">
        <v>47.1136865</v>
      </c>
      <c r="AE28" s="12">
        <v>45.554428600000001</v>
      </c>
      <c r="AF28" s="12">
        <v>107.7711809</v>
      </c>
      <c r="AG28" s="12">
        <v>14.962509300000001</v>
      </c>
    </row>
    <row r="29" spans="1:33" s="11" customFormat="1" outlineLevel="1" x14ac:dyDescent="0.3">
      <c r="A29" s="11" t="s">
        <v>35</v>
      </c>
      <c r="B29" s="12">
        <v>2.4350660999999998</v>
      </c>
      <c r="C29" s="12">
        <v>80.113333299999994</v>
      </c>
      <c r="D29" s="12">
        <v>1.5936086</v>
      </c>
      <c r="E29" s="17">
        <v>2</v>
      </c>
      <c r="F29" s="13">
        <v>31.923333299999999</v>
      </c>
      <c r="G29" s="12">
        <v>31.827839300000001</v>
      </c>
      <c r="H29" s="12">
        <v>7.0068973999999997</v>
      </c>
      <c r="I29" s="12">
        <v>1.907783</v>
      </c>
      <c r="J29" s="12">
        <v>9</v>
      </c>
      <c r="K29" s="7" t="s">
        <v>107</v>
      </c>
      <c r="L29" s="7" t="s">
        <v>107</v>
      </c>
      <c r="M29" s="7" t="s">
        <v>107</v>
      </c>
      <c r="N29" s="7" t="s">
        <v>107</v>
      </c>
      <c r="O29" s="7" t="s">
        <v>107</v>
      </c>
      <c r="P29" s="7">
        <v>7004.8</v>
      </c>
      <c r="Q29" s="7">
        <v>685.8</v>
      </c>
      <c r="R29" s="7">
        <v>8.9</v>
      </c>
      <c r="S29" s="7" t="s">
        <v>107</v>
      </c>
      <c r="T29" s="12">
        <v>7</v>
      </c>
      <c r="U29" s="12">
        <v>40.534886700000001</v>
      </c>
      <c r="V29" s="12">
        <v>174.94</v>
      </c>
      <c r="W29" s="7" t="s">
        <v>107</v>
      </c>
      <c r="X29" s="7" t="s">
        <v>107</v>
      </c>
      <c r="Y29" s="7" t="s">
        <v>107</v>
      </c>
      <c r="Z29" s="12">
        <v>2.9910679</v>
      </c>
      <c r="AA29" s="12">
        <v>52.822996400000001</v>
      </c>
      <c r="AB29" s="12">
        <v>10.390307399999999</v>
      </c>
      <c r="AC29" s="12">
        <v>22.962174900000001</v>
      </c>
      <c r="AD29" s="12">
        <v>51.092668699999997</v>
      </c>
      <c r="AE29" s="12">
        <v>41.798177799999998</v>
      </c>
      <c r="AF29" s="12">
        <v>117.7942841</v>
      </c>
      <c r="AG29" s="7" t="s">
        <v>107</v>
      </c>
    </row>
    <row r="30" spans="1:33" s="11" customFormat="1" outlineLevel="1" x14ac:dyDescent="0.3">
      <c r="A30" s="11" t="s">
        <v>36</v>
      </c>
      <c r="B30" s="12">
        <v>2.9592486</v>
      </c>
      <c r="C30" s="12">
        <v>81.069999999999993</v>
      </c>
      <c r="D30" s="12">
        <v>2.1418672000000001</v>
      </c>
      <c r="E30" s="17">
        <v>2</v>
      </c>
      <c r="F30" s="13">
        <v>35.446666700000002</v>
      </c>
      <c r="G30" s="12">
        <v>17.8354006</v>
      </c>
      <c r="H30" s="12">
        <v>34.3575442</v>
      </c>
      <c r="I30" s="12">
        <v>0.79756959999999999</v>
      </c>
      <c r="J30" s="12">
        <v>9.2009574999999995</v>
      </c>
      <c r="K30" s="7" t="s">
        <v>107</v>
      </c>
      <c r="L30" s="7" t="s">
        <v>107</v>
      </c>
      <c r="M30" s="7" t="s">
        <v>107</v>
      </c>
      <c r="N30" s="7" t="s">
        <v>107</v>
      </c>
      <c r="O30" s="7" t="s">
        <v>107</v>
      </c>
      <c r="P30" s="7">
        <v>7239.2</v>
      </c>
      <c r="Q30" s="7">
        <v>653.70000000000005</v>
      </c>
      <c r="R30" s="7">
        <v>8.3000000000000007</v>
      </c>
      <c r="S30" s="7" t="s">
        <v>107</v>
      </c>
      <c r="T30" s="12">
        <v>7</v>
      </c>
      <c r="U30" s="12">
        <v>40.968552099999997</v>
      </c>
      <c r="V30" s="12">
        <v>165.41333330000001</v>
      </c>
      <c r="W30" s="7" t="s">
        <v>107</v>
      </c>
      <c r="X30" s="7" t="s">
        <v>107</v>
      </c>
      <c r="Y30" s="7" t="s">
        <v>107</v>
      </c>
      <c r="Z30" s="12">
        <v>-3.0851609999999998</v>
      </c>
      <c r="AA30" s="12">
        <v>53.475760700000002</v>
      </c>
      <c r="AB30" s="12">
        <v>12.8077519</v>
      </c>
      <c r="AC30" s="12">
        <v>30.5180255</v>
      </c>
      <c r="AD30" s="12">
        <v>50.6035544</v>
      </c>
      <c r="AE30" s="12">
        <v>46.596297900000003</v>
      </c>
      <c r="AF30" s="12">
        <v>128.3801153</v>
      </c>
      <c r="AG30" s="7" t="s">
        <v>107</v>
      </c>
    </row>
    <row r="31" spans="1:33" s="11" customFormat="1" outlineLevel="1" x14ac:dyDescent="0.3">
      <c r="A31" s="11" t="s">
        <v>37</v>
      </c>
      <c r="B31" s="12">
        <v>2.4141233999999998</v>
      </c>
      <c r="C31" s="12">
        <v>81.156666700000002</v>
      </c>
      <c r="D31" s="12">
        <v>2.1223942</v>
      </c>
      <c r="E31" s="17">
        <v>2</v>
      </c>
      <c r="F31" s="13">
        <v>41.386666699999999</v>
      </c>
      <c r="G31" s="12">
        <v>18.1033659</v>
      </c>
      <c r="H31" s="12">
        <v>17.549896799999999</v>
      </c>
      <c r="I31" s="12">
        <v>-3.3044950000000002</v>
      </c>
      <c r="J31" s="12">
        <v>9.1</v>
      </c>
      <c r="K31" s="7" t="s">
        <v>107</v>
      </c>
      <c r="L31" s="7" t="s">
        <v>107</v>
      </c>
      <c r="M31" s="7" t="s">
        <v>107</v>
      </c>
      <c r="N31" s="7" t="s">
        <v>107</v>
      </c>
      <c r="O31" s="7" t="s">
        <v>107</v>
      </c>
      <c r="P31" s="7">
        <v>7305</v>
      </c>
      <c r="Q31" s="7">
        <v>634.20000000000005</v>
      </c>
      <c r="R31" s="7">
        <v>8</v>
      </c>
      <c r="S31" s="7" t="s">
        <v>107</v>
      </c>
      <c r="T31" s="12">
        <v>7</v>
      </c>
      <c r="U31" s="12">
        <v>41.379824300000003</v>
      </c>
      <c r="V31" s="12">
        <v>165.87</v>
      </c>
      <c r="W31" s="7" t="s">
        <v>107</v>
      </c>
      <c r="X31" s="7" t="s">
        <v>107</v>
      </c>
      <c r="Y31" s="7" t="s">
        <v>107</v>
      </c>
      <c r="Z31" s="12">
        <v>0.10299460000000001</v>
      </c>
      <c r="AA31" s="12">
        <v>51.596881000000003</v>
      </c>
      <c r="AB31" s="12">
        <v>12.1061554</v>
      </c>
      <c r="AC31" s="12">
        <v>26.9273639</v>
      </c>
      <c r="AD31" s="12">
        <v>51.8700385</v>
      </c>
      <c r="AE31" s="12">
        <v>42.636015399999998</v>
      </c>
      <c r="AF31" s="12">
        <v>140.4617394</v>
      </c>
      <c r="AG31" s="7" t="s">
        <v>107</v>
      </c>
    </row>
    <row r="32" spans="1:33" s="11" customFormat="1" outlineLevel="1" x14ac:dyDescent="0.3">
      <c r="A32" s="11" t="s">
        <v>38</v>
      </c>
      <c r="B32" s="12">
        <v>2.308249</v>
      </c>
      <c r="C32" s="12">
        <v>81.663333300000005</v>
      </c>
      <c r="D32" s="12">
        <v>2.1898724000000001</v>
      </c>
      <c r="E32" s="17">
        <v>2</v>
      </c>
      <c r="F32" s="13">
        <v>44.163333299999998</v>
      </c>
      <c r="G32" s="12">
        <v>30.140964799999999</v>
      </c>
      <c r="H32" s="12">
        <v>54.262712999999998</v>
      </c>
      <c r="I32" s="12">
        <v>2.85575E-2</v>
      </c>
      <c r="J32" s="12">
        <v>10.7114061</v>
      </c>
      <c r="K32" s="7" t="s">
        <v>107</v>
      </c>
      <c r="L32" s="7" t="s">
        <v>107</v>
      </c>
      <c r="M32" s="7" t="s">
        <v>107</v>
      </c>
      <c r="N32" s="7" t="s">
        <v>107</v>
      </c>
      <c r="O32" s="7" t="s">
        <v>107</v>
      </c>
      <c r="P32" s="7">
        <v>7114.5</v>
      </c>
      <c r="Q32" s="7">
        <v>655.8</v>
      </c>
      <c r="R32" s="7">
        <v>8.4</v>
      </c>
      <c r="S32" s="7" t="s">
        <v>107</v>
      </c>
      <c r="T32" s="12">
        <v>7</v>
      </c>
      <c r="U32" s="12">
        <v>42.493464400000001</v>
      </c>
      <c r="V32" s="12">
        <v>169.92</v>
      </c>
      <c r="W32" s="7" t="s">
        <v>107</v>
      </c>
      <c r="X32" s="7" t="s">
        <v>107</v>
      </c>
      <c r="Y32" s="7" t="s">
        <v>107</v>
      </c>
      <c r="Z32" s="12">
        <v>3.0208624999999998</v>
      </c>
      <c r="AA32" s="12">
        <v>56.184215299999998</v>
      </c>
      <c r="AB32" s="12">
        <v>11.041176800000001</v>
      </c>
      <c r="AC32" s="12">
        <v>24.6778382</v>
      </c>
      <c r="AD32" s="12">
        <v>55.964151200000003</v>
      </c>
      <c r="AE32" s="12">
        <v>44.587090400000001</v>
      </c>
      <c r="AF32" s="12">
        <v>149.65799820000001</v>
      </c>
      <c r="AG32" s="12">
        <v>11.391568100000001</v>
      </c>
    </row>
    <row r="33" spans="1:33" s="11" customFormat="1" outlineLevel="1" x14ac:dyDescent="0.3">
      <c r="A33" s="11" t="s">
        <v>39</v>
      </c>
      <c r="B33" s="12">
        <v>1.1277817999999999</v>
      </c>
      <c r="C33" s="12">
        <v>81.773333300000004</v>
      </c>
      <c r="D33" s="12">
        <v>2.0720646</v>
      </c>
      <c r="E33" s="17">
        <v>2</v>
      </c>
      <c r="F33" s="13">
        <v>47.696666700000002</v>
      </c>
      <c r="G33" s="12">
        <v>30.800442400000001</v>
      </c>
      <c r="H33" s="12">
        <v>36.933578599999997</v>
      </c>
      <c r="I33" s="12">
        <v>2.9964567</v>
      </c>
      <c r="J33" s="12">
        <v>8.5</v>
      </c>
      <c r="K33" s="7" t="s">
        <v>107</v>
      </c>
      <c r="L33" s="7" t="s">
        <v>107</v>
      </c>
      <c r="M33" s="7" t="s">
        <v>107</v>
      </c>
      <c r="N33" s="7" t="s">
        <v>107</v>
      </c>
      <c r="O33" s="7" t="s">
        <v>107</v>
      </c>
      <c r="P33" s="7">
        <v>7102.1</v>
      </c>
      <c r="Q33" s="7">
        <v>661</v>
      </c>
      <c r="R33" s="7">
        <v>8.5</v>
      </c>
      <c r="S33" s="7" t="s">
        <v>107</v>
      </c>
      <c r="T33" s="12">
        <v>7.5</v>
      </c>
      <c r="U33" s="12">
        <v>43.477581499999999</v>
      </c>
      <c r="V33" s="12">
        <v>170.7933333</v>
      </c>
      <c r="W33" s="7" t="s">
        <v>107</v>
      </c>
      <c r="X33" s="7" t="s">
        <v>107</v>
      </c>
      <c r="Y33" s="7" t="s">
        <v>107</v>
      </c>
      <c r="Z33" s="12">
        <v>2.476531</v>
      </c>
      <c r="AA33" s="12">
        <v>46.716144999999997</v>
      </c>
      <c r="AB33" s="12">
        <v>9.1420229000000006</v>
      </c>
      <c r="AC33" s="12">
        <v>24.244719700000001</v>
      </c>
      <c r="AD33" s="12">
        <v>48.872253399999998</v>
      </c>
      <c r="AE33" s="12">
        <v>37.230880399999997</v>
      </c>
      <c r="AF33" s="12">
        <v>150.00320400000001</v>
      </c>
      <c r="AG33" s="7" t="s">
        <v>107</v>
      </c>
    </row>
    <row r="34" spans="1:33" s="11" customFormat="1" outlineLevel="1" x14ac:dyDescent="0.3">
      <c r="A34" s="11" t="s">
        <v>40</v>
      </c>
      <c r="B34" s="12">
        <v>2.2042253999999999</v>
      </c>
      <c r="C34" s="12">
        <v>82.71</v>
      </c>
      <c r="D34" s="12">
        <v>2.0229431</v>
      </c>
      <c r="E34" s="17">
        <v>2</v>
      </c>
      <c r="F34" s="13">
        <v>51.626666700000001</v>
      </c>
      <c r="G34" s="12">
        <v>31.789231000000001</v>
      </c>
      <c r="H34" s="12">
        <v>40.313256000000003</v>
      </c>
      <c r="I34" s="12">
        <v>2.3999457</v>
      </c>
      <c r="J34" s="12">
        <v>8.5</v>
      </c>
      <c r="K34" s="7" t="s">
        <v>107</v>
      </c>
      <c r="L34" s="7" t="s">
        <v>107</v>
      </c>
      <c r="M34" s="7" t="s">
        <v>107</v>
      </c>
      <c r="N34" s="7" t="s">
        <v>107</v>
      </c>
      <c r="O34" s="7" t="s">
        <v>107</v>
      </c>
      <c r="P34" s="7">
        <v>7285.2</v>
      </c>
      <c r="Q34" s="7">
        <v>634.1</v>
      </c>
      <c r="R34" s="7">
        <v>8</v>
      </c>
      <c r="S34" s="7" t="s">
        <v>107</v>
      </c>
      <c r="T34" s="12">
        <v>8</v>
      </c>
      <c r="U34" s="12">
        <v>44.2353734</v>
      </c>
      <c r="V34" s="12">
        <v>166.6766667</v>
      </c>
      <c r="W34" s="7" t="s">
        <v>107</v>
      </c>
      <c r="X34" s="7" t="s">
        <v>107</v>
      </c>
      <c r="Y34" s="7" t="s">
        <v>107</v>
      </c>
      <c r="Z34" s="12">
        <v>0.77335549999999997</v>
      </c>
      <c r="AA34" s="12">
        <v>51.842707300000001</v>
      </c>
      <c r="AB34" s="12">
        <v>12.3678945</v>
      </c>
      <c r="AC34" s="12">
        <v>32.925474899999998</v>
      </c>
      <c r="AD34" s="12">
        <v>59.253061199999998</v>
      </c>
      <c r="AE34" s="12">
        <v>48.5872399</v>
      </c>
      <c r="AF34" s="12">
        <v>136.7451733</v>
      </c>
      <c r="AG34" s="7" t="s">
        <v>107</v>
      </c>
    </row>
    <row r="35" spans="1:33" s="11" customFormat="1" outlineLevel="1" x14ac:dyDescent="0.3">
      <c r="A35" s="11" t="s">
        <v>41</v>
      </c>
      <c r="B35" s="12">
        <v>2.0830310000000001</v>
      </c>
      <c r="C35" s="12">
        <v>83.016666700000002</v>
      </c>
      <c r="D35" s="12">
        <v>2.2918634999999998</v>
      </c>
      <c r="E35" s="17">
        <v>2</v>
      </c>
      <c r="F35" s="13">
        <v>61.47</v>
      </c>
      <c r="G35" s="12">
        <v>30.931070800000001</v>
      </c>
      <c r="H35" s="12">
        <v>71.563429200000002</v>
      </c>
      <c r="I35" s="12">
        <v>2.6025898999999999</v>
      </c>
      <c r="J35" s="12">
        <v>9.095872</v>
      </c>
      <c r="K35" s="7" t="s">
        <v>107</v>
      </c>
      <c r="L35" s="7" t="s">
        <v>107</v>
      </c>
      <c r="M35" s="7" t="s">
        <v>107</v>
      </c>
      <c r="N35" s="7" t="s">
        <v>107</v>
      </c>
      <c r="O35" s="7" t="s">
        <v>107</v>
      </c>
      <c r="P35" s="7">
        <v>7349.9</v>
      </c>
      <c r="Q35" s="7">
        <v>620.79999999999995</v>
      </c>
      <c r="R35" s="7">
        <v>7.8</v>
      </c>
      <c r="S35" s="7" t="s">
        <v>107</v>
      </c>
      <c r="T35" s="12">
        <v>8</v>
      </c>
      <c r="U35" s="12">
        <v>44.842512200000002</v>
      </c>
      <c r="V35" s="12">
        <v>164.91333330000001</v>
      </c>
      <c r="W35" s="7" t="s">
        <v>107</v>
      </c>
      <c r="X35" s="7" t="s">
        <v>107</v>
      </c>
      <c r="Y35" s="7" t="s">
        <v>107</v>
      </c>
      <c r="Z35" s="12">
        <v>-2.2964606999999999</v>
      </c>
      <c r="AA35" s="12">
        <v>50.396337299999999</v>
      </c>
      <c r="AB35" s="12">
        <v>11.5321459</v>
      </c>
      <c r="AC35" s="12">
        <v>33.221572700000003</v>
      </c>
      <c r="AD35" s="12">
        <v>54.447187900000003</v>
      </c>
      <c r="AE35" s="12">
        <v>45.544203699999997</v>
      </c>
      <c r="AF35" s="12">
        <v>117.2703963</v>
      </c>
      <c r="AG35" s="7" t="s">
        <v>107</v>
      </c>
    </row>
    <row r="36" spans="1:33" s="11" customFormat="1" outlineLevel="1" x14ac:dyDescent="0.3">
      <c r="A36" s="11" t="s">
        <v>42</v>
      </c>
      <c r="B36" s="12">
        <v>2.0666498999999998</v>
      </c>
      <c r="C36" s="12">
        <v>83.51</v>
      </c>
      <c r="D36" s="12">
        <v>2.2613167999999999</v>
      </c>
      <c r="E36" s="17">
        <v>2.0833333000000001</v>
      </c>
      <c r="F36" s="13">
        <v>56.88</v>
      </c>
      <c r="G36" s="12">
        <v>114.2300822</v>
      </c>
      <c r="H36" s="12">
        <v>88.213946399999998</v>
      </c>
      <c r="I36" s="12">
        <v>-4.5594375999999999</v>
      </c>
      <c r="J36" s="12">
        <v>11.818539100000001</v>
      </c>
      <c r="K36" s="7" t="s">
        <v>107</v>
      </c>
      <c r="L36" s="7" t="s">
        <v>107</v>
      </c>
      <c r="M36" s="7" t="s">
        <v>107</v>
      </c>
      <c r="N36" s="7" t="s">
        <v>107</v>
      </c>
      <c r="O36" s="7" t="s">
        <v>107</v>
      </c>
      <c r="P36" s="7">
        <v>7239.4</v>
      </c>
      <c r="Q36" s="7">
        <v>641.29999999999995</v>
      </c>
      <c r="R36" s="7">
        <v>8.1</v>
      </c>
      <c r="S36" s="7" t="s">
        <v>107</v>
      </c>
      <c r="T36" s="12">
        <v>8</v>
      </c>
      <c r="U36" s="12">
        <v>45.881834699999999</v>
      </c>
      <c r="V36" s="12">
        <v>159.29</v>
      </c>
      <c r="W36" s="7" t="s">
        <v>107</v>
      </c>
      <c r="X36" s="7" t="s">
        <v>107</v>
      </c>
      <c r="Y36" s="7" t="s">
        <v>107</v>
      </c>
      <c r="Z36" s="12">
        <v>-7.0646611999999998</v>
      </c>
      <c r="AA36" s="12">
        <v>50.116367099999998</v>
      </c>
      <c r="AB36" s="12">
        <v>11.672104300000001</v>
      </c>
      <c r="AC36" s="12">
        <v>32.405982999999999</v>
      </c>
      <c r="AD36" s="12">
        <v>50.310164700000001</v>
      </c>
      <c r="AE36" s="12">
        <v>45.954771200000003</v>
      </c>
      <c r="AF36" s="12">
        <v>119.9765821</v>
      </c>
      <c r="AG36" s="12">
        <v>10.3330015</v>
      </c>
    </row>
    <row r="37" spans="1:33" s="11" customFormat="1" outlineLevel="1" x14ac:dyDescent="0.3">
      <c r="A37" s="11" t="s">
        <v>43</v>
      </c>
      <c r="B37" s="12">
        <v>3.8191847000000001</v>
      </c>
      <c r="C37" s="12">
        <v>83.573333300000002</v>
      </c>
      <c r="D37" s="12">
        <v>2.2012065999999999</v>
      </c>
      <c r="E37" s="17">
        <v>2.3333333000000001</v>
      </c>
      <c r="F37" s="13">
        <v>61.753333300000001</v>
      </c>
      <c r="G37" s="12">
        <v>39.028810200000002</v>
      </c>
      <c r="H37" s="12">
        <v>40.610621500000001</v>
      </c>
      <c r="I37" s="12">
        <v>3.6751548999999999</v>
      </c>
      <c r="J37" s="12">
        <v>7.5</v>
      </c>
      <c r="K37" s="7" t="s">
        <v>107</v>
      </c>
      <c r="L37" s="7" t="s">
        <v>107</v>
      </c>
      <c r="M37" s="7" t="s">
        <v>107</v>
      </c>
      <c r="N37" s="7" t="s">
        <v>107</v>
      </c>
      <c r="O37" s="7" t="s">
        <v>107</v>
      </c>
      <c r="P37" s="7">
        <v>7289</v>
      </c>
      <c r="Q37" s="7">
        <v>652.6</v>
      </c>
      <c r="R37" s="7">
        <v>8.2176218571792692</v>
      </c>
      <c r="S37" s="7" t="s">
        <v>107</v>
      </c>
      <c r="T37" s="12">
        <v>8</v>
      </c>
      <c r="U37" s="12">
        <v>47.257149800000001</v>
      </c>
      <c r="V37" s="12">
        <v>157.7333333</v>
      </c>
      <c r="W37" s="7" t="s">
        <v>107</v>
      </c>
      <c r="X37" s="7" t="s">
        <v>107</v>
      </c>
      <c r="Y37" s="7" t="s">
        <v>107</v>
      </c>
      <c r="Z37" s="12">
        <v>1.3757286</v>
      </c>
      <c r="AA37" s="12">
        <v>47.570442700000001</v>
      </c>
      <c r="AB37" s="12">
        <v>10.860345300000001</v>
      </c>
      <c r="AC37" s="12">
        <v>28.950664100000001</v>
      </c>
      <c r="AD37" s="12">
        <v>51.372156500000003</v>
      </c>
      <c r="AE37" s="12">
        <v>38.909173600000003</v>
      </c>
      <c r="AF37" s="12">
        <v>114.4990274</v>
      </c>
      <c r="AG37" s="7" t="s">
        <v>107</v>
      </c>
    </row>
    <row r="38" spans="1:33" s="11" customFormat="1" outlineLevel="1" x14ac:dyDescent="0.3">
      <c r="A38" s="11" t="s">
        <v>44</v>
      </c>
      <c r="B38" s="12">
        <v>2.9723983</v>
      </c>
      <c r="C38" s="12">
        <v>84.693333300000006</v>
      </c>
      <c r="D38" s="12">
        <v>2.3979365000000001</v>
      </c>
      <c r="E38" s="17">
        <v>2.5833333000000001</v>
      </c>
      <c r="F38" s="13">
        <v>69.533333299999995</v>
      </c>
      <c r="G38" s="12">
        <v>66.467898399999996</v>
      </c>
      <c r="H38" s="12">
        <v>49.239714399999997</v>
      </c>
      <c r="I38" s="12">
        <v>-0.37981140000000002</v>
      </c>
      <c r="J38" s="12">
        <v>11.2121365</v>
      </c>
      <c r="K38" s="7" t="s">
        <v>107</v>
      </c>
      <c r="L38" s="7" t="s">
        <v>107</v>
      </c>
      <c r="M38" s="7" t="s">
        <v>107</v>
      </c>
      <c r="N38" s="7" t="s">
        <v>107</v>
      </c>
      <c r="O38" s="7" t="s">
        <v>107</v>
      </c>
      <c r="P38" s="7">
        <v>7427</v>
      </c>
      <c r="Q38" s="7">
        <v>623.29999999999995</v>
      </c>
      <c r="R38" s="7">
        <v>7.7429041545666601</v>
      </c>
      <c r="S38" s="7" t="s">
        <v>107</v>
      </c>
      <c r="T38" s="12">
        <v>9</v>
      </c>
      <c r="U38" s="12">
        <v>48.286063599999999</v>
      </c>
      <c r="V38" s="12">
        <v>154.53333330000001</v>
      </c>
      <c r="W38" s="7" t="s">
        <v>107</v>
      </c>
      <c r="X38" s="7" t="s">
        <v>107</v>
      </c>
      <c r="Y38" s="7" t="s">
        <v>107</v>
      </c>
      <c r="Z38" s="12">
        <v>-1.0910103</v>
      </c>
      <c r="AA38" s="12">
        <v>46.483106599999999</v>
      </c>
      <c r="AB38" s="12">
        <v>12.038767999999999</v>
      </c>
      <c r="AC38" s="12">
        <v>38.376938899999999</v>
      </c>
      <c r="AD38" s="12">
        <v>55.959142100000001</v>
      </c>
      <c r="AE38" s="12">
        <v>43.139429900000003</v>
      </c>
      <c r="AF38" s="12">
        <v>111.7918612</v>
      </c>
      <c r="AG38" s="7" t="s">
        <v>107</v>
      </c>
    </row>
    <row r="39" spans="1:33" s="11" customFormat="1" outlineLevel="1" x14ac:dyDescent="0.3">
      <c r="A39" s="11" t="s">
        <v>45</v>
      </c>
      <c r="B39" s="12">
        <v>3.3099788999999999</v>
      </c>
      <c r="C39" s="12">
        <v>84.873333299999999</v>
      </c>
      <c r="D39" s="12">
        <v>2.2364986</v>
      </c>
      <c r="E39" s="17">
        <v>2.9166666999999999</v>
      </c>
      <c r="F39" s="13">
        <v>69.62</v>
      </c>
      <c r="G39" s="12">
        <v>8.9592597999999999</v>
      </c>
      <c r="H39" s="12">
        <v>-10.0451692</v>
      </c>
      <c r="I39" s="12">
        <v>-1.5909142000000001</v>
      </c>
      <c r="J39" s="12">
        <v>12.284964499999999</v>
      </c>
      <c r="K39" s="7" t="s">
        <v>107</v>
      </c>
      <c r="L39" s="7" t="s">
        <v>107</v>
      </c>
      <c r="M39" s="7" t="s">
        <v>107</v>
      </c>
      <c r="N39" s="7" t="s">
        <v>107</v>
      </c>
      <c r="O39" s="7" t="s">
        <v>107</v>
      </c>
      <c r="P39" s="7">
        <v>7483.7</v>
      </c>
      <c r="Q39" s="7">
        <v>607.1</v>
      </c>
      <c r="R39" s="7">
        <v>7.5040014436096198</v>
      </c>
      <c r="S39" s="7" t="s">
        <v>107</v>
      </c>
      <c r="T39" s="12">
        <v>9</v>
      </c>
      <c r="U39" s="12">
        <v>48.753753199999998</v>
      </c>
      <c r="V39" s="12">
        <v>155.91999999999999</v>
      </c>
      <c r="W39" s="7" t="s">
        <v>107</v>
      </c>
      <c r="X39" s="7" t="s">
        <v>107</v>
      </c>
      <c r="Y39" s="7" t="s">
        <v>107</v>
      </c>
      <c r="Z39" s="12">
        <v>-5.1134400000000003E-2</v>
      </c>
      <c r="AA39" s="12">
        <v>45.988961000000003</v>
      </c>
      <c r="AB39" s="12">
        <v>9.3337129000000001</v>
      </c>
      <c r="AC39" s="12">
        <v>34.524086799999999</v>
      </c>
      <c r="AD39" s="12">
        <v>55.33502</v>
      </c>
      <c r="AE39" s="12">
        <v>41.504936800000003</v>
      </c>
      <c r="AF39" s="12">
        <v>128.5620539</v>
      </c>
      <c r="AG39" s="7" t="s">
        <v>107</v>
      </c>
    </row>
    <row r="40" spans="1:33" s="11" customFormat="1" outlineLevel="1" x14ac:dyDescent="0.3">
      <c r="A40" s="11" t="s">
        <v>46</v>
      </c>
      <c r="B40" s="12">
        <v>3.7478780999999999</v>
      </c>
      <c r="C40" s="12">
        <v>85.166666699999993</v>
      </c>
      <c r="D40" s="12">
        <v>1.9837944000000001</v>
      </c>
      <c r="E40" s="17">
        <v>3.3333333000000001</v>
      </c>
      <c r="F40" s="13">
        <v>59.68</v>
      </c>
      <c r="G40" s="12">
        <v>-31.220943699999999</v>
      </c>
      <c r="H40" s="12">
        <v>-13.734704900000001</v>
      </c>
      <c r="I40" s="12">
        <v>1.8265864999999999</v>
      </c>
      <c r="J40" s="12">
        <v>10.8130012</v>
      </c>
      <c r="K40" s="7" t="s">
        <v>107</v>
      </c>
      <c r="L40" s="7" t="s">
        <v>107</v>
      </c>
      <c r="M40" s="7" t="s">
        <v>107</v>
      </c>
      <c r="N40" s="7" t="s">
        <v>107</v>
      </c>
      <c r="O40" s="7" t="s">
        <v>107</v>
      </c>
      <c r="P40" s="7">
        <v>7414.9</v>
      </c>
      <c r="Q40" s="7">
        <v>618.70000000000005</v>
      </c>
      <c r="R40" s="7">
        <v>7.7019019805004598</v>
      </c>
      <c r="S40" s="7" t="s">
        <v>107</v>
      </c>
      <c r="T40" s="12">
        <v>9</v>
      </c>
      <c r="U40" s="12">
        <v>49.703090500000002</v>
      </c>
      <c r="V40" s="12">
        <v>164.89333329999999</v>
      </c>
      <c r="W40" s="7" t="s">
        <v>107</v>
      </c>
      <c r="X40" s="7" t="s">
        <v>107</v>
      </c>
      <c r="Y40" s="7" t="s">
        <v>107</v>
      </c>
      <c r="Z40" s="12">
        <v>-8.0583302000000003</v>
      </c>
      <c r="AA40" s="12">
        <v>43.734543000000002</v>
      </c>
      <c r="AB40" s="12">
        <v>9.0624026999999998</v>
      </c>
      <c r="AC40" s="12">
        <v>33.227248899999999</v>
      </c>
      <c r="AD40" s="12">
        <v>43.337596499999997</v>
      </c>
      <c r="AE40" s="12">
        <v>38.640592099999999</v>
      </c>
      <c r="AF40" s="12">
        <v>129.3708761</v>
      </c>
      <c r="AG40" s="12">
        <v>11.949964400000001</v>
      </c>
    </row>
    <row r="41" spans="1:33" s="11" customFormat="1" outlineLevel="1" x14ac:dyDescent="0.3">
      <c r="A41" s="11" t="s">
        <v>47</v>
      </c>
      <c r="B41" s="12">
        <v>3.5234725999999998</v>
      </c>
      <c r="C41" s="12">
        <v>85.39</v>
      </c>
      <c r="D41" s="12">
        <v>2.1737397000000001</v>
      </c>
      <c r="E41" s="17">
        <v>3.5833333000000001</v>
      </c>
      <c r="F41" s="13">
        <v>57.763333299999999</v>
      </c>
      <c r="G41" s="12">
        <v>40.067372900000002</v>
      </c>
      <c r="H41" s="12">
        <v>5.9875647000000001</v>
      </c>
      <c r="I41" s="12">
        <v>-3.3394382999999999</v>
      </c>
      <c r="J41" s="12">
        <v>10.6</v>
      </c>
      <c r="K41" s="12">
        <v>10.9</v>
      </c>
      <c r="L41" s="12">
        <v>12.1</v>
      </c>
      <c r="M41" s="12">
        <v>7.8</v>
      </c>
      <c r="N41" s="12">
        <v>24.6</v>
      </c>
      <c r="O41" s="12">
        <v>31.7</v>
      </c>
      <c r="P41" s="7">
        <v>7491</v>
      </c>
      <c r="Q41" s="7">
        <v>624</v>
      </c>
      <c r="R41" s="7">
        <v>7.7</v>
      </c>
      <c r="S41" s="7" t="s">
        <v>107</v>
      </c>
      <c r="T41" s="12">
        <v>9</v>
      </c>
      <c r="U41" s="12">
        <v>51.073629699999998</v>
      </c>
      <c r="V41" s="12">
        <v>163.49666669999999</v>
      </c>
      <c r="W41" s="7" t="s">
        <v>107</v>
      </c>
      <c r="X41" s="7" t="s">
        <v>107</v>
      </c>
      <c r="Y41" s="7" t="s">
        <v>107</v>
      </c>
      <c r="Z41" s="12">
        <v>-3.7327433999999999</v>
      </c>
      <c r="AA41" s="12">
        <v>46.510490799999999</v>
      </c>
      <c r="AB41" s="12">
        <v>11.551343299999999</v>
      </c>
      <c r="AC41" s="12">
        <v>26.877183200000001</v>
      </c>
      <c r="AD41" s="12">
        <v>53.448570599999996</v>
      </c>
      <c r="AE41" s="12">
        <v>42.610666700000003</v>
      </c>
      <c r="AF41" s="12">
        <v>137.74848510000001</v>
      </c>
      <c r="AG41" s="7" t="s">
        <v>107</v>
      </c>
    </row>
    <row r="42" spans="1:33" s="11" customFormat="1" outlineLevel="1" x14ac:dyDescent="0.3">
      <c r="A42" s="11" t="s">
        <v>48</v>
      </c>
      <c r="B42" s="12">
        <v>3.1678283999999999</v>
      </c>
      <c r="C42" s="12">
        <v>86.5</v>
      </c>
      <c r="D42" s="12">
        <v>2.1331864</v>
      </c>
      <c r="E42" s="17">
        <v>3.8333333000000001</v>
      </c>
      <c r="F42" s="13">
        <v>68.583333300000007</v>
      </c>
      <c r="G42" s="12">
        <v>1.8857874999999999</v>
      </c>
      <c r="H42" s="12">
        <v>4.1982339</v>
      </c>
      <c r="I42" s="12">
        <v>0.22639960000000001</v>
      </c>
      <c r="J42" s="12">
        <v>10.2051838</v>
      </c>
      <c r="K42" s="12">
        <v>11.4870032</v>
      </c>
      <c r="L42" s="12">
        <v>14.390228199999999</v>
      </c>
      <c r="M42" s="12">
        <v>47.741310499999997</v>
      </c>
      <c r="N42" s="12">
        <v>9.7243803999999994</v>
      </c>
      <c r="O42" s="12">
        <v>26.970427900000001</v>
      </c>
      <c r="P42" s="7">
        <v>7642.1</v>
      </c>
      <c r="Q42" s="7">
        <v>601.79999999999995</v>
      </c>
      <c r="R42" s="7">
        <v>7.3</v>
      </c>
      <c r="S42" s="7" t="s">
        <v>107</v>
      </c>
      <c r="T42" s="12">
        <v>9</v>
      </c>
      <c r="U42" s="12">
        <v>52.0845725</v>
      </c>
      <c r="V42" s="12">
        <v>163.62666669999999</v>
      </c>
      <c r="W42" s="7" t="s">
        <v>107</v>
      </c>
      <c r="X42" s="7" t="s">
        <v>107</v>
      </c>
      <c r="Y42" s="7" t="s">
        <v>107</v>
      </c>
      <c r="Z42" s="12">
        <v>-8.8307360999999993</v>
      </c>
      <c r="AA42" s="12">
        <v>44.149400800000002</v>
      </c>
      <c r="AB42" s="12">
        <v>12.4144194</v>
      </c>
      <c r="AC42" s="12">
        <v>43.025094299999999</v>
      </c>
      <c r="AD42" s="12">
        <v>50.598007500000001</v>
      </c>
      <c r="AE42" s="12">
        <v>44.756639399999997</v>
      </c>
      <c r="AF42" s="12">
        <v>138.07484059999999</v>
      </c>
      <c r="AG42" s="7" t="s">
        <v>107</v>
      </c>
    </row>
    <row r="43" spans="1:33" s="11" customFormat="1" outlineLevel="1" x14ac:dyDescent="0.3">
      <c r="A43" s="11" t="s">
        <v>49</v>
      </c>
      <c r="B43" s="12">
        <v>3.1476855000000001</v>
      </c>
      <c r="C43" s="12">
        <v>86.6</v>
      </c>
      <c r="D43" s="12">
        <v>2.0344042999999998</v>
      </c>
      <c r="E43" s="17">
        <v>4</v>
      </c>
      <c r="F43" s="13">
        <v>74.953333299999997</v>
      </c>
      <c r="G43" s="12">
        <v>50.301954100000003</v>
      </c>
      <c r="H43" s="12">
        <v>55.255232900000003</v>
      </c>
      <c r="I43" s="12">
        <v>-1.1790189</v>
      </c>
      <c r="J43" s="12">
        <v>8.3918739999999996</v>
      </c>
      <c r="K43" s="12">
        <v>26.5586853</v>
      </c>
      <c r="L43" s="12">
        <v>20.008313600000001</v>
      </c>
      <c r="M43" s="12">
        <v>22.684685399999999</v>
      </c>
      <c r="N43" s="12">
        <v>-3.6351315</v>
      </c>
      <c r="O43" s="12">
        <v>29.694998399999999</v>
      </c>
      <c r="P43" s="7">
        <v>7713.5</v>
      </c>
      <c r="Q43" s="7">
        <v>583.9</v>
      </c>
      <c r="R43" s="7">
        <v>7</v>
      </c>
      <c r="S43" s="7" t="s">
        <v>107</v>
      </c>
      <c r="T43" s="12">
        <v>9</v>
      </c>
      <c r="U43" s="12">
        <v>53.593430900000001</v>
      </c>
      <c r="V43" s="12">
        <v>168.97333330000001</v>
      </c>
      <c r="W43" s="7" t="s">
        <v>107</v>
      </c>
      <c r="X43" s="7" t="s">
        <v>107</v>
      </c>
      <c r="Y43" s="7" t="s">
        <v>107</v>
      </c>
      <c r="Z43" s="12">
        <v>-11.118368500000001</v>
      </c>
      <c r="AA43" s="12">
        <v>48.895505</v>
      </c>
      <c r="AB43" s="12">
        <v>10.5723603</v>
      </c>
      <c r="AC43" s="12">
        <v>41.050256699999998</v>
      </c>
      <c r="AD43" s="12">
        <v>47.384954</v>
      </c>
      <c r="AE43" s="12">
        <v>45.1903826</v>
      </c>
      <c r="AF43" s="12">
        <v>103.2190224</v>
      </c>
      <c r="AG43" s="7" t="s">
        <v>107</v>
      </c>
    </row>
    <row r="44" spans="1:33" s="11" customFormat="1" outlineLevel="1" x14ac:dyDescent="0.3">
      <c r="A44" s="11" t="s">
        <v>50</v>
      </c>
      <c r="B44" s="12">
        <v>2.7223932</v>
      </c>
      <c r="C44" s="12">
        <v>87.72</v>
      </c>
      <c r="D44" s="12">
        <v>2.998043</v>
      </c>
      <c r="E44" s="17">
        <v>4</v>
      </c>
      <c r="F44" s="13">
        <v>88.56</v>
      </c>
      <c r="G44" s="12">
        <v>68.520955700000002</v>
      </c>
      <c r="H44" s="12">
        <v>36.960189800000002</v>
      </c>
      <c r="I44" s="12">
        <v>-2.5281584000000001</v>
      </c>
      <c r="J44" s="12">
        <v>7.4132030999999996</v>
      </c>
      <c r="K44" s="12">
        <v>1.3742414999999999</v>
      </c>
      <c r="L44" s="12">
        <v>11.947224200000001</v>
      </c>
      <c r="M44" s="12">
        <v>20.854260700000001</v>
      </c>
      <c r="N44" s="12">
        <v>6.9930190999999997</v>
      </c>
      <c r="O44" s="12">
        <v>18.0861242</v>
      </c>
      <c r="P44" s="7">
        <v>7680.4</v>
      </c>
      <c r="Q44" s="7">
        <v>578.79999999999995</v>
      </c>
      <c r="R44" s="7">
        <v>7</v>
      </c>
      <c r="S44" s="7" t="s">
        <v>107</v>
      </c>
      <c r="T44" s="12">
        <v>11</v>
      </c>
      <c r="U44" s="12">
        <v>58.291292300000002</v>
      </c>
      <c r="V44" s="12">
        <v>174.9233333</v>
      </c>
      <c r="W44" s="7" t="s">
        <v>107</v>
      </c>
      <c r="X44" s="7" t="s">
        <v>107</v>
      </c>
      <c r="Y44" s="7" t="s">
        <v>107</v>
      </c>
      <c r="Z44" s="12">
        <v>-7.1105216000000002</v>
      </c>
      <c r="AA44" s="12">
        <v>41.582124899999997</v>
      </c>
      <c r="AB44" s="12">
        <v>10.0715273</v>
      </c>
      <c r="AC44" s="12">
        <v>30.393101900000001</v>
      </c>
      <c r="AD44" s="12">
        <v>47.2719746</v>
      </c>
      <c r="AE44" s="12">
        <v>39.4250647</v>
      </c>
      <c r="AF44" s="12">
        <v>67.996566000000001</v>
      </c>
      <c r="AG44" s="12">
        <v>7.6552616000000002</v>
      </c>
    </row>
    <row r="45" spans="1:33" s="11" customFormat="1" outlineLevel="1" x14ac:dyDescent="0.3">
      <c r="A45" s="11" t="s">
        <v>51</v>
      </c>
      <c r="B45" s="12">
        <v>1.9060995000000001</v>
      </c>
      <c r="C45" s="12">
        <v>88.42</v>
      </c>
      <c r="D45" s="12">
        <v>3.5484249000000001</v>
      </c>
      <c r="E45" s="17">
        <v>4</v>
      </c>
      <c r="F45" s="13">
        <v>96.936666700000004</v>
      </c>
      <c r="G45" s="12">
        <v>7.0336777000000001</v>
      </c>
      <c r="H45" s="12">
        <v>26.317689099999999</v>
      </c>
      <c r="I45" s="12">
        <v>0.72180339999999998</v>
      </c>
      <c r="J45" s="12">
        <v>6.1</v>
      </c>
      <c r="K45" s="12">
        <v>10.199999999999999</v>
      </c>
      <c r="L45" s="12">
        <v>2.5</v>
      </c>
      <c r="M45" s="12">
        <v>-19.3</v>
      </c>
      <c r="N45" s="12">
        <v>1.1000000000000001</v>
      </c>
      <c r="O45" s="12">
        <v>-6.5</v>
      </c>
      <c r="P45" s="7">
        <v>7763</v>
      </c>
      <c r="Q45" s="7">
        <v>573.79999999999995</v>
      </c>
      <c r="R45" s="7">
        <v>6.9</v>
      </c>
      <c r="S45" s="12">
        <v>17.807834199999999</v>
      </c>
      <c r="T45" s="12">
        <v>11</v>
      </c>
      <c r="U45" s="12">
        <v>60.640918499999998</v>
      </c>
      <c r="V45" s="12">
        <v>180.3666667</v>
      </c>
      <c r="W45" s="7" t="s">
        <v>107</v>
      </c>
      <c r="X45" s="7" t="s">
        <v>107</v>
      </c>
      <c r="Y45" s="7" t="s">
        <v>107</v>
      </c>
      <c r="Z45" s="12">
        <v>18.032413200000001</v>
      </c>
      <c r="AA45" s="12">
        <v>46.9601787</v>
      </c>
      <c r="AB45" s="12">
        <v>10.5778094</v>
      </c>
      <c r="AC45" s="12">
        <v>18.111594499999999</v>
      </c>
      <c r="AD45" s="12">
        <v>63.2681282</v>
      </c>
      <c r="AE45" s="12">
        <v>36.256220399999997</v>
      </c>
      <c r="AF45" s="12">
        <v>41.285833599999997</v>
      </c>
      <c r="AG45" s="7" t="s">
        <v>107</v>
      </c>
    </row>
    <row r="46" spans="1:33" s="11" customFormat="1" outlineLevel="1" x14ac:dyDescent="0.3">
      <c r="A46" s="11" t="s">
        <v>52</v>
      </c>
      <c r="B46" s="12">
        <v>1.9101475000000001</v>
      </c>
      <c r="C46" s="12">
        <v>89.906666700000002</v>
      </c>
      <c r="D46" s="12">
        <v>3.9383430000000001</v>
      </c>
      <c r="E46" s="17">
        <v>4</v>
      </c>
      <c r="F46" s="13">
        <v>121.3966667</v>
      </c>
      <c r="G46" s="12">
        <v>37.864283399999998</v>
      </c>
      <c r="H46" s="12">
        <v>17.855490899999999</v>
      </c>
      <c r="I46" s="12">
        <v>-3.3940565999999999</v>
      </c>
      <c r="J46" s="12">
        <v>5.3089718000000001</v>
      </c>
      <c r="K46" s="12">
        <v>2.7837676</v>
      </c>
      <c r="L46" s="12">
        <v>7.4148677999999997</v>
      </c>
      <c r="M46" s="12">
        <v>-8.7309306000000007</v>
      </c>
      <c r="N46" s="12">
        <v>0.71510609999999997</v>
      </c>
      <c r="O46" s="12">
        <v>-7.3898466999999997</v>
      </c>
      <c r="P46" s="7">
        <v>7868.4</v>
      </c>
      <c r="Q46" s="7">
        <v>557.20000000000005</v>
      </c>
      <c r="R46" s="7">
        <v>6.6</v>
      </c>
      <c r="S46" s="12">
        <v>19.181624599999999</v>
      </c>
      <c r="T46" s="12">
        <v>11</v>
      </c>
      <c r="U46" s="12">
        <v>62.253027500000002</v>
      </c>
      <c r="V46" s="12">
        <v>188.4233333</v>
      </c>
      <c r="W46" s="7" t="s">
        <v>107</v>
      </c>
      <c r="X46" s="7" t="s">
        <v>107</v>
      </c>
      <c r="Y46" s="7" t="s">
        <v>107</v>
      </c>
      <c r="Z46" s="12">
        <v>7.9441611999999999</v>
      </c>
      <c r="AA46" s="12">
        <v>39.777262</v>
      </c>
      <c r="AB46" s="12">
        <v>10.960869499999999</v>
      </c>
      <c r="AC46" s="12">
        <v>33.0154779</v>
      </c>
      <c r="AD46" s="12">
        <v>62.184020699999998</v>
      </c>
      <c r="AE46" s="12">
        <v>39.725132700000003</v>
      </c>
      <c r="AF46" s="12">
        <v>10.981764</v>
      </c>
      <c r="AG46" s="7" t="s">
        <v>107</v>
      </c>
    </row>
    <row r="47" spans="1:33" s="11" customFormat="1" outlineLevel="1" x14ac:dyDescent="0.3">
      <c r="A47" s="11" t="s">
        <v>53</v>
      </c>
      <c r="B47" s="12">
        <v>0.87131639999999999</v>
      </c>
      <c r="C47" s="12">
        <v>90.323333300000002</v>
      </c>
      <c r="D47" s="12">
        <v>4.2994611000000003</v>
      </c>
      <c r="E47" s="17">
        <v>4.25</v>
      </c>
      <c r="F47" s="13">
        <v>114.3966667</v>
      </c>
      <c r="G47" s="12">
        <v>35.923455699999998</v>
      </c>
      <c r="H47" s="12">
        <v>26.952211299999998</v>
      </c>
      <c r="I47" s="12">
        <v>-2.6008346000000002</v>
      </c>
      <c r="J47" s="12">
        <v>1.3851697000000001</v>
      </c>
      <c r="K47" s="12">
        <v>-9.0151213000000006</v>
      </c>
      <c r="L47" s="12">
        <v>3.3127930000000001</v>
      </c>
      <c r="M47" s="12">
        <v>-10.0240747</v>
      </c>
      <c r="N47" s="12">
        <v>12.500367300000001</v>
      </c>
      <c r="O47" s="12">
        <v>-14.9619774</v>
      </c>
      <c r="P47" s="7">
        <v>7925.4</v>
      </c>
      <c r="Q47" s="7">
        <v>540.6</v>
      </c>
      <c r="R47" s="7">
        <v>6.4</v>
      </c>
      <c r="S47" s="12">
        <v>17.646217</v>
      </c>
      <c r="T47" s="12">
        <v>10.5</v>
      </c>
      <c r="U47" s="12">
        <v>63.9894684</v>
      </c>
      <c r="V47" s="12">
        <v>180.7366667</v>
      </c>
      <c r="W47" s="7" t="s">
        <v>107</v>
      </c>
      <c r="X47" s="7" t="s">
        <v>107</v>
      </c>
      <c r="Y47" s="7" t="s">
        <v>107</v>
      </c>
      <c r="Z47" s="12">
        <v>-3.9515940999999999</v>
      </c>
      <c r="AA47" s="12">
        <v>37.753339500000003</v>
      </c>
      <c r="AB47" s="12">
        <v>8.7936688000000007</v>
      </c>
      <c r="AC47" s="12">
        <v>30.7523208</v>
      </c>
      <c r="AD47" s="12">
        <v>58.503881399999997</v>
      </c>
      <c r="AE47" s="12">
        <v>37.212080899999997</v>
      </c>
      <c r="AF47" s="12">
        <v>-4.6863152000000001</v>
      </c>
      <c r="AG47" s="7" t="s">
        <v>107</v>
      </c>
    </row>
    <row r="48" spans="1:33" s="11" customFormat="1" outlineLevel="1" x14ac:dyDescent="0.3">
      <c r="A48" s="11" t="s">
        <v>54</v>
      </c>
      <c r="B48" s="12">
        <v>-1.9881508000000001</v>
      </c>
      <c r="C48" s="12">
        <v>90.23</v>
      </c>
      <c r="D48" s="12">
        <v>2.8613770999999999</v>
      </c>
      <c r="E48" s="17">
        <v>3.1666666999999999</v>
      </c>
      <c r="F48" s="13">
        <v>54.66</v>
      </c>
      <c r="G48" s="12">
        <v>71.024911599999996</v>
      </c>
      <c r="H48" s="12">
        <v>78.771686900000006</v>
      </c>
      <c r="I48" s="12">
        <v>-2.3809825</v>
      </c>
      <c r="J48" s="12">
        <v>1.7829337999999999</v>
      </c>
      <c r="K48" s="12">
        <v>21.643049000000001</v>
      </c>
      <c r="L48" s="12">
        <v>-1.2374331000000001</v>
      </c>
      <c r="M48" s="12">
        <v>-13.9266519</v>
      </c>
      <c r="N48" s="12">
        <v>-8.0274371000000002</v>
      </c>
      <c r="O48" s="12">
        <v>-17.7225334</v>
      </c>
      <c r="P48" s="7">
        <v>7862.1</v>
      </c>
      <c r="Q48" s="7">
        <v>559.29999999999995</v>
      </c>
      <c r="R48" s="7">
        <v>6.6408711192386001</v>
      </c>
      <c r="S48" s="12">
        <v>10.915293800000001</v>
      </c>
      <c r="T48" s="12">
        <v>10.5</v>
      </c>
      <c r="U48" s="12">
        <v>65.017652900000002</v>
      </c>
      <c r="V48" s="12">
        <v>158.62333330000001</v>
      </c>
      <c r="W48" s="7" t="s">
        <v>107</v>
      </c>
      <c r="X48" s="7" t="s">
        <v>107</v>
      </c>
      <c r="Y48" s="7" t="s">
        <v>107</v>
      </c>
      <c r="Z48" s="12">
        <v>-13.075594000000001</v>
      </c>
      <c r="AA48" s="12">
        <v>54.058755400000003</v>
      </c>
      <c r="AB48" s="12">
        <v>10.6822608</v>
      </c>
      <c r="AC48" s="12">
        <v>25.906972400000001</v>
      </c>
      <c r="AD48" s="12">
        <v>46.325612599999999</v>
      </c>
      <c r="AE48" s="12">
        <v>35.334327199999997</v>
      </c>
      <c r="AF48" s="12">
        <v>-9.2902942999999993</v>
      </c>
      <c r="AG48" s="12">
        <v>8.7111368000000002</v>
      </c>
    </row>
    <row r="49" spans="1:33" s="11" customFormat="1" outlineLevel="1" x14ac:dyDescent="0.3">
      <c r="A49" s="11" t="s">
        <v>55</v>
      </c>
      <c r="B49" s="12">
        <v>-5.4359460999999998</v>
      </c>
      <c r="C49" s="12">
        <v>89.88</v>
      </c>
      <c r="D49" s="12">
        <v>1.6512100999999999</v>
      </c>
      <c r="E49" s="17">
        <v>1.8333333000000001</v>
      </c>
      <c r="F49" s="13">
        <v>44.433333300000001</v>
      </c>
      <c r="G49" s="12">
        <v>-1.8377277999999999</v>
      </c>
      <c r="H49" s="12">
        <v>6.8230811999999998</v>
      </c>
      <c r="I49" s="12">
        <v>2.8569382000000001</v>
      </c>
      <c r="J49" s="12">
        <v>-2.2000000000000002</v>
      </c>
      <c r="K49" s="12">
        <v>0.3</v>
      </c>
      <c r="L49" s="12">
        <v>-4.7</v>
      </c>
      <c r="M49" s="12">
        <v>38.700000000000003</v>
      </c>
      <c r="N49" s="12">
        <v>-19.100000000000001</v>
      </c>
      <c r="O49" s="12">
        <v>-16.5</v>
      </c>
      <c r="P49" s="7">
        <v>7830.4</v>
      </c>
      <c r="Q49" s="7">
        <v>583.1</v>
      </c>
      <c r="R49" s="7">
        <v>6.9</v>
      </c>
      <c r="S49" s="12">
        <v>12.8019324</v>
      </c>
      <c r="T49" s="12">
        <v>9.5</v>
      </c>
      <c r="U49" s="12">
        <v>65.910860799999995</v>
      </c>
      <c r="V49" s="12">
        <v>180.87666669999999</v>
      </c>
      <c r="W49" s="12">
        <v>-5.8303083000000004</v>
      </c>
      <c r="X49" s="12">
        <v>-39.9611473</v>
      </c>
      <c r="Y49" s="12">
        <v>-2.3028841999999998</v>
      </c>
      <c r="Z49" s="12">
        <v>-0.19099930000000001</v>
      </c>
      <c r="AA49" s="12">
        <v>54.817659300000003</v>
      </c>
      <c r="AB49" s="12">
        <v>12.975727300000001</v>
      </c>
      <c r="AC49" s="12">
        <v>29.155920999999999</v>
      </c>
      <c r="AD49" s="12">
        <v>41.3887894</v>
      </c>
      <c r="AE49" s="12">
        <v>37.234513100000001</v>
      </c>
      <c r="AF49" s="12">
        <v>-3.4274669000000002</v>
      </c>
      <c r="AG49" s="7" t="s">
        <v>107</v>
      </c>
    </row>
    <row r="50" spans="1:33" s="11" customFormat="1" outlineLevel="1" x14ac:dyDescent="0.3">
      <c r="A50" s="11" t="s">
        <v>56</v>
      </c>
      <c r="B50" s="12">
        <v>-5.8020649999999998</v>
      </c>
      <c r="C50" s="12">
        <v>90.723333299999993</v>
      </c>
      <c r="D50" s="12">
        <v>0.90834930000000003</v>
      </c>
      <c r="E50" s="17">
        <v>1.0833333000000001</v>
      </c>
      <c r="F50" s="13">
        <v>58.696666700000002</v>
      </c>
      <c r="G50" s="12">
        <v>9.9266290000000001</v>
      </c>
      <c r="H50" s="12">
        <v>5.9851519</v>
      </c>
      <c r="I50" s="12">
        <v>-4.9923969000000001</v>
      </c>
      <c r="J50" s="12">
        <v>-2.5969826999999999</v>
      </c>
      <c r="K50" s="12">
        <v>1.1081217999999999</v>
      </c>
      <c r="L50" s="12">
        <v>7.3223719999999997</v>
      </c>
      <c r="M50" s="12">
        <v>-32.389758499999999</v>
      </c>
      <c r="N50" s="12">
        <v>-18.328799</v>
      </c>
      <c r="O50" s="12">
        <v>-26.6869555</v>
      </c>
      <c r="P50" s="7">
        <v>7896.6</v>
      </c>
      <c r="Q50" s="7">
        <v>568.20000000000005</v>
      </c>
      <c r="R50" s="7">
        <v>6.7</v>
      </c>
      <c r="S50" s="12">
        <v>10.2322355</v>
      </c>
      <c r="T50" s="12">
        <v>8.5</v>
      </c>
      <c r="U50" s="12">
        <v>67.370670000000004</v>
      </c>
      <c r="V50" s="12">
        <v>204.74666669999999</v>
      </c>
      <c r="W50" s="12">
        <v>0.72437439999999997</v>
      </c>
      <c r="X50" s="12">
        <v>-34.828054799999997</v>
      </c>
      <c r="Y50" s="12">
        <v>-14.2119848</v>
      </c>
      <c r="Z50" s="12">
        <v>-2.6025944000000001</v>
      </c>
      <c r="AA50" s="12">
        <v>46.0676214</v>
      </c>
      <c r="AB50" s="12">
        <v>14.8146769</v>
      </c>
      <c r="AC50" s="12">
        <v>29.377670699999999</v>
      </c>
      <c r="AD50" s="12">
        <v>42.657772799999996</v>
      </c>
      <c r="AE50" s="12">
        <v>40.397610899999997</v>
      </c>
      <c r="AF50" s="12">
        <v>-4.3074763999999996</v>
      </c>
      <c r="AG50" s="7" t="s">
        <v>107</v>
      </c>
    </row>
    <row r="51" spans="1:33" s="11" customFormat="1" outlineLevel="1" x14ac:dyDescent="0.3">
      <c r="A51" s="11" t="s">
        <v>57</v>
      </c>
      <c r="B51" s="12">
        <v>-4.1677857999999999</v>
      </c>
      <c r="C51" s="12">
        <v>90.663333300000005</v>
      </c>
      <c r="D51" s="12">
        <v>0.37642540000000002</v>
      </c>
      <c r="E51" s="17">
        <v>1</v>
      </c>
      <c r="F51" s="13">
        <v>68.2</v>
      </c>
      <c r="G51" s="12">
        <v>-2.3953774999999999</v>
      </c>
      <c r="H51" s="12">
        <v>-5.4252257999999998</v>
      </c>
      <c r="I51" s="12">
        <v>-3.2141695000000001</v>
      </c>
      <c r="J51" s="12">
        <v>-5.6763000000000001E-2</v>
      </c>
      <c r="K51" s="12">
        <v>5.7298074000000003</v>
      </c>
      <c r="L51" s="12">
        <v>-9.4742999999999997E-3</v>
      </c>
      <c r="M51" s="12">
        <v>12.6562812</v>
      </c>
      <c r="N51" s="12">
        <v>-0.1413478</v>
      </c>
      <c r="O51" s="12">
        <v>-23.307665199999999</v>
      </c>
      <c r="P51" s="7">
        <v>7955.2</v>
      </c>
      <c r="Q51" s="7">
        <v>535.70000000000005</v>
      </c>
      <c r="R51" s="7">
        <v>6.3</v>
      </c>
      <c r="S51" s="12">
        <v>8.8099808999999993</v>
      </c>
      <c r="T51" s="12">
        <v>7</v>
      </c>
      <c r="U51" s="12">
        <v>68.091155599999993</v>
      </c>
      <c r="V51" s="12">
        <v>215.52666669999999</v>
      </c>
      <c r="W51" s="12">
        <v>5.4461503000000002</v>
      </c>
      <c r="X51" s="12">
        <v>-15.8363435</v>
      </c>
      <c r="Y51" s="12">
        <v>-22.4808789</v>
      </c>
      <c r="Z51" s="12">
        <v>0.91308089999999997</v>
      </c>
      <c r="AA51" s="12">
        <v>45.2666574</v>
      </c>
      <c r="AB51" s="12">
        <v>11.0655503</v>
      </c>
      <c r="AC51" s="12">
        <v>35.459759400000003</v>
      </c>
      <c r="AD51" s="12">
        <v>45.229919199999998</v>
      </c>
      <c r="AE51" s="12">
        <v>35.146140899999999</v>
      </c>
      <c r="AF51" s="12">
        <v>-4.0809632000000002</v>
      </c>
      <c r="AG51" s="7" t="s">
        <v>107</v>
      </c>
    </row>
    <row r="52" spans="1:33" s="11" customFormat="1" outlineLevel="1" x14ac:dyDescent="0.3">
      <c r="A52" s="11" t="s">
        <v>58</v>
      </c>
      <c r="B52" s="12">
        <v>-1.8288317999999999</v>
      </c>
      <c r="C52" s="12">
        <v>91.146666699999997</v>
      </c>
      <c r="D52" s="12">
        <v>1.0159222999999999</v>
      </c>
      <c r="E52" s="17">
        <v>1</v>
      </c>
      <c r="F52" s="13">
        <v>74.63</v>
      </c>
      <c r="G52" s="12">
        <v>-26.646816699999999</v>
      </c>
      <c r="H52" s="12">
        <v>-38.451593299999999</v>
      </c>
      <c r="I52" s="12">
        <v>-4.3640577</v>
      </c>
      <c r="J52" s="12">
        <v>7.1790009000000001</v>
      </c>
      <c r="K52" s="12">
        <v>-2.3179634999999998</v>
      </c>
      <c r="L52" s="12">
        <v>0.39036290000000001</v>
      </c>
      <c r="M52" s="12">
        <v>-0.95621639999999997</v>
      </c>
      <c r="N52" s="12">
        <v>-8.5285636</v>
      </c>
      <c r="O52" s="12">
        <v>5.5021472999999999</v>
      </c>
      <c r="P52" s="7">
        <v>7937.4</v>
      </c>
      <c r="Q52" s="7">
        <v>531.79999999999995</v>
      </c>
      <c r="R52" s="7">
        <v>6.3</v>
      </c>
      <c r="S52" s="12">
        <v>11.717003099999999</v>
      </c>
      <c r="T52" s="12">
        <v>7</v>
      </c>
      <c r="U52" s="12">
        <v>68.957661000000002</v>
      </c>
      <c r="V52" s="12">
        <v>221.55</v>
      </c>
      <c r="W52" s="12">
        <v>10.282385700000001</v>
      </c>
      <c r="X52" s="12">
        <v>12.016985399999999</v>
      </c>
      <c r="Y52" s="12">
        <v>-25.149951399999999</v>
      </c>
      <c r="Z52" s="12">
        <v>0.69015309999999996</v>
      </c>
      <c r="AA52" s="12">
        <v>46.3491383</v>
      </c>
      <c r="AB52" s="12">
        <v>9.4450570000000003</v>
      </c>
      <c r="AC52" s="12">
        <v>24.8618278</v>
      </c>
      <c r="AD52" s="12">
        <v>38.914495600000002</v>
      </c>
      <c r="AE52" s="12">
        <v>27.145815500000001</v>
      </c>
      <c r="AF52" s="12">
        <v>-4.7743444000000004</v>
      </c>
      <c r="AG52" s="12">
        <v>13.0098486</v>
      </c>
    </row>
    <row r="53" spans="1:33" s="11" customFormat="1" outlineLevel="1" x14ac:dyDescent="0.3">
      <c r="A53" s="11" t="s">
        <v>59</v>
      </c>
      <c r="B53" s="12">
        <v>1.1991562</v>
      </c>
      <c r="C53" s="12">
        <v>91.416666699999993</v>
      </c>
      <c r="D53" s="12">
        <v>1.709687</v>
      </c>
      <c r="E53" s="17">
        <v>1</v>
      </c>
      <c r="F53" s="13">
        <v>76.25</v>
      </c>
      <c r="G53" s="12">
        <v>41.450232800000002</v>
      </c>
      <c r="H53" s="12">
        <v>23.095924</v>
      </c>
      <c r="I53" s="12">
        <v>-0.56432939999999998</v>
      </c>
      <c r="J53" s="12">
        <v>7.1</v>
      </c>
      <c r="K53" s="12">
        <v>3.8</v>
      </c>
      <c r="L53" s="12">
        <v>11.2</v>
      </c>
      <c r="M53" s="12">
        <v>-11.1</v>
      </c>
      <c r="N53" s="12">
        <v>5.0999999999999996</v>
      </c>
      <c r="O53" s="12">
        <v>-8.6</v>
      </c>
      <c r="P53" s="7">
        <v>8029.3</v>
      </c>
      <c r="Q53" s="7">
        <v>526.20000000000005</v>
      </c>
      <c r="R53" s="7">
        <v>6.2</v>
      </c>
      <c r="S53" s="12">
        <v>8.5150818000000008</v>
      </c>
      <c r="T53" s="12">
        <v>7</v>
      </c>
      <c r="U53" s="12">
        <v>70.906048999999996</v>
      </c>
      <c r="V53" s="12">
        <v>204.86</v>
      </c>
      <c r="W53" s="12">
        <v>10.631756299999999</v>
      </c>
      <c r="X53" s="12">
        <v>51.643885599999997</v>
      </c>
      <c r="Y53" s="12">
        <v>-7.9002768999999997</v>
      </c>
      <c r="Z53" s="12">
        <v>13.755745599999999</v>
      </c>
      <c r="AA53" s="12">
        <v>46.970162000000002</v>
      </c>
      <c r="AB53" s="12">
        <v>11.329875100000001</v>
      </c>
      <c r="AC53" s="12">
        <v>20.998951399999999</v>
      </c>
      <c r="AD53" s="12">
        <v>53.088171000000003</v>
      </c>
      <c r="AE53" s="12">
        <v>29.511837499999999</v>
      </c>
      <c r="AF53" s="12">
        <v>-12.091709099999999</v>
      </c>
      <c r="AG53" s="7" t="s">
        <v>107</v>
      </c>
    </row>
    <row r="54" spans="1:33" s="11" customFormat="1" outlineLevel="1" x14ac:dyDescent="0.3">
      <c r="A54" s="11" t="s">
        <v>60</v>
      </c>
      <c r="B54" s="12">
        <v>2.6157658000000001</v>
      </c>
      <c r="C54" s="12">
        <v>92.57</v>
      </c>
      <c r="D54" s="12">
        <v>2.0354926</v>
      </c>
      <c r="E54" s="17">
        <v>1</v>
      </c>
      <c r="F54" s="13">
        <v>78.510000000000005</v>
      </c>
      <c r="G54" s="12">
        <v>13.7246749</v>
      </c>
      <c r="H54" s="12">
        <v>16.559905499999999</v>
      </c>
      <c r="I54" s="12">
        <v>-3.8761182999999999</v>
      </c>
      <c r="J54" s="12">
        <v>8.7939098999999992</v>
      </c>
      <c r="K54" s="12">
        <v>6.0133644999999998</v>
      </c>
      <c r="L54" s="12">
        <v>-4.5898073000000004</v>
      </c>
      <c r="M54" s="12">
        <v>6.4913879999999997</v>
      </c>
      <c r="N54" s="12">
        <v>15.8477421</v>
      </c>
      <c r="O54" s="12">
        <v>-4.2378988</v>
      </c>
      <c r="P54" s="7">
        <v>8116.5</v>
      </c>
      <c r="Q54" s="7">
        <v>503.9</v>
      </c>
      <c r="R54" s="7">
        <v>5.8</v>
      </c>
      <c r="S54" s="12">
        <v>16.419322999999999</v>
      </c>
      <c r="T54" s="12">
        <v>7</v>
      </c>
      <c r="U54" s="12">
        <v>72.284294599999996</v>
      </c>
      <c r="V54" s="12">
        <v>187.03333330000001</v>
      </c>
      <c r="W54" s="12">
        <v>8.9026622999999994</v>
      </c>
      <c r="X54" s="12">
        <v>39.615435400000003</v>
      </c>
      <c r="Y54" s="12">
        <v>13.0245789</v>
      </c>
      <c r="Z54" s="12">
        <v>0.92974230000000002</v>
      </c>
      <c r="AA54" s="12">
        <v>40.241932599999998</v>
      </c>
      <c r="AB54" s="12">
        <v>13.0967795</v>
      </c>
      <c r="AC54" s="12">
        <v>25.345442500000001</v>
      </c>
      <c r="AD54" s="12">
        <v>54.2648972</v>
      </c>
      <c r="AE54" s="12">
        <v>32.491554800000003</v>
      </c>
      <c r="AF54" s="12">
        <v>-10.2971009</v>
      </c>
      <c r="AG54" s="7" t="s">
        <v>107</v>
      </c>
    </row>
    <row r="55" spans="1:33" s="11" customFormat="1" outlineLevel="1" x14ac:dyDescent="0.3">
      <c r="A55" s="11" t="s">
        <v>61</v>
      </c>
      <c r="B55" s="12">
        <v>2.4618717000000001</v>
      </c>
      <c r="C55" s="12">
        <v>92.583333300000007</v>
      </c>
      <c r="D55" s="12">
        <v>2.1177248999999998</v>
      </c>
      <c r="E55" s="17">
        <v>1</v>
      </c>
      <c r="F55" s="13">
        <v>76.819999999999993</v>
      </c>
      <c r="G55" s="12">
        <v>17.800559799999998</v>
      </c>
      <c r="H55" s="12">
        <v>9.5501012000000003</v>
      </c>
      <c r="I55" s="12">
        <v>-4.4801997</v>
      </c>
      <c r="J55" s="12">
        <v>6.7926852999999996</v>
      </c>
      <c r="K55" s="12">
        <v>14.14805</v>
      </c>
      <c r="L55" s="12">
        <v>2.9332685000000001</v>
      </c>
      <c r="M55" s="12">
        <v>-17.3153951</v>
      </c>
      <c r="N55" s="12">
        <v>9.2816770000000002</v>
      </c>
      <c r="O55" s="12">
        <v>19.0714854</v>
      </c>
      <c r="P55" s="7">
        <v>8171.1</v>
      </c>
      <c r="Q55" s="7">
        <v>481.6</v>
      </c>
      <c r="R55" s="7">
        <v>5.6</v>
      </c>
      <c r="S55" s="12">
        <v>17.564487</v>
      </c>
      <c r="T55" s="12">
        <v>7</v>
      </c>
      <c r="U55" s="12">
        <v>72.815086500000007</v>
      </c>
      <c r="V55" s="12">
        <v>190.15666669999999</v>
      </c>
      <c r="W55" s="12">
        <v>10.329383</v>
      </c>
      <c r="X55" s="12">
        <v>25.1718464</v>
      </c>
      <c r="Y55" s="12">
        <v>30.509658999999999</v>
      </c>
      <c r="Z55" s="12">
        <v>-2.3965447000000002</v>
      </c>
      <c r="AA55" s="12">
        <v>45.410310899999999</v>
      </c>
      <c r="AB55" s="12">
        <v>10.8405232</v>
      </c>
      <c r="AC55" s="12">
        <v>25.906822500000001</v>
      </c>
      <c r="AD55" s="12">
        <v>44.973295800000002</v>
      </c>
      <c r="AE55" s="12">
        <v>33.663511999999997</v>
      </c>
      <c r="AF55" s="12">
        <v>-8.0576998</v>
      </c>
      <c r="AG55" s="7" t="s">
        <v>107</v>
      </c>
    </row>
    <row r="56" spans="1:33" s="11" customFormat="1" outlineLevel="1" x14ac:dyDescent="0.3">
      <c r="A56" s="11" t="s">
        <v>62</v>
      </c>
      <c r="B56" s="12">
        <v>2.3931737000000002</v>
      </c>
      <c r="C56" s="12">
        <v>93.383333300000004</v>
      </c>
      <c r="D56" s="12">
        <v>2.4539203000000001</v>
      </c>
      <c r="E56" s="17">
        <v>1</v>
      </c>
      <c r="F56" s="13">
        <v>86.466666700000005</v>
      </c>
      <c r="G56" s="12">
        <v>17.234779</v>
      </c>
      <c r="H56" s="12">
        <v>40.498482899999999</v>
      </c>
      <c r="I56" s="12">
        <v>-1.0386198</v>
      </c>
      <c r="J56" s="12">
        <v>6.8929746999999999</v>
      </c>
      <c r="K56" s="12">
        <v>16.857040699999999</v>
      </c>
      <c r="L56" s="12">
        <v>3.3151609999999998</v>
      </c>
      <c r="M56" s="12">
        <v>25.934117000000001</v>
      </c>
      <c r="N56" s="12">
        <v>-17.597333299999999</v>
      </c>
      <c r="O56" s="12">
        <v>8.39696</v>
      </c>
      <c r="P56" s="7">
        <v>8141.4</v>
      </c>
      <c r="Q56" s="7">
        <v>474.7</v>
      </c>
      <c r="R56" s="7">
        <v>5.5</v>
      </c>
      <c r="S56" s="12">
        <v>16.408253200000001</v>
      </c>
      <c r="T56" s="12">
        <v>7</v>
      </c>
      <c r="U56" s="12">
        <v>74.330616199999994</v>
      </c>
      <c r="V56" s="12">
        <v>200.64</v>
      </c>
      <c r="W56" s="12">
        <v>8.0523884999999993</v>
      </c>
      <c r="X56" s="12">
        <v>30.0859138</v>
      </c>
      <c r="Y56" s="12">
        <v>39.542780700000002</v>
      </c>
      <c r="Z56" s="12">
        <v>-0.92576139999999996</v>
      </c>
      <c r="AA56" s="12">
        <v>47.665894399999999</v>
      </c>
      <c r="AB56" s="12">
        <v>9.1261281000000007</v>
      </c>
      <c r="AC56" s="12">
        <v>27.304413</v>
      </c>
      <c r="AD56" s="12">
        <v>32.978389700000001</v>
      </c>
      <c r="AE56" s="12">
        <v>25.846015999999999</v>
      </c>
      <c r="AF56" s="12">
        <v>-4.9370820000000002</v>
      </c>
      <c r="AG56" s="12">
        <v>14.8061405</v>
      </c>
    </row>
    <row r="57" spans="1:33" s="11" customFormat="1" outlineLevel="1" x14ac:dyDescent="0.3">
      <c r="A57" s="11" t="s">
        <v>63</v>
      </c>
      <c r="B57" s="12">
        <v>3.2110127999999998</v>
      </c>
      <c r="C57" s="12">
        <v>94.073333300000002</v>
      </c>
      <c r="D57" s="12">
        <v>2.9061075000000001</v>
      </c>
      <c r="E57" s="17">
        <v>1</v>
      </c>
      <c r="F57" s="13">
        <v>104.96</v>
      </c>
      <c r="G57" s="12">
        <v>17.1673683</v>
      </c>
      <c r="H57" s="12">
        <v>9.7171596999999998</v>
      </c>
      <c r="I57" s="12">
        <v>-1.9009876000000001</v>
      </c>
      <c r="J57" s="12">
        <v>6.6</v>
      </c>
      <c r="K57" s="12">
        <v>7.5</v>
      </c>
      <c r="L57" s="12">
        <v>8.4</v>
      </c>
      <c r="M57" s="12">
        <v>1.5</v>
      </c>
      <c r="N57" s="12">
        <v>3.1</v>
      </c>
      <c r="O57" s="12">
        <v>1.9</v>
      </c>
      <c r="P57" s="7">
        <v>8134.5</v>
      </c>
      <c r="Q57" s="7">
        <v>475.9</v>
      </c>
      <c r="R57" s="7">
        <v>5.5</v>
      </c>
      <c r="S57" s="12">
        <v>18.4062561</v>
      </c>
      <c r="T57" s="12">
        <v>7.5</v>
      </c>
      <c r="U57" s="12">
        <v>77.037454400000001</v>
      </c>
      <c r="V57" s="12">
        <v>199.91333330000001</v>
      </c>
      <c r="W57" s="12">
        <v>5.7867034000000004</v>
      </c>
      <c r="X57" s="12">
        <v>62.455513400000001</v>
      </c>
      <c r="Y57" s="12">
        <v>16.0882799</v>
      </c>
      <c r="Z57" s="12">
        <v>27.621161000000001</v>
      </c>
      <c r="AA57" s="12">
        <v>41.8207734</v>
      </c>
      <c r="AB57" s="12">
        <v>11.6278285</v>
      </c>
      <c r="AC57" s="12">
        <v>22.231355199999999</v>
      </c>
      <c r="AD57" s="12">
        <v>48.802720000000001</v>
      </c>
      <c r="AE57" s="12">
        <v>25.653701600000002</v>
      </c>
      <c r="AF57" s="12">
        <v>-1.6640454</v>
      </c>
      <c r="AG57" s="7" t="s">
        <v>107</v>
      </c>
    </row>
    <row r="58" spans="1:33" s="11" customFormat="1" outlineLevel="1" x14ac:dyDescent="0.3">
      <c r="A58" s="11" t="s">
        <v>64</v>
      </c>
      <c r="B58" s="12">
        <v>2.1036085</v>
      </c>
      <c r="C58" s="12">
        <v>95.516666700000002</v>
      </c>
      <c r="D58" s="12">
        <v>3.1831767000000002</v>
      </c>
      <c r="E58" s="17">
        <v>1.25</v>
      </c>
      <c r="F58" s="13">
        <v>117.36</v>
      </c>
      <c r="G58" s="12">
        <v>25.054395400000001</v>
      </c>
      <c r="H58" s="12">
        <v>45.212469900000002</v>
      </c>
      <c r="I58" s="12">
        <v>-0.2472579</v>
      </c>
      <c r="J58" s="12">
        <v>7.3894121000000004</v>
      </c>
      <c r="K58" s="12">
        <v>10.2874248</v>
      </c>
      <c r="L58" s="12">
        <v>18.736015099999999</v>
      </c>
      <c r="M58" s="12">
        <v>3.1054621999999998</v>
      </c>
      <c r="N58" s="12">
        <v>8.6018723999999995</v>
      </c>
      <c r="O58" s="12">
        <v>17.116952099999999</v>
      </c>
      <c r="P58" s="7">
        <v>8204.4</v>
      </c>
      <c r="Q58" s="7">
        <v>467</v>
      </c>
      <c r="R58" s="7">
        <v>5.4</v>
      </c>
      <c r="S58" s="12">
        <v>10.5630027</v>
      </c>
      <c r="T58" s="12">
        <v>7.5</v>
      </c>
      <c r="U58" s="12">
        <v>78.402869100000004</v>
      </c>
      <c r="V58" s="12">
        <v>209.55333329999999</v>
      </c>
      <c r="W58" s="12">
        <v>5.4224306999999996</v>
      </c>
      <c r="X58" s="12">
        <v>24.188265099999999</v>
      </c>
      <c r="Y58" s="12">
        <v>15.777135100000001</v>
      </c>
      <c r="Z58" s="12">
        <v>3.9988397</v>
      </c>
      <c r="AA58" s="12">
        <v>36.780884</v>
      </c>
      <c r="AB58" s="12">
        <v>11.8880699</v>
      </c>
      <c r="AC58" s="12">
        <v>19.1320725</v>
      </c>
      <c r="AD58" s="12">
        <v>64.795453300000005</v>
      </c>
      <c r="AE58" s="12">
        <v>32.955292900000003</v>
      </c>
      <c r="AF58" s="12">
        <v>4.2735728000000002</v>
      </c>
      <c r="AG58" s="7" t="s">
        <v>107</v>
      </c>
    </row>
    <row r="59" spans="1:33" s="11" customFormat="1" outlineLevel="1" x14ac:dyDescent="0.3">
      <c r="A59" s="11" t="s">
        <v>65</v>
      </c>
      <c r="B59" s="12">
        <v>1.8176159000000001</v>
      </c>
      <c r="C59" s="12">
        <v>95.433333300000001</v>
      </c>
      <c r="D59" s="12">
        <v>3.0783078000000001</v>
      </c>
      <c r="E59" s="17">
        <v>1.5</v>
      </c>
      <c r="F59" s="13">
        <v>113.34</v>
      </c>
      <c r="G59" s="12">
        <v>15.384173499999999</v>
      </c>
      <c r="H59" s="12">
        <v>43.141441899999997</v>
      </c>
      <c r="I59" s="12">
        <v>-0.19378020000000001</v>
      </c>
      <c r="J59" s="12">
        <v>8.8080961000000002</v>
      </c>
      <c r="K59" s="12">
        <v>9.6325380000000003</v>
      </c>
      <c r="L59" s="12">
        <v>27.395187799999999</v>
      </c>
      <c r="M59" s="12">
        <v>11.2262874</v>
      </c>
      <c r="N59" s="12">
        <v>-13.065236199999999</v>
      </c>
      <c r="O59" s="12">
        <v>-9.7397328999999999</v>
      </c>
      <c r="P59" s="7">
        <v>8443.2999999999993</v>
      </c>
      <c r="Q59" s="7">
        <v>472.3</v>
      </c>
      <c r="R59" s="7">
        <v>5.3</v>
      </c>
      <c r="S59" s="12">
        <v>14.9448478</v>
      </c>
      <c r="T59" s="12">
        <v>7.5</v>
      </c>
      <c r="U59" s="12">
        <v>79.320821800000004</v>
      </c>
      <c r="V59" s="12">
        <v>207.35666670000001</v>
      </c>
      <c r="W59" s="12">
        <v>1.3859117000000001</v>
      </c>
      <c r="X59" s="12">
        <v>22.244450499999999</v>
      </c>
      <c r="Y59" s="12">
        <v>7.37955E-2</v>
      </c>
      <c r="Z59" s="12">
        <v>2.1937337000000001</v>
      </c>
      <c r="AA59" s="12">
        <v>38.241078100000003</v>
      </c>
      <c r="AB59" s="12">
        <v>9.3091907000000003</v>
      </c>
      <c r="AC59" s="12">
        <v>21.1464879</v>
      </c>
      <c r="AD59" s="12">
        <v>46.190355799999999</v>
      </c>
      <c r="AE59" s="12">
        <v>26.831962600000001</v>
      </c>
      <c r="AF59" s="12">
        <v>6.5371886999999997</v>
      </c>
      <c r="AG59" s="7" t="s">
        <v>107</v>
      </c>
    </row>
    <row r="60" spans="1:33" s="11" customFormat="1" outlineLevel="1" x14ac:dyDescent="0.3">
      <c r="A60" s="11" t="s">
        <v>66</v>
      </c>
      <c r="B60" s="12">
        <v>0.47384009999999999</v>
      </c>
      <c r="C60" s="12">
        <v>96.41</v>
      </c>
      <c r="D60" s="12">
        <v>3.2411208999999999</v>
      </c>
      <c r="E60" s="17">
        <v>1.25</v>
      </c>
      <c r="F60" s="13">
        <v>109.3966667</v>
      </c>
      <c r="G60" s="12">
        <v>32.200998200000001</v>
      </c>
      <c r="H60" s="12">
        <v>6.6088075000000002</v>
      </c>
      <c r="I60" s="12">
        <v>-4.5912908999999997</v>
      </c>
      <c r="J60" s="12">
        <v>6.7859949999999998</v>
      </c>
      <c r="K60" s="12">
        <v>15.983963899999999</v>
      </c>
      <c r="L60" s="12">
        <v>0.3154729</v>
      </c>
      <c r="M60" s="12">
        <v>4.8244119000000003</v>
      </c>
      <c r="N60" s="12">
        <v>4.2984894999999996</v>
      </c>
      <c r="O60" s="12">
        <v>0.67646070000000003</v>
      </c>
      <c r="P60" s="7">
        <v>8429.1</v>
      </c>
      <c r="Q60" s="7">
        <v>477.3</v>
      </c>
      <c r="R60" s="7">
        <v>5.4</v>
      </c>
      <c r="S60" s="12">
        <v>19.611354299999999</v>
      </c>
      <c r="T60" s="12">
        <v>7.5</v>
      </c>
      <c r="U60" s="12">
        <v>80.116730000000004</v>
      </c>
      <c r="V60" s="12">
        <v>199.63</v>
      </c>
      <c r="W60" s="12">
        <v>1.227759</v>
      </c>
      <c r="X60" s="12">
        <v>27.700733899999999</v>
      </c>
      <c r="Y60" s="12">
        <v>12.0879823</v>
      </c>
      <c r="Z60" s="12">
        <v>2.1973786</v>
      </c>
      <c r="AA60" s="12">
        <v>48.845092000000001</v>
      </c>
      <c r="AB60" s="12">
        <v>9.8653552999999992</v>
      </c>
      <c r="AC60" s="12">
        <v>27.2747967</v>
      </c>
      <c r="AD60" s="12">
        <v>33.915588900000003</v>
      </c>
      <c r="AE60" s="12">
        <v>23.113754799999999</v>
      </c>
      <c r="AF60" s="12">
        <v>10.8774689</v>
      </c>
      <c r="AG60" s="12">
        <v>11.9660726</v>
      </c>
    </row>
    <row r="61" spans="1:33" s="11" customFormat="1" outlineLevel="1" x14ac:dyDescent="0.3">
      <c r="A61" s="11" t="s">
        <v>67</v>
      </c>
      <c r="B61" s="12">
        <v>3.7986600000000002E-2</v>
      </c>
      <c r="C61" s="12">
        <v>96.803333300000006</v>
      </c>
      <c r="D61" s="12">
        <v>2.9019914</v>
      </c>
      <c r="E61" s="17">
        <v>1</v>
      </c>
      <c r="F61" s="13">
        <v>118.49</v>
      </c>
      <c r="G61" s="12">
        <v>16.977930400000002</v>
      </c>
      <c r="H61" s="12">
        <v>28.566713100000001</v>
      </c>
      <c r="I61" s="12">
        <v>0.13295109999999999</v>
      </c>
      <c r="J61" s="12">
        <v>5.7</v>
      </c>
      <c r="K61" s="12">
        <v>12.1</v>
      </c>
      <c r="L61" s="12">
        <v>15.8</v>
      </c>
      <c r="M61" s="12">
        <v>9.1999999999999993</v>
      </c>
      <c r="N61" s="12">
        <v>6</v>
      </c>
      <c r="O61" s="12">
        <v>28.6</v>
      </c>
      <c r="P61" s="7">
        <v>8462.5</v>
      </c>
      <c r="Q61" s="7">
        <v>478.5</v>
      </c>
      <c r="R61" s="7">
        <v>5.4</v>
      </c>
      <c r="S61" s="12">
        <v>17.322244900000001</v>
      </c>
      <c r="T61" s="12">
        <v>7</v>
      </c>
      <c r="U61" s="12">
        <v>80.974008600000005</v>
      </c>
      <c r="V61" s="12">
        <v>194.12333330000001</v>
      </c>
      <c r="W61" s="12">
        <v>2.7322921999999998</v>
      </c>
      <c r="X61" s="12">
        <v>-1.6936061</v>
      </c>
      <c r="Y61" s="12">
        <v>37.701693200000001</v>
      </c>
      <c r="Z61" s="12">
        <v>11.340409899999999</v>
      </c>
      <c r="AA61" s="12">
        <v>42.703219699999998</v>
      </c>
      <c r="AB61" s="12">
        <v>12.7561996</v>
      </c>
      <c r="AC61" s="12">
        <v>22.633203200000001</v>
      </c>
      <c r="AD61" s="12">
        <v>53.191367200000002</v>
      </c>
      <c r="AE61" s="12">
        <v>29.777748899999999</v>
      </c>
      <c r="AF61" s="12">
        <v>12.6145931</v>
      </c>
      <c r="AG61" s="7" t="s">
        <v>107</v>
      </c>
    </row>
    <row r="62" spans="1:33" s="11" customFormat="1" outlineLevel="1" x14ac:dyDescent="0.3">
      <c r="A62" s="11" t="s">
        <v>68</v>
      </c>
      <c r="B62" s="12">
        <v>-0.91019320000000004</v>
      </c>
      <c r="C62" s="12">
        <v>97.993333300000003</v>
      </c>
      <c r="D62" s="12">
        <v>2.5929156999999998</v>
      </c>
      <c r="E62" s="17">
        <v>1</v>
      </c>
      <c r="F62" s="13">
        <v>108.41666669999999</v>
      </c>
      <c r="G62" s="12">
        <v>24.8757424</v>
      </c>
      <c r="H62" s="12">
        <v>20.281824199999999</v>
      </c>
      <c r="I62" s="12">
        <v>-1.3163298000000001</v>
      </c>
      <c r="J62" s="12">
        <v>4.9134504000000003</v>
      </c>
      <c r="K62" s="12">
        <v>16.031941100000001</v>
      </c>
      <c r="L62" s="12">
        <v>3.7216808000000001</v>
      </c>
      <c r="M62" s="12">
        <v>3.7438977000000002</v>
      </c>
      <c r="N62" s="12">
        <v>1.8790707</v>
      </c>
      <c r="O62" s="12">
        <v>9.2355861000000008</v>
      </c>
      <c r="P62" s="7">
        <v>8526.7000000000007</v>
      </c>
      <c r="Q62" s="7">
        <v>473.1</v>
      </c>
      <c r="R62" s="7">
        <v>5.3</v>
      </c>
      <c r="S62" s="12">
        <v>17.880385499999999</v>
      </c>
      <c r="T62" s="12">
        <v>6</v>
      </c>
      <c r="U62" s="12">
        <v>82.276460900000004</v>
      </c>
      <c r="V62" s="12">
        <v>190.21666669999999</v>
      </c>
      <c r="W62" s="12">
        <v>0.4651653</v>
      </c>
      <c r="X62" s="12">
        <v>8.5069996999999997</v>
      </c>
      <c r="Y62" s="12">
        <v>19.652841200000001</v>
      </c>
      <c r="Z62" s="12">
        <v>0.55881610000000004</v>
      </c>
      <c r="AA62" s="12">
        <v>39.384575499999997</v>
      </c>
      <c r="AB62" s="12">
        <v>13.587283100000001</v>
      </c>
      <c r="AC62" s="12">
        <v>17.374636200000001</v>
      </c>
      <c r="AD62" s="12">
        <v>54.284242499999998</v>
      </c>
      <c r="AE62" s="12">
        <v>32.125297199999999</v>
      </c>
      <c r="AF62" s="12">
        <v>14.271391899999999</v>
      </c>
      <c r="AG62" s="7" t="s">
        <v>107</v>
      </c>
    </row>
    <row r="63" spans="1:33" s="11" customFormat="1" outlineLevel="1" x14ac:dyDescent="0.3">
      <c r="A63" s="11" t="s">
        <v>69</v>
      </c>
      <c r="B63" s="12">
        <v>-1.0352741000000001</v>
      </c>
      <c r="C63" s="12">
        <v>97.9566667</v>
      </c>
      <c r="D63" s="12">
        <v>2.6440796999999998</v>
      </c>
      <c r="E63" s="17">
        <v>0.75</v>
      </c>
      <c r="F63" s="13">
        <v>109.61333329999999</v>
      </c>
      <c r="G63" s="12">
        <v>15.147400299999999</v>
      </c>
      <c r="H63" s="12">
        <v>-2.6763604000000001</v>
      </c>
      <c r="I63" s="12">
        <v>-3.2628721999999999</v>
      </c>
      <c r="J63" s="12">
        <v>4.5329931999999999</v>
      </c>
      <c r="K63" s="12">
        <v>7.5331688999999997</v>
      </c>
      <c r="L63" s="12">
        <v>22.567640000000001</v>
      </c>
      <c r="M63" s="12">
        <v>24.6873559</v>
      </c>
      <c r="N63" s="12">
        <v>-0.87889110000000004</v>
      </c>
      <c r="O63" s="12">
        <v>17.862156299999999</v>
      </c>
      <c r="P63" s="7">
        <v>8540.2999999999993</v>
      </c>
      <c r="Q63" s="7">
        <v>472.8</v>
      </c>
      <c r="R63" s="7">
        <v>5.2</v>
      </c>
      <c r="S63" s="12">
        <v>11.8500561</v>
      </c>
      <c r="T63" s="12">
        <v>5.5</v>
      </c>
      <c r="U63" s="12">
        <v>83.212039899999994</v>
      </c>
      <c r="V63" s="12">
        <v>187.2333333</v>
      </c>
      <c r="W63" s="12">
        <v>-1.6548916</v>
      </c>
      <c r="X63" s="12">
        <v>15.786316299999999</v>
      </c>
      <c r="Y63" s="12">
        <v>35.875147499999997</v>
      </c>
      <c r="Z63" s="12">
        <v>-1.9100398999999999</v>
      </c>
      <c r="AA63" s="12">
        <v>41.484248700000002</v>
      </c>
      <c r="AB63" s="12">
        <v>10.0196407</v>
      </c>
      <c r="AC63" s="12">
        <v>26.463549799999999</v>
      </c>
      <c r="AD63" s="12">
        <v>42.644142700000003</v>
      </c>
      <c r="AE63" s="12">
        <v>30.8611252</v>
      </c>
      <c r="AF63" s="12">
        <v>19.1097757</v>
      </c>
      <c r="AG63" s="7" t="s">
        <v>107</v>
      </c>
    </row>
    <row r="64" spans="1:33" s="11" customFormat="1" outlineLevel="1" x14ac:dyDescent="0.3">
      <c r="A64" s="11" t="s">
        <v>70</v>
      </c>
      <c r="B64" s="12">
        <v>-0.98067590000000004</v>
      </c>
      <c r="C64" s="12">
        <v>98.773333300000004</v>
      </c>
      <c r="D64" s="12">
        <v>2.4513362999999999</v>
      </c>
      <c r="E64" s="17">
        <v>0.75</v>
      </c>
      <c r="F64" s="13">
        <v>110.08666669999999</v>
      </c>
      <c r="G64" s="12">
        <v>-1.6450281</v>
      </c>
      <c r="H64" s="12">
        <v>-9.9748242000000005</v>
      </c>
      <c r="I64" s="12">
        <v>-5.3954475999999998</v>
      </c>
      <c r="J64" s="12">
        <v>4.3871596999999998</v>
      </c>
      <c r="K64" s="12">
        <v>8.3584923</v>
      </c>
      <c r="L64" s="12">
        <v>14.4530218</v>
      </c>
      <c r="M64" s="12">
        <v>10.376219799999999</v>
      </c>
      <c r="N64" s="12">
        <v>14.0884821</v>
      </c>
      <c r="O64" s="12">
        <v>40.563846900000001</v>
      </c>
      <c r="P64" s="7">
        <v>8499.9</v>
      </c>
      <c r="Q64" s="7">
        <v>474.8</v>
      </c>
      <c r="R64" s="7">
        <v>5.3</v>
      </c>
      <c r="S64" s="12">
        <v>8.3506394000000004</v>
      </c>
      <c r="T64" s="12">
        <v>5.5</v>
      </c>
      <c r="U64" s="12">
        <v>84.775424400000006</v>
      </c>
      <c r="V64" s="12">
        <v>195.10666670000001</v>
      </c>
      <c r="W64" s="12">
        <v>0.69882500000000003</v>
      </c>
      <c r="X64" s="12">
        <v>6.7094342999999999</v>
      </c>
      <c r="Y64" s="12">
        <v>25.4776208</v>
      </c>
      <c r="Z64" s="12">
        <v>-1.8838201000000001</v>
      </c>
      <c r="AA64" s="12">
        <v>52.680140000000002</v>
      </c>
      <c r="AB64" s="12">
        <v>10.5911993</v>
      </c>
      <c r="AC64" s="12">
        <v>31.032382599999998</v>
      </c>
      <c r="AD64" s="12">
        <v>33.059068600000003</v>
      </c>
      <c r="AE64" s="12">
        <v>26.866979400000002</v>
      </c>
      <c r="AF64" s="12">
        <v>21.688558</v>
      </c>
      <c r="AG64" s="12">
        <v>12.7252902</v>
      </c>
    </row>
    <row r="65" spans="1:33" s="11" customFormat="1" outlineLevel="1" x14ac:dyDescent="0.3">
      <c r="A65" s="11" t="s">
        <v>71</v>
      </c>
      <c r="B65" s="12">
        <v>-1.6415721999999999</v>
      </c>
      <c r="C65" s="12">
        <v>98.726666699999996</v>
      </c>
      <c r="D65" s="12">
        <v>1.9868463000000001</v>
      </c>
      <c r="E65" s="17">
        <v>0.75</v>
      </c>
      <c r="F65" s="13">
        <v>112.4933333</v>
      </c>
      <c r="G65" s="12">
        <v>3.2545101999999999</v>
      </c>
      <c r="H65" s="12">
        <v>8.8050309000000002</v>
      </c>
      <c r="I65" s="12">
        <v>1.2217544</v>
      </c>
      <c r="J65" s="12">
        <v>4.5999999999999996</v>
      </c>
      <c r="K65" s="12">
        <v>12.6</v>
      </c>
      <c r="L65" s="12">
        <v>3.7</v>
      </c>
      <c r="M65" s="12">
        <v>14</v>
      </c>
      <c r="N65" s="12">
        <v>-4.5999999999999996</v>
      </c>
      <c r="O65" s="12">
        <v>7.4</v>
      </c>
      <c r="P65" s="7">
        <v>8546.1</v>
      </c>
      <c r="Q65" s="7">
        <v>474.5</v>
      </c>
      <c r="R65" s="7">
        <v>5.3</v>
      </c>
      <c r="S65" s="12">
        <v>7.5798017</v>
      </c>
      <c r="T65" s="12">
        <v>5.5</v>
      </c>
      <c r="U65" s="12">
        <v>86.595863199999997</v>
      </c>
      <c r="V65" s="12">
        <v>199.13</v>
      </c>
      <c r="W65" s="12">
        <v>0.88301410000000002</v>
      </c>
      <c r="X65" s="12">
        <v>-6.3069031999999998</v>
      </c>
      <c r="Y65" s="12">
        <v>5.0162646000000004</v>
      </c>
      <c r="Z65" s="12">
        <v>7.1082036000000004</v>
      </c>
      <c r="AA65" s="12">
        <v>44.838807899999999</v>
      </c>
      <c r="AB65" s="12">
        <v>11.784321200000001</v>
      </c>
      <c r="AC65" s="12">
        <v>24.409675100000001</v>
      </c>
      <c r="AD65" s="12">
        <v>47.503000999999998</v>
      </c>
      <c r="AE65" s="12">
        <v>28.0517401</v>
      </c>
      <c r="AF65" s="12">
        <v>24.6957804</v>
      </c>
      <c r="AG65" s="7" t="s">
        <v>107</v>
      </c>
    </row>
    <row r="66" spans="1:33" s="11" customFormat="1" outlineLevel="1" x14ac:dyDescent="0.3">
      <c r="A66" s="11" t="s">
        <v>72</v>
      </c>
      <c r="B66" s="12">
        <v>-0.1331087</v>
      </c>
      <c r="C66" s="12">
        <v>99.533333299999995</v>
      </c>
      <c r="D66" s="12">
        <v>1.5715355</v>
      </c>
      <c r="E66" s="17">
        <v>0.58333330000000005</v>
      </c>
      <c r="F66" s="13">
        <v>102.5766667</v>
      </c>
      <c r="G66" s="12">
        <v>-7.3266998000000001</v>
      </c>
      <c r="H66" s="12">
        <v>-10.7404028</v>
      </c>
      <c r="I66" s="12">
        <v>-1.9279200999999999</v>
      </c>
      <c r="J66" s="12">
        <v>5.5868095000000002</v>
      </c>
      <c r="K66" s="12">
        <v>20.1396242</v>
      </c>
      <c r="L66" s="12">
        <v>-0.66128770000000003</v>
      </c>
      <c r="M66" s="12">
        <v>50.041318699999998</v>
      </c>
      <c r="N66" s="12">
        <v>-12.259676000000001</v>
      </c>
      <c r="O66" s="12">
        <v>12.0913206</v>
      </c>
      <c r="P66" s="7">
        <v>8590.7000000000007</v>
      </c>
      <c r="Q66" s="7">
        <v>469.3</v>
      </c>
      <c r="R66" s="7">
        <v>5.2</v>
      </c>
      <c r="S66" s="12">
        <v>6.6816852000000004</v>
      </c>
      <c r="T66" s="12">
        <v>5.5</v>
      </c>
      <c r="U66" s="12">
        <v>87.405565899999999</v>
      </c>
      <c r="V66" s="12">
        <v>197.2966667</v>
      </c>
      <c r="W66" s="12">
        <v>0.59937949999999995</v>
      </c>
      <c r="X66" s="12">
        <v>-2.2892060000000001</v>
      </c>
      <c r="Y66" s="12">
        <v>10.877915700000001</v>
      </c>
      <c r="Z66" s="12">
        <v>4.5307699999999999E-2</v>
      </c>
      <c r="AA66" s="12">
        <v>46.555839200000001</v>
      </c>
      <c r="AB66" s="12">
        <v>11.9407563</v>
      </c>
      <c r="AC66" s="12">
        <v>24.612000800000001</v>
      </c>
      <c r="AD66" s="12">
        <v>47.491531100000003</v>
      </c>
      <c r="AE66" s="12">
        <v>33.143825100000001</v>
      </c>
      <c r="AF66" s="12">
        <v>27.408682299999999</v>
      </c>
      <c r="AG66" s="7" t="s">
        <v>107</v>
      </c>
    </row>
    <row r="67" spans="1:33" s="11" customFormat="1" outlineLevel="1" x14ac:dyDescent="0.3">
      <c r="A67" s="11" t="s">
        <v>73</v>
      </c>
      <c r="B67" s="12">
        <v>0.53477319999999995</v>
      </c>
      <c r="C67" s="12">
        <v>99.423333299999996</v>
      </c>
      <c r="D67" s="12">
        <v>1.4972605999999999</v>
      </c>
      <c r="E67" s="17">
        <v>0.5</v>
      </c>
      <c r="F67" s="13">
        <v>110.27</v>
      </c>
      <c r="G67" s="12">
        <v>14.519082900000001</v>
      </c>
      <c r="H67" s="12">
        <v>25.218132799999999</v>
      </c>
      <c r="I67" s="12">
        <v>-1.6843782</v>
      </c>
      <c r="J67" s="12">
        <v>6.3840557999999996</v>
      </c>
      <c r="K67" s="12">
        <v>15.4921525</v>
      </c>
      <c r="L67" s="12">
        <v>1.4</v>
      </c>
      <c r="M67" s="12">
        <v>17.812638199999999</v>
      </c>
      <c r="N67" s="12">
        <v>3.3519021000000002</v>
      </c>
      <c r="O67" s="12">
        <v>24.354029700000002</v>
      </c>
      <c r="P67" s="7">
        <v>8607.7000000000007</v>
      </c>
      <c r="Q67" s="7">
        <v>468.346</v>
      </c>
      <c r="R67" s="7">
        <v>5.2</v>
      </c>
      <c r="S67" s="12">
        <v>5.7069814000000001</v>
      </c>
      <c r="T67" s="12">
        <v>5.5</v>
      </c>
      <c r="U67" s="12">
        <v>87.989474599999994</v>
      </c>
      <c r="V67" s="12">
        <v>202.55666669999999</v>
      </c>
      <c r="W67" s="12">
        <v>1.3931359000000001</v>
      </c>
      <c r="X67" s="12">
        <v>-2.7713166999999999</v>
      </c>
      <c r="Y67" s="12">
        <v>-3.0037725000000002</v>
      </c>
      <c r="Z67" s="12">
        <v>-1.3167305</v>
      </c>
      <c r="AA67" s="12">
        <v>47.0623644</v>
      </c>
      <c r="AB67" s="12">
        <v>9.5006266999999998</v>
      </c>
      <c r="AC67" s="12">
        <v>29.8791653</v>
      </c>
      <c r="AD67" s="12">
        <v>35.887563299999997</v>
      </c>
      <c r="AE67" s="12">
        <v>27.547045399999998</v>
      </c>
      <c r="AF67" s="12">
        <v>27.9384795</v>
      </c>
      <c r="AG67" s="7" t="s">
        <v>107</v>
      </c>
    </row>
    <row r="68" spans="1:33" s="11" customFormat="1" outlineLevel="1" x14ac:dyDescent="0.3">
      <c r="A68" s="11" t="s">
        <v>74</v>
      </c>
      <c r="B68" s="12">
        <v>0.83200640000000003</v>
      </c>
      <c r="C68" s="12">
        <v>99.72</v>
      </c>
      <c r="D68" s="12">
        <v>0.95842340000000004</v>
      </c>
      <c r="E68" s="17">
        <v>0.3333333</v>
      </c>
      <c r="F68" s="13">
        <v>109.21</v>
      </c>
      <c r="G68" s="12">
        <v>13.5936754</v>
      </c>
      <c r="H68" s="12">
        <v>24.631752599999999</v>
      </c>
      <c r="I68" s="12">
        <v>-3.9629287</v>
      </c>
      <c r="J68" s="12">
        <v>6.8305280000000002</v>
      </c>
      <c r="K68" s="12">
        <v>3.0252729999999999</v>
      </c>
      <c r="L68" s="12">
        <v>2.4063167000000001</v>
      </c>
      <c r="M68" s="12">
        <v>-19.469476400000001</v>
      </c>
      <c r="N68" s="12">
        <v>29.018774400000002</v>
      </c>
      <c r="O68" s="12">
        <v>-3.3736028999999998</v>
      </c>
      <c r="P68" s="7">
        <v>8576</v>
      </c>
      <c r="Q68" s="7">
        <v>466.4</v>
      </c>
      <c r="R68" s="7">
        <v>5.2</v>
      </c>
      <c r="S68" s="12">
        <v>7.0855839999999999</v>
      </c>
      <c r="T68" s="12">
        <v>5.5</v>
      </c>
      <c r="U68" s="12">
        <v>88.931966299999999</v>
      </c>
      <c r="V68" s="12">
        <v>209.35666670000001</v>
      </c>
      <c r="W68" s="12">
        <v>2.2872664</v>
      </c>
      <c r="X68" s="12">
        <v>4.1185855</v>
      </c>
      <c r="Y68" s="12">
        <v>-8.7566874000000006</v>
      </c>
      <c r="Z68" s="12">
        <v>2.5347236</v>
      </c>
      <c r="AA68" s="12">
        <v>56.982736799999998</v>
      </c>
      <c r="AB68" s="12">
        <v>8.6769540000000003</v>
      </c>
      <c r="AC68" s="12">
        <v>20.611300499999999</v>
      </c>
      <c r="AD68" s="12">
        <v>30.157962099999999</v>
      </c>
      <c r="AE68" s="12">
        <v>21.586030999999998</v>
      </c>
      <c r="AF68" s="12">
        <v>26.994528500000001</v>
      </c>
      <c r="AG68" s="12">
        <v>12.612444399999999</v>
      </c>
    </row>
    <row r="69" spans="1:33" s="11" customFormat="1" outlineLevel="1" x14ac:dyDescent="0.3">
      <c r="A69" s="11" t="s">
        <v>75</v>
      </c>
      <c r="B69" s="12">
        <v>1.8456245</v>
      </c>
      <c r="C69" s="12">
        <v>99.49</v>
      </c>
      <c r="D69" s="12">
        <v>0.77317840000000004</v>
      </c>
      <c r="E69" s="17">
        <v>0.25</v>
      </c>
      <c r="F69" s="13">
        <v>108.16666669999999</v>
      </c>
      <c r="G69" s="12">
        <v>13.8999978</v>
      </c>
      <c r="H69" s="12">
        <v>15.723080100000001</v>
      </c>
      <c r="I69" s="12">
        <v>1.5676923</v>
      </c>
      <c r="J69" s="12">
        <v>3.9</v>
      </c>
      <c r="K69" s="12">
        <v>3.2</v>
      </c>
      <c r="L69" s="12">
        <v>3.5</v>
      </c>
      <c r="M69" s="12">
        <v>3.9</v>
      </c>
      <c r="N69" s="12">
        <v>-0.9</v>
      </c>
      <c r="O69" s="12">
        <v>-4.2</v>
      </c>
      <c r="P69" s="7">
        <v>8587.1</v>
      </c>
      <c r="Q69" s="7">
        <v>464</v>
      </c>
      <c r="R69" s="7">
        <v>5.0999999999999996</v>
      </c>
      <c r="S69" s="12">
        <v>6.4054329000000001</v>
      </c>
      <c r="T69" s="12">
        <v>5.5</v>
      </c>
      <c r="U69" s="12">
        <v>91.356606999999997</v>
      </c>
      <c r="V69" s="12">
        <v>233.27</v>
      </c>
      <c r="W69" s="12">
        <v>-0.34648630000000002</v>
      </c>
      <c r="X69" s="12">
        <v>-10.8317573</v>
      </c>
      <c r="Y69" s="12">
        <v>-13.876086000000001</v>
      </c>
      <c r="Z69" s="12">
        <v>7.3006080999999998</v>
      </c>
      <c r="AA69" s="12">
        <v>43.7713714</v>
      </c>
      <c r="AB69" s="12">
        <v>11.6701088</v>
      </c>
      <c r="AC69" s="12">
        <v>23.457853100000001</v>
      </c>
      <c r="AD69" s="12">
        <v>52.797274700000003</v>
      </c>
      <c r="AE69" s="12">
        <v>24.544771099999998</v>
      </c>
      <c r="AF69" s="12">
        <v>30.0185478</v>
      </c>
      <c r="AG69" s="7" t="s">
        <v>107</v>
      </c>
    </row>
    <row r="70" spans="1:33" s="11" customFormat="1" outlineLevel="1" x14ac:dyDescent="0.3">
      <c r="A70" s="11" t="s">
        <v>76</v>
      </c>
      <c r="B70" s="12">
        <v>1.1953549000000001</v>
      </c>
      <c r="C70" s="12">
        <v>100.22333329999999</v>
      </c>
      <c r="D70" s="12">
        <v>0.69323509999999999</v>
      </c>
      <c r="E70" s="17">
        <v>0.21666669999999999</v>
      </c>
      <c r="F70" s="13">
        <v>109.7</v>
      </c>
      <c r="G70" s="12">
        <v>27.230572500000001</v>
      </c>
      <c r="H70" s="12">
        <v>22.835001299999998</v>
      </c>
      <c r="I70" s="12">
        <v>-3.0066353000000001</v>
      </c>
      <c r="J70" s="12">
        <v>4.8822597999999999</v>
      </c>
      <c r="K70" s="12">
        <v>4.6997356999999997</v>
      </c>
      <c r="L70" s="12">
        <v>18.790913199999999</v>
      </c>
      <c r="M70" s="12">
        <v>-3.7698513999999999</v>
      </c>
      <c r="N70" s="12">
        <v>-6.2078024000000003</v>
      </c>
      <c r="O70" s="12">
        <v>-11.9273414</v>
      </c>
      <c r="P70" s="7">
        <v>8650.7999999999993</v>
      </c>
      <c r="Q70" s="7">
        <v>461</v>
      </c>
      <c r="R70" s="7">
        <v>5.0999999999999996</v>
      </c>
      <c r="S70" s="12">
        <v>12.6392884</v>
      </c>
      <c r="T70" s="12">
        <v>5.5</v>
      </c>
      <c r="U70" s="12">
        <v>93.497775099999998</v>
      </c>
      <c r="V70" s="12">
        <v>250.39333329999999</v>
      </c>
      <c r="W70" s="12">
        <v>-0.49303580000000002</v>
      </c>
      <c r="X70" s="12">
        <v>-9.9303504</v>
      </c>
      <c r="Y70" s="12">
        <v>-14.695259099999999</v>
      </c>
      <c r="Z70" s="12">
        <v>0.55577399999999999</v>
      </c>
      <c r="AA70" s="12">
        <v>47.663642099999997</v>
      </c>
      <c r="AB70" s="12">
        <v>13.2756293</v>
      </c>
      <c r="AC70" s="12">
        <v>21.3462216</v>
      </c>
      <c r="AD70" s="12">
        <v>46.008320599999998</v>
      </c>
      <c r="AE70" s="12">
        <v>31.2342643</v>
      </c>
      <c r="AF70" s="12">
        <v>23.036065499999999</v>
      </c>
      <c r="AG70" s="7" t="s">
        <v>107</v>
      </c>
    </row>
    <row r="71" spans="1:33" s="11" customFormat="1" outlineLevel="1" x14ac:dyDescent="0.3">
      <c r="A71" s="11" t="s">
        <v>77</v>
      </c>
      <c r="B71" s="12">
        <v>1.5779679</v>
      </c>
      <c r="C71" s="12">
        <v>99.91</v>
      </c>
      <c r="D71" s="12">
        <v>0.48948940000000002</v>
      </c>
      <c r="E71" s="17">
        <v>0.1166667</v>
      </c>
      <c r="F71" s="13">
        <v>101.8233333</v>
      </c>
      <c r="G71" s="12">
        <v>7.7977483000000003</v>
      </c>
      <c r="H71" s="12">
        <v>-2.4337939999999998</v>
      </c>
      <c r="I71" s="12">
        <v>-3.2135904000000002</v>
      </c>
      <c r="J71" s="12">
        <v>3.6352446999999999</v>
      </c>
      <c r="K71" s="12">
        <v>7.0394557000000004</v>
      </c>
      <c r="L71" s="12">
        <v>10.7786329</v>
      </c>
      <c r="M71" s="12">
        <v>2.8635660000000001</v>
      </c>
      <c r="N71" s="12">
        <v>-1.5326469</v>
      </c>
      <c r="O71" s="12">
        <v>11.127418</v>
      </c>
      <c r="P71" s="7">
        <v>8678.7000000000007</v>
      </c>
      <c r="Q71" s="7">
        <v>458.1</v>
      </c>
      <c r="R71" s="7">
        <v>5</v>
      </c>
      <c r="S71" s="12">
        <v>11.472482400000001</v>
      </c>
      <c r="T71" s="12">
        <v>5.5</v>
      </c>
      <c r="U71" s="12">
        <v>94.372698299999996</v>
      </c>
      <c r="V71" s="12">
        <v>242.21</v>
      </c>
      <c r="W71" s="12">
        <v>0.23113620000000001</v>
      </c>
      <c r="X71" s="12">
        <v>-16.588146299999998</v>
      </c>
      <c r="Y71" s="12">
        <v>-9.7680792000000007</v>
      </c>
      <c r="Z71" s="12">
        <v>-4.7058149</v>
      </c>
      <c r="AA71" s="12">
        <v>48.0955163</v>
      </c>
      <c r="AB71" s="12">
        <v>9.3434799999999996</v>
      </c>
      <c r="AC71" s="12">
        <v>27.866637799999999</v>
      </c>
      <c r="AD71" s="12">
        <v>37.521217399999998</v>
      </c>
      <c r="AE71" s="12">
        <v>26.8858076</v>
      </c>
      <c r="AF71" s="12">
        <v>16.711316400000001</v>
      </c>
      <c r="AG71" s="7" t="s">
        <v>107</v>
      </c>
    </row>
    <row r="72" spans="1:33" s="11" customFormat="1" outlineLevel="1" x14ac:dyDescent="0.3">
      <c r="A72" s="11" t="s">
        <v>78</v>
      </c>
      <c r="B72" s="12">
        <v>1.7505474000000001</v>
      </c>
      <c r="C72" s="12">
        <v>99.97</v>
      </c>
      <c r="D72" s="12">
        <v>0.25070199999999998</v>
      </c>
      <c r="E72" s="17">
        <v>0.05</v>
      </c>
      <c r="F72" s="13">
        <v>76.4033333</v>
      </c>
      <c r="G72" s="12">
        <v>24.309207099999998</v>
      </c>
      <c r="H72" s="12">
        <v>23.5297187</v>
      </c>
      <c r="I72" s="12">
        <v>-4.8652356000000001</v>
      </c>
      <c r="J72" s="12">
        <v>4.4052404000000003</v>
      </c>
      <c r="K72" s="12">
        <v>-5.2632149999999998</v>
      </c>
      <c r="L72" s="12">
        <v>6.5362457999999997</v>
      </c>
      <c r="M72" s="12">
        <v>25.519203099999999</v>
      </c>
      <c r="N72" s="12">
        <v>-1.2760491</v>
      </c>
      <c r="O72" s="12">
        <v>-7.2387886000000004</v>
      </c>
      <c r="P72" s="7">
        <v>8651.1</v>
      </c>
      <c r="Q72" s="7">
        <v>458.6</v>
      </c>
      <c r="R72" s="7">
        <v>5</v>
      </c>
      <c r="S72" s="12">
        <v>12.064811499999999</v>
      </c>
      <c r="T72" s="12">
        <v>5.5</v>
      </c>
      <c r="U72" s="12">
        <v>95.732075399999999</v>
      </c>
      <c r="V72" s="12">
        <v>226.55</v>
      </c>
      <c r="W72" s="12">
        <v>1.3014566999999999</v>
      </c>
      <c r="X72" s="12">
        <v>-33.080781299999998</v>
      </c>
      <c r="Y72" s="12">
        <v>-5.2784598999999996</v>
      </c>
      <c r="Z72" s="12">
        <v>-5.4459805000000001</v>
      </c>
      <c r="AA72" s="12">
        <v>52.318222300000002</v>
      </c>
      <c r="AB72" s="12">
        <v>9.4492156000000005</v>
      </c>
      <c r="AC72" s="12">
        <v>28.526706300000001</v>
      </c>
      <c r="AD72" s="12">
        <v>27.9030992</v>
      </c>
      <c r="AE72" s="12">
        <v>21.470912899999998</v>
      </c>
      <c r="AF72" s="12">
        <v>10.719644600000001</v>
      </c>
      <c r="AG72" s="12">
        <v>14.5640529</v>
      </c>
    </row>
    <row r="73" spans="1:33" s="11" customFormat="1" outlineLevel="1" x14ac:dyDescent="0.3">
      <c r="A73" s="11" t="s">
        <v>79</v>
      </c>
      <c r="B73" s="12">
        <v>2.0633189000000001</v>
      </c>
      <c r="C73" s="12">
        <v>99.203333299999997</v>
      </c>
      <c r="D73" s="12">
        <v>-0.28813620000000001</v>
      </c>
      <c r="E73" s="17">
        <v>0.05</v>
      </c>
      <c r="F73" s="13">
        <v>53.9166667</v>
      </c>
      <c r="G73" s="12">
        <v>10.014647699999999</v>
      </c>
      <c r="H73" s="12">
        <v>1.2867500999999999</v>
      </c>
      <c r="I73" s="12">
        <v>-0.1828832</v>
      </c>
      <c r="J73" s="12">
        <v>2.2999999999999998</v>
      </c>
      <c r="K73" s="12">
        <v>7.9</v>
      </c>
      <c r="L73" s="12">
        <v>4.2</v>
      </c>
      <c r="M73" s="12">
        <v>2.1</v>
      </c>
      <c r="N73" s="12">
        <v>-9.6</v>
      </c>
      <c r="O73" s="12">
        <v>-11.4</v>
      </c>
      <c r="P73" s="7">
        <v>8449.1689999999999</v>
      </c>
      <c r="Q73" s="7">
        <v>447.35599999999999</v>
      </c>
      <c r="R73" s="7">
        <v>5</v>
      </c>
      <c r="S73" s="12">
        <v>9.0519684999999992</v>
      </c>
      <c r="T73" s="12">
        <v>5.5</v>
      </c>
      <c r="U73" s="12">
        <v>97.109704800000003</v>
      </c>
      <c r="V73" s="12">
        <v>208.3233333</v>
      </c>
      <c r="W73" s="12">
        <v>0.54905079999999995</v>
      </c>
      <c r="X73" s="12">
        <v>-25.049181900000001</v>
      </c>
      <c r="Y73" s="12">
        <v>10.710839999999999</v>
      </c>
      <c r="Z73" s="12">
        <v>-1.6927151</v>
      </c>
      <c r="AA73" s="12">
        <v>49.4449477</v>
      </c>
      <c r="AB73" s="12">
        <v>12.6568547</v>
      </c>
      <c r="AC73" s="12">
        <v>25.482371799999999</v>
      </c>
      <c r="AD73" s="12">
        <v>30.684605600000001</v>
      </c>
      <c r="AE73" s="12">
        <v>23.377314299999998</v>
      </c>
      <c r="AF73" s="12">
        <v>2.2248638999999999</v>
      </c>
      <c r="AG73" s="7" t="s">
        <v>107</v>
      </c>
    </row>
    <row r="74" spans="1:33" s="11" customFormat="1" outlineLevel="1" x14ac:dyDescent="0.3">
      <c r="A74" s="11" t="s">
        <v>80</v>
      </c>
      <c r="B74" s="12">
        <v>2.2703967</v>
      </c>
      <c r="C74" s="12">
        <v>100.5233333</v>
      </c>
      <c r="D74" s="12">
        <v>0.29933149999999997</v>
      </c>
      <c r="E74" s="17">
        <v>0.05</v>
      </c>
      <c r="F74" s="13">
        <v>61.693333299999999</v>
      </c>
      <c r="G74" s="12">
        <v>-2.0122955999999999</v>
      </c>
      <c r="H74" s="12">
        <v>11.8205601</v>
      </c>
      <c r="I74" s="12">
        <v>0.32177840000000002</v>
      </c>
      <c r="J74" s="12">
        <v>0.93115950000000003</v>
      </c>
      <c r="K74" s="12">
        <v>3.4308622</v>
      </c>
      <c r="L74" s="12">
        <v>2.5195499999999999E-2</v>
      </c>
      <c r="M74" s="12">
        <v>6.7190105999999998</v>
      </c>
      <c r="N74" s="12">
        <v>-9.7946328999999999</v>
      </c>
      <c r="O74" s="12">
        <v>-6.6161760999999997</v>
      </c>
      <c r="P74" s="7">
        <v>8575.3359999999993</v>
      </c>
      <c r="Q74" s="7">
        <v>448.51299999999998</v>
      </c>
      <c r="R74" s="7">
        <v>5</v>
      </c>
      <c r="S74" s="12">
        <v>2.8976823999999999</v>
      </c>
      <c r="T74" s="12">
        <v>5.5</v>
      </c>
      <c r="U74" s="12">
        <v>97.563142200000001</v>
      </c>
      <c r="V74" s="12">
        <v>205.25</v>
      </c>
      <c r="W74" s="12">
        <v>0.65870459999999997</v>
      </c>
      <c r="X74" s="12">
        <v>-24.446396499999999</v>
      </c>
      <c r="Y74" s="12">
        <v>1.2634392999999999</v>
      </c>
      <c r="Z74" s="12">
        <v>-7.8338622000000004</v>
      </c>
      <c r="AA74" s="12">
        <v>53.1270764</v>
      </c>
      <c r="AB74" s="12">
        <v>14.434915999999999</v>
      </c>
      <c r="AC74" s="12">
        <v>23.4593366</v>
      </c>
      <c r="AD74" s="12">
        <v>31.3340976</v>
      </c>
      <c r="AE74" s="12">
        <v>26.120702999999999</v>
      </c>
      <c r="AF74" s="12">
        <v>0.89161440000000003</v>
      </c>
      <c r="AG74" s="7" t="s">
        <v>107</v>
      </c>
    </row>
    <row r="75" spans="1:33" s="11" customFormat="1" outlineLevel="1" x14ac:dyDescent="0.3">
      <c r="A75" s="11" t="s">
        <v>81</v>
      </c>
      <c r="B75" s="12">
        <v>2.2457793000000001</v>
      </c>
      <c r="C75" s="12">
        <v>100.1533333</v>
      </c>
      <c r="D75" s="12">
        <v>0.24355250000000001</v>
      </c>
      <c r="E75" s="17">
        <v>0.05</v>
      </c>
      <c r="F75" s="13">
        <v>50.233333299999998</v>
      </c>
      <c r="G75" s="12">
        <v>5.2992181</v>
      </c>
      <c r="H75" s="12">
        <v>-16.6499357</v>
      </c>
      <c r="I75" s="12">
        <v>-6.7268179000000003</v>
      </c>
      <c r="J75" s="12">
        <v>0.31969180000000003</v>
      </c>
      <c r="K75" s="12">
        <v>-2.2169930999999998</v>
      </c>
      <c r="L75" s="12">
        <v>3.7711918999999998</v>
      </c>
      <c r="M75" s="12">
        <v>8.8359313000000004</v>
      </c>
      <c r="N75" s="12">
        <v>6.0253000000000001E-2</v>
      </c>
      <c r="O75" s="12">
        <v>7.0712495000000004</v>
      </c>
      <c r="P75" s="7">
        <v>8634.5400000000009</v>
      </c>
      <c r="Q75" s="7">
        <v>443.82900000000001</v>
      </c>
      <c r="R75" s="7">
        <v>4.9000000000000004</v>
      </c>
      <c r="S75" s="12">
        <v>2.0574245000000002</v>
      </c>
      <c r="T75" s="12">
        <v>12</v>
      </c>
      <c r="U75" s="12">
        <v>98.2150161</v>
      </c>
      <c r="V75" s="12">
        <v>240.9</v>
      </c>
      <c r="W75" s="12">
        <v>-4.3209223000000003</v>
      </c>
      <c r="X75" s="12">
        <v>-31.522341900000001</v>
      </c>
      <c r="Y75" s="12">
        <v>-5.5927989</v>
      </c>
      <c r="Z75" s="12">
        <v>-7.7839932999999997</v>
      </c>
      <c r="AA75" s="12">
        <v>50.4832593</v>
      </c>
      <c r="AB75" s="12">
        <v>10.301738</v>
      </c>
      <c r="AC75" s="12">
        <v>31.808664199999999</v>
      </c>
      <c r="AD75" s="12">
        <v>26.495522699999999</v>
      </c>
      <c r="AE75" s="12">
        <v>24.169398399999999</v>
      </c>
      <c r="AF75" s="12">
        <v>3.7100499</v>
      </c>
      <c r="AG75" s="7" t="s">
        <v>107</v>
      </c>
    </row>
    <row r="76" spans="1:33" s="11" customFormat="1" outlineLevel="1" x14ac:dyDescent="0.3">
      <c r="A76" s="11" t="s">
        <v>82</v>
      </c>
      <c r="B76" s="12">
        <v>2.5478125</v>
      </c>
      <c r="C76" s="12">
        <v>100.1233333</v>
      </c>
      <c r="D76" s="12">
        <v>0.1533793</v>
      </c>
      <c r="E76" s="17">
        <v>0.05</v>
      </c>
      <c r="F76" s="13">
        <v>43.57</v>
      </c>
      <c r="G76" s="12">
        <v>-3.0620522000000001</v>
      </c>
      <c r="H76" s="12">
        <v>16.783077200000001</v>
      </c>
      <c r="I76" s="12">
        <v>-1.5828221</v>
      </c>
      <c r="J76" s="12">
        <v>1.4046403999999999</v>
      </c>
      <c r="K76" s="12">
        <v>0.7659511</v>
      </c>
      <c r="L76" s="12">
        <v>2.1566694000000002</v>
      </c>
      <c r="M76" s="12">
        <v>4.0036047999999997</v>
      </c>
      <c r="N76" s="12">
        <v>1.6723737999999999</v>
      </c>
      <c r="O76" s="12">
        <v>7.3893389000000003</v>
      </c>
      <c r="P76" s="7">
        <v>8510.73</v>
      </c>
      <c r="Q76" s="7">
        <v>451.036</v>
      </c>
      <c r="R76" s="7">
        <v>5</v>
      </c>
      <c r="S76" s="12">
        <v>4.0018136999999996</v>
      </c>
      <c r="T76" s="12">
        <v>16</v>
      </c>
      <c r="U76" s="12">
        <v>107.1121368</v>
      </c>
      <c r="V76" s="12">
        <v>328.72666670000001</v>
      </c>
      <c r="W76" s="12">
        <v>-3.2712183000000001</v>
      </c>
      <c r="X76" s="12">
        <v>-20.5952424</v>
      </c>
      <c r="Y76" s="12">
        <v>-20.536338900000001</v>
      </c>
      <c r="Z76" s="12">
        <v>-4.0079643000000003</v>
      </c>
      <c r="AA76" s="12">
        <v>59.277115100000003</v>
      </c>
      <c r="AB76" s="12">
        <v>10.276514199999999</v>
      </c>
      <c r="AC76" s="12">
        <v>29.139145299999999</v>
      </c>
      <c r="AD76" s="12">
        <v>26.993355999999999</v>
      </c>
      <c r="AE76" s="12">
        <v>24.5231317</v>
      </c>
      <c r="AF76" s="12">
        <v>3.7048245</v>
      </c>
      <c r="AG76" s="12">
        <v>22.747799400000002</v>
      </c>
    </row>
    <row r="77" spans="1:33" s="11" customFormat="1" outlineLevel="1" x14ac:dyDescent="0.3">
      <c r="A77" s="11" t="s">
        <v>83</v>
      </c>
      <c r="B77" s="12">
        <v>1.9366078</v>
      </c>
      <c r="C77" s="12">
        <v>99.246666700000006</v>
      </c>
      <c r="D77" s="12">
        <v>4.3681400000000002E-2</v>
      </c>
      <c r="E77" s="17">
        <v>3.3333300000000003E-2</v>
      </c>
      <c r="F77" s="13">
        <v>33.696666700000002</v>
      </c>
      <c r="G77" s="12">
        <v>27.287442599999999</v>
      </c>
      <c r="H77" s="12">
        <v>4.4237649000000001</v>
      </c>
      <c r="I77" s="12">
        <v>-4.5377964999999998</v>
      </c>
      <c r="J77" s="12">
        <v>-9.99998E-2</v>
      </c>
      <c r="K77" s="12">
        <v>1.4</v>
      </c>
      <c r="L77" s="12">
        <v>2.5</v>
      </c>
      <c r="M77" s="12">
        <v>1.7</v>
      </c>
      <c r="N77" s="12">
        <v>-9.1999999999999993</v>
      </c>
      <c r="O77" s="12">
        <v>-4.5</v>
      </c>
      <c r="P77" s="7">
        <v>8388.4419999999991</v>
      </c>
      <c r="Q77" s="7">
        <v>446.98099999999999</v>
      </c>
      <c r="R77" s="7">
        <v>5.0999999999999996</v>
      </c>
      <c r="S77" s="12">
        <v>11.911023399999999</v>
      </c>
      <c r="T77" s="12">
        <v>17</v>
      </c>
      <c r="U77" s="12">
        <v>111.67843209999999</v>
      </c>
      <c r="V77" s="12">
        <v>392.56333330000001</v>
      </c>
      <c r="W77" s="12">
        <v>-0.84523680000000001</v>
      </c>
      <c r="X77" s="12">
        <v>-27.378285399999999</v>
      </c>
      <c r="Y77" s="12">
        <v>-24.384668399999999</v>
      </c>
      <c r="Z77" s="12">
        <v>-4.8999692000000001</v>
      </c>
      <c r="AA77" s="12">
        <v>51.580632899999998</v>
      </c>
      <c r="AB77" s="12">
        <v>14.526703100000001</v>
      </c>
      <c r="AC77" s="12">
        <v>24.102342799999999</v>
      </c>
      <c r="AD77" s="12">
        <v>38.4403121</v>
      </c>
      <c r="AE77" s="12">
        <v>31.692382599999998</v>
      </c>
      <c r="AF77" s="12">
        <v>1.3463422</v>
      </c>
      <c r="AG77" s="7" t="s">
        <v>107</v>
      </c>
    </row>
    <row r="78" spans="1:33" s="11" customFormat="1" outlineLevel="1" x14ac:dyDescent="0.3">
      <c r="A78" s="11" t="s">
        <v>84</v>
      </c>
      <c r="B78" s="12">
        <v>2.4666936000000002</v>
      </c>
      <c r="C78" s="12">
        <v>100.42</v>
      </c>
      <c r="D78" s="12">
        <v>-0.10279530000000001</v>
      </c>
      <c r="E78" s="17">
        <v>0</v>
      </c>
      <c r="F78" s="13">
        <v>45.523333299999997</v>
      </c>
      <c r="G78" s="12">
        <v>4.3142465999999997</v>
      </c>
      <c r="H78" s="12">
        <v>1.4942386000000001</v>
      </c>
      <c r="I78" s="12">
        <v>-0.34856009999999998</v>
      </c>
      <c r="J78" s="12">
        <v>0.29368860000000002</v>
      </c>
      <c r="K78" s="12">
        <v>1.0201214000000001</v>
      </c>
      <c r="L78" s="12">
        <v>2.6849154</v>
      </c>
      <c r="M78" s="12">
        <v>1.2896080999999999</v>
      </c>
      <c r="N78" s="12">
        <v>-8.0309773999999994</v>
      </c>
      <c r="O78" s="12">
        <v>-3.5666342000000002</v>
      </c>
      <c r="P78" s="7">
        <v>8484.9439999999995</v>
      </c>
      <c r="Q78" s="7">
        <v>447.375</v>
      </c>
      <c r="R78" s="7">
        <v>5</v>
      </c>
      <c r="S78" s="12">
        <v>15.5948385</v>
      </c>
      <c r="T78" s="12">
        <v>15</v>
      </c>
      <c r="U78" s="12">
        <v>113.6606993</v>
      </c>
      <c r="V78" s="12">
        <v>378.9533333</v>
      </c>
      <c r="W78" s="12">
        <v>-3.1423326</v>
      </c>
      <c r="X78" s="12">
        <v>-18.4800051</v>
      </c>
      <c r="Y78" s="12">
        <v>-28.827825099999998</v>
      </c>
      <c r="Z78" s="12">
        <v>-5.9286773999999998</v>
      </c>
      <c r="AA78" s="12">
        <v>55.268039299999998</v>
      </c>
      <c r="AB78" s="12">
        <v>12.8664568</v>
      </c>
      <c r="AC78" s="12">
        <v>23.105885300000001</v>
      </c>
      <c r="AD78" s="12">
        <v>34.440637000000002</v>
      </c>
      <c r="AE78" s="12">
        <v>31.034188400000001</v>
      </c>
      <c r="AF78" s="12">
        <v>-0.1720749</v>
      </c>
      <c r="AG78" s="7" t="s">
        <v>107</v>
      </c>
    </row>
    <row r="79" spans="1:33" s="11" customFormat="1" outlineLevel="1" x14ac:dyDescent="0.3">
      <c r="A79" s="11" t="s">
        <v>85</v>
      </c>
      <c r="B79" s="12">
        <v>1.6225508</v>
      </c>
      <c r="C79" s="12">
        <v>100.42</v>
      </c>
      <c r="D79" s="12">
        <v>0.26625840000000001</v>
      </c>
      <c r="E79" s="17">
        <v>0</v>
      </c>
      <c r="F79" s="13">
        <v>45.786666699999998</v>
      </c>
      <c r="G79" s="12">
        <v>10.886348</v>
      </c>
      <c r="H79" s="12">
        <v>76.698107199999995</v>
      </c>
      <c r="I79" s="12">
        <v>0.84563770000000005</v>
      </c>
      <c r="J79" s="12">
        <v>0.87415969999999998</v>
      </c>
      <c r="K79" s="12">
        <v>0.67862169999999999</v>
      </c>
      <c r="L79" s="12">
        <v>2.908045</v>
      </c>
      <c r="M79" s="12">
        <v>1.0569758</v>
      </c>
      <c r="N79" s="12">
        <v>1.0903626</v>
      </c>
      <c r="O79" s="12">
        <v>0.9777612</v>
      </c>
      <c r="P79" s="7">
        <v>8586.6180000000004</v>
      </c>
      <c r="Q79" s="7">
        <v>444.72899999999998</v>
      </c>
      <c r="R79" s="7">
        <v>4.9000000000000004</v>
      </c>
      <c r="S79" s="12">
        <v>13.2612951</v>
      </c>
      <c r="T79" s="12">
        <v>13</v>
      </c>
      <c r="U79" s="12">
        <v>114.9528081</v>
      </c>
      <c r="V79" s="12">
        <v>381.12</v>
      </c>
      <c r="W79" s="12">
        <v>-4.3245246000000002</v>
      </c>
      <c r="X79" s="12">
        <v>-2.2082465</v>
      </c>
      <c r="Y79" s="12">
        <v>-18.227307100000001</v>
      </c>
      <c r="Z79" s="12">
        <v>-5.5737825000000001</v>
      </c>
      <c r="AA79" s="12">
        <v>50.751120100000001</v>
      </c>
      <c r="AB79" s="12">
        <v>10.0821147</v>
      </c>
      <c r="AC79" s="12">
        <v>30.910445200000002</v>
      </c>
      <c r="AD79" s="12">
        <v>32.5934551</v>
      </c>
      <c r="AE79" s="12">
        <v>29.976179800000001</v>
      </c>
      <c r="AF79" s="12">
        <v>-2.6057907999999999</v>
      </c>
      <c r="AG79" s="7" t="s">
        <v>107</v>
      </c>
    </row>
    <row r="80" spans="1:33" s="11" customFormat="1" outlineLevel="1" x14ac:dyDescent="0.3">
      <c r="A80" s="11" t="s">
        <v>86</v>
      </c>
      <c r="B80" s="12">
        <v>1.866331</v>
      </c>
      <c r="C80" s="12">
        <v>100.89333329999999</v>
      </c>
      <c r="D80" s="12">
        <v>0.7690515</v>
      </c>
      <c r="E80" s="17">
        <v>0</v>
      </c>
      <c r="F80" s="13">
        <v>49.186666700000004</v>
      </c>
      <c r="G80" s="12">
        <v>27.901516000000001</v>
      </c>
      <c r="H80" s="12">
        <v>23.0442663</v>
      </c>
      <c r="I80" s="12">
        <v>-2.4444571000000002</v>
      </c>
      <c r="J80" s="12">
        <v>2.5281796000000001</v>
      </c>
      <c r="K80" s="12">
        <v>1.5502724999999999</v>
      </c>
      <c r="L80" s="12">
        <v>1.3234063</v>
      </c>
      <c r="M80" s="12">
        <v>4.7941532999999996</v>
      </c>
      <c r="N80" s="12">
        <v>-2.9517186</v>
      </c>
      <c r="O80" s="12">
        <v>-1.7958518000000001</v>
      </c>
      <c r="P80" s="7">
        <v>8522.3179999999993</v>
      </c>
      <c r="Q80" s="7">
        <v>441.28300000000002</v>
      </c>
      <c r="R80" s="7">
        <v>4.9000000000000004</v>
      </c>
      <c r="S80" s="12">
        <v>13.6214675</v>
      </c>
      <c r="T80" s="12">
        <v>12</v>
      </c>
      <c r="U80" s="12">
        <v>117.1524374</v>
      </c>
      <c r="V80" s="12">
        <v>361.89666670000003</v>
      </c>
      <c r="W80" s="12">
        <v>-1.5514224000000001</v>
      </c>
      <c r="X80" s="12">
        <v>14.648739900000001</v>
      </c>
      <c r="Y80" s="12">
        <v>-1.2573591</v>
      </c>
      <c r="Z80" s="12">
        <v>-4.1868711000000003</v>
      </c>
      <c r="AA80" s="12">
        <v>58.759749900000003</v>
      </c>
      <c r="AB80" s="12">
        <v>10.2994547</v>
      </c>
      <c r="AC80" s="12">
        <v>30.7177975</v>
      </c>
      <c r="AD80" s="12">
        <v>25.664844800000001</v>
      </c>
      <c r="AE80" s="12">
        <v>23.7350405</v>
      </c>
      <c r="AF80" s="12">
        <v>-2.9735643999999999</v>
      </c>
      <c r="AG80" s="12">
        <v>25.039492500000001</v>
      </c>
    </row>
    <row r="81" spans="1:33" s="11" customFormat="1" outlineLevel="1" x14ac:dyDescent="0.3">
      <c r="A81" s="11" t="s">
        <v>87</v>
      </c>
      <c r="B81" s="12">
        <v>3.0351661999999999</v>
      </c>
      <c r="C81" s="12">
        <v>101</v>
      </c>
      <c r="D81" s="12">
        <v>1.766642</v>
      </c>
      <c r="E81" s="17">
        <v>0</v>
      </c>
      <c r="F81" s="13">
        <v>53.68</v>
      </c>
      <c r="G81" s="12">
        <v>2.4546421</v>
      </c>
      <c r="H81" s="12">
        <v>25.259778300000001</v>
      </c>
      <c r="I81" s="12">
        <v>-0.1232534</v>
      </c>
      <c r="J81" s="12">
        <v>3.5999998999999998</v>
      </c>
      <c r="K81" s="12">
        <v>2.6</v>
      </c>
      <c r="L81" s="12">
        <v>-1.5</v>
      </c>
      <c r="M81" s="12">
        <v>2.5</v>
      </c>
      <c r="N81" s="12">
        <v>-4.8</v>
      </c>
      <c r="O81" s="12">
        <v>-9.8000000000000007</v>
      </c>
      <c r="P81" s="7">
        <v>8454.1560000000009</v>
      </c>
      <c r="Q81" s="7">
        <v>439.20400000000001</v>
      </c>
      <c r="R81" s="7">
        <v>4.9000000000000004</v>
      </c>
      <c r="S81" s="12">
        <v>5.6458963000000004</v>
      </c>
      <c r="T81" s="12">
        <v>11</v>
      </c>
      <c r="U81" s="12">
        <v>120.2619447</v>
      </c>
      <c r="V81" s="12">
        <v>343.34666670000001</v>
      </c>
      <c r="W81" s="12">
        <v>5.6447383000000002</v>
      </c>
      <c r="X81" s="12">
        <v>41.637986099999999</v>
      </c>
      <c r="Y81" s="12">
        <v>15.4713645</v>
      </c>
      <c r="Z81" s="12">
        <v>-2.6776388</v>
      </c>
      <c r="AA81" s="12">
        <v>51.369708500000002</v>
      </c>
      <c r="AB81" s="12">
        <v>11.8415426</v>
      </c>
      <c r="AC81" s="12">
        <v>23.280182700000001</v>
      </c>
      <c r="AD81" s="12">
        <v>38.572612499999998</v>
      </c>
      <c r="AE81" s="12">
        <v>28.106732600000001</v>
      </c>
      <c r="AF81" s="12">
        <v>1.0875060999999999</v>
      </c>
      <c r="AG81" s="7" t="s">
        <v>107</v>
      </c>
    </row>
    <row r="82" spans="1:33" s="11" customFormat="1" outlineLevel="1" x14ac:dyDescent="0.3">
      <c r="A82" s="11" t="s">
        <v>88</v>
      </c>
      <c r="B82" s="12">
        <v>2.3084487</v>
      </c>
      <c r="C82" s="12">
        <v>102.11333329999999</v>
      </c>
      <c r="D82" s="12">
        <v>1.6862509999999999</v>
      </c>
      <c r="E82" s="17">
        <v>0</v>
      </c>
      <c r="F82" s="13">
        <v>49.67</v>
      </c>
      <c r="G82" s="12">
        <v>19.585410499999998</v>
      </c>
      <c r="H82" s="12">
        <v>17.968170099999998</v>
      </c>
      <c r="I82" s="12">
        <v>-0.71028000000000002</v>
      </c>
      <c r="J82" s="12">
        <v>4.9752508999999998</v>
      </c>
      <c r="K82" s="12">
        <v>1.2680575000000001</v>
      </c>
      <c r="L82" s="12">
        <v>1.2714372</v>
      </c>
      <c r="M82" s="12">
        <v>3.1168665</v>
      </c>
      <c r="N82" s="12">
        <v>5.0752128000000001</v>
      </c>
      <c r="O82" s="12">
        <v>-4.4108061999999997</v>
      </c>
      <c r="P82" s="7">
        <v>8541</v>
      </c>
      <c r="Q82" s="7">
        <v>439.3</v>
      </c>
      <c r="R82" s="7">
        <v>4.9000000000000004</v>
      </c>
      <c r="S82" s="12">
        <v>4.4227018999999999</v>
      </c>
      <c r="T82" s="12">
        <v>10.5</v>
      </c>
      <c r="U82" s="12">
        <v>122.23491989999999</v>
      </c>
      <c r="V82" s="12">
        <v>345.94</v>
      </c>
      <c r="W82" s="12">
        <v>10.1546217</v>
      </c>
      <c r="X82" s="12">
        <v>27.173172600000001</v>
      </c>
      <c r="Y82" s="12">
        <v>23.0788315</v>
      </c>
      <c r="Z82" s="12">
        <v>-5.0523306999999997</v>
      </c>
      <c r="AA82" s="12">
        <v>52.433110200000002</v>
      </c>
      <c r="AB82" s="12">
        <v>13.270123399999999</v>
      </c>
      <c r="AC82" s="12">
        <v>22.7778931</v>
      </c>
      <c r="AD82" s="12">
        <v>39.970736799999997</v>
      </c>
      <c r="AE82" s="12">
        <v>30.980848000000002</v>
      </c>
      <c r="AF82" s="12">
        <v>5.5207499999999996</v>
      </c>
      <c r="AG82" s="7" t="s">
        <v>107</v>
      </c>
    </row>
    <row r="83" spans="1:33" s="11" customFormat="1" outlineLevel="1" x14ac:dyDescent="0.3">
      <c r="A83" s="11" t="s">
        <v>89</v>
      </c>
      <c r="B83" s="12">
        <v>3.0333996999999999</v>
      </c>
      <c r="C83" s="12">
        <v>102.1166667</v>
      </c>
      <c r="D83" s="12">
        <v>1.6895705000000001</v>
      </c>
      <c r="E83" s="17">
        <v>0</v>
      </c>
      <c r="F83" s="13">
        <v>52.11</v>
      </c>
      <c r="G83" s="12">
        <v>106.6503841</v>
      </c>
      <c r="H83" s="12">
        <v>57.530577299999997</v>
      </c>
      <c r="I83" s="12">
        <v>-7.1348940000000001</v>
      </c>
      <c r="J83" s="12">
        <v>4.3000001000000001</v>
      </c>
      <c r="K83" s="12">
        <v>0.59239339999999996</v>
      </c>
      <c r="L83" s="12">
        <v>5.5335998999999996</v>
      </c>
      <c r="M83" s="12">
        <v>2.1338656</v>
      </c>
      <c r="N83" s="12">
        <v>1.6363791999999999</v>
      </c>
      <c r="O83" s="12">
        <v>-5.8839914000000002</v>
      </c>
      <c r="P83" s="7">
        <v>8572.1</v>
      </c>
      <c r="Q83" s="7">
        <v>441</v>
      </c>
      <c r="R83" s="7">
        <v>4.9000000000000004</v>
      </c>
      <c r="S83" s="12">
        <v>4.8170156999999998</v>
      </c>
      <c r="T83" s="12">
        <v>10.25</v>
      </c>
      <c r="U83" s="12">
        <v>123.0914604</v>
      </c>
      <c r="V83" s="12">
        <v>390.31666669999998</v>
      </c>
      <c r="W83" s="12">
        <v>11.550116600000001</v>
      </c>
      <c r="X83" s="12">
        <v>23.5385256</v>
      </c>
      <c r="Y83" s="12">
        <v>3.3476086</v>
      </c>
      <c r="Z83" s="12">
        <v>-1.4406426999999999</v>
      </c>
      <c r="AA83" s="12">
        <v>48.2743441</v>
      </c>
      <c r="AB83" s="12">
        <v>9.8211104999999996</v>
      </c>
      <c r="AC83" s="12">
        <v>29.232304899999999</v>
      </c>
      <c r="AD83" s="12">
        <v>33.2183961</v>
      </c>
      <c r="AE83" s="12">
        <v>27.214384800000001</v>
      </c>
      <c r="AF83" s="12">
        <v>9.3008027000000002</v>
      </c>
      <c r="AG83" s="7" t="s">
        <v>107</v>
      </c>
    </row>
    <row r="84" spans="1:33" s="11" customFormat="1" outlineLevel="1" x14ac:dyDescent="0.3">
      <c r="A84" s="11" t="s">
        <v>90</v>
      </c>
      <c r="B84" s="12">
        <v>2.9900169999999999</v>
      </c>
      <c r="C84" s="12">
        <v>102.6233333</v>
      </c>
      <c r="D84" s="12">
        <v>1.7146821999999999</v>
      </c>
      <c r="E84" s="17">
        <v>0</v>
      </c>
      <c r="F84" s="13">
        <v>61.53</v>
      </c>
      <c r="G84" s="12">
        <v>0.38964870000000001</v>
      </c>
      <c r="H84" s="12">
        <v>1.9873600000000002E-2</v>
      </c>
      <c r="I84" s="12">
        <v>-2.0454043999999998</v>
      </c>
      <c r="J84" s="12">
        <v>3.7004182999999999</v>
      </c>
      <c r="K84" s="12">
        <v>1.6741872</v>
      </c>
      <c r="L84" s="12">
        <v>2.8423964000000002</v>
      </c>
      <c r="M84" s="12">
        <v>4.2088296999999999</v>
      </c>
      <c r="N84" s="12">
        <v>23.556247200000001</v>
      </c>
      <c r="O84" s="12">
        <v>16.263692899999999</v>
      </c>
      <c r="P84" s="7">
        <v>8541.2999999999993</v>
      </c>
      <c r="Q84" s="7">
        <v>439.3</v>
      </c>
      <c r="R84" s="7">
        <v>4.9000000000000004</v>
      </c>
      <c r="S84" s="12">
        <v>5.8804128999999996</v>
      </c>
      <c r="T84" s="12">
        <v>10.25</v>
      </c>
      <c r="U84" s="12">
        <v>125.9020963</v>
      </c>
      <c r="V84" s="12">
        <v>393.68333330000002</v>
      </c>
      <c r="W84" s="12">
        <v>6.4343516000000003</v>
      </c>
      <c r="X84" s="12">
        <v>18.9935881</v>
      </c>
      <c r="Y84" s="12">
        <v>2.8297224000000001</v>
      </c>
      <c r="Z84" s="12">
        <v>-0.32496809999999998</v>
      </c>
      <c r="AA84" s="12">
        <v>56.386802699999997</v>
      </c>
      <c r="AB84" s="12">
        <v>8.7533849000000004</v>
      </c>
      <c r="AC84" s="12">
        <v>28.048504300000001</v>
      </c>
      <c r="AD84" s="12">
        <v>24.093741600000001</v>
      </c>
      <c r="AE84" s="12">
        <v>16.676631400000002</v>
      </c>
      <c r="AF84" s="12">
        <v>12.4067091</v>
      </c>
      <c r="AG84" s="12">
        <v>25.723617000000001</v>
      </c>
    </row>
    <row r="85" spans="1:33" s="11" customFormat="1" outlineLevel="1" x14ac:dyDescent="0.3">
      <c r="A85" s="11" t="s">
        <v>91</v>
      </c>
      <c r="B85" s="12">
        <v>2.2828298</v>
      </c>
      <c r="C85" s="12">
        <v>102.5466667</v>
      </c>
      <c r="D85" s="12">
        <v>1.5313532000000001</v>
      </c>
      <c r="E85" s="17">
        <v>0</v>
      </c>
      <c r="F85" s="13">
        <v>66.806666699999994</v>
      </c>
      <c r="G85" s="12">
        <v>10.5609283</v>
      </c>
      <c r="H85" s="12">
        <v>15.0096594</v>
      </c>
      <c r="I85" s="12">
        <v>0.75001569999999995</v>
      </c>
      <c r="J85" s="12">
        <v>4.0999999000000003</v>
      </c>
      <c r="K85" s="12">
        <v>3.9</v>
      </c>
      <c r="L85" s="12">
        <v>-16.399999999999999</v>
      </c>
      <c r="M85" s="12">
        <v>2.7</v>
      </c>
      <c r="N85" s="12">
        <v>10.7</v>
      </c>
      <c r="O85" s="12">
        <v>2.8</v>
      </c>
      <c r="P85" s="7">
        <v>8567.4</v>
      </c>
      <c r="Q85" s="7">
        <v>439.6</v>
      </c>
      <c r="R85" s="7">
        <v>4.9000000000000004</v>
      </c>
      <c r="S85" s="12">
        <v>8.6814243999999992</v>
      </c>
      <c r="T85" s="12">
        <v>9.5</v>
      </c>
      <c r="U85" s="12">
        <v>128.43556570000001</v>
      </c>
      <c r="V85" s="12">
        <v>397.25</v>
      </c>
      <c r="W85" s="12">
        <v>5.1859007999999998</v>
      </c>
      <c r="X85" s="12">
        <v>12.774378799999999</v>
      </c>
      <c r="Y85" s="12">
        <v>3.0184706000000001</v>
      </c>
      <c r="Z85" s="12">
        <v>0.49631619999999999</v>
      </c>
      <c r="AA85" s="12">
        <v>50.268625499999999</v>
      </c>
      <c r="AB85" s="12">
        <v>8.9152717999999993</v>
      </c>
      <c r="AC85" s="12">
        <v>22.406607399999999</v>
      </c>
      <c r="AD85" s="12">
        <v>42.8183151</v>
      </c>
      <c r="AE85" s="12">
        <v>27.584445200000001</v>
      </c>
      <c r="AF85" s="12">
        <v>13.2727392</v>
      </c>
      <c r="AG85" s="12">
        <v>23.955312599999999</v>
      </c>
    </row>
    <row r="86" spans="1:33" s="11" customFormat="1" outlineLevel="1" x14ac:dyDescent="0.3">
      <c r="A86" s="11" t="s">
        <v>92</v>
      </c>
      <c r="B86" s="12">
        <v>2.5023559999999998</v>
      </c>
      <c r="C86" s="12">
        <v>104.0133333</v>
      </c>
      <c r="D86" s="12">
        <v>1.8606777000000001</v>
      </c>
      <c r="E86" s="17">
        <v>0</v>
      </c>
      <c r="F86" s="13">
        <v>74.5</v>
      </c>
      <c r="G86" s="12">
        <v>-0.59048199999999995</v>
      </c>
      <c r="H86" s="12">
        <v>-3.8748241999999999</v>
      </c>
      <c r="I86" s="12">
        <v>-1.2797628999999999</v>
      </c>
      <c r="J86" s="12">
        <v>4.2952009999999996</v>
      </c>
      <c r="K86" s="12">
        <v>5.0487894000000004</v>
      </c>
      <c r="L86" s="12">
        <v>-14.3931288</v>
      </c>
      <c r="M86" s="12">
        <v>5.3648742</v>
      </c>
      <c r="N86" s="12">
        <v>7.3730257000000003</v>
      </c>
      <c r="O86" s="12">
        <v>2.619005</v>
      </c>
      <c r="P86" s="7">
        <v>8637.4599999999991</v>
      </c>
      <c r="Q86" s="7">
        <v>441.42500000000001</v>
      </c>
      <c r="R86" s="7">
        <v>4.9000000000000004</v>
      </c>
      <c r="S86" s="12">
        <v>8.5361218000000001</v>
      </c>
      <c r="T86" s="12">
        <v>9</v>
      </c>
      <c r="U86" s="12">
        <v>129.93793310000001</v>
      </c>
      <c r="V86" s="12">
        <v>393.4533333</v>
      </c>
      <c r="W86" s="12">
        <v>3.6937053999999998</v>
      </c>
      <c r="X86" s="12">
        <v>21.5232855</v>
      </c>
      <c r="Y86" s="12">
        <v>2.7269725</v>
      </c>
      <c r="Z86" s="12">
        <v>0.5741096</v>
      </c>
      <c r="AA86" s="12">
        <v>50.178250599999998</v>
      </c>
      <c r="AB86" s="12">
        <v>10.0627525</v>
      </c>
      <c r="AC86" s="12">
        <v>21.967036400000001</v>
      </c>
      <c r="AD86" s="12">
        <v>43.7231059</v>
      </c>
      <c r="AE86" s="12">
        <v>29.1705735</v>
      </c>
      <c r="AF86" s="12">
        <v>14.7702893</v>
      </c>
      <c r="AG86" s="12">
        <v>23.891052800000001</v>
      </c>
    </row>
    <row r="87" spans="1:33" s="11" customFormat="1" outlineLevel="1" x14ac:dyDescent="0.3">
      <c r="A87" s="11" t="s">
        <v>93</v>
      </c>
      <c r="B87" s="12">
        <v>1.7229988000000001</v>
      </c>
      <c r="C87" s="12">
        <v>104.3666667</v>
      </c>
      <c r="D87" s="12">
        <v>2.2033621999999999</v>
      </c>
      <c r="E87" s="17">
        <v>0</v>
      </c>
      <c r="F87" s="13">
        <v>75.223333299999993</v>
      </c>
      <c r="G87" s="12">
        <v>-34.806728700000001</v>
      </c>
      <c r="H87" s="12">
        <v>-19.300684400000002</v>
      </c>
      <c r="I87" s="12">
        <v>-0.30681049999999999</v>
      </c>
      <c r="J87" s="12">
        <v>3.9431595000000002</v>
      </c>
      <c r="K87" s="12">
        <v>6.0817256999999998</v>
      </c>
      <c r="L87" s="12">
        <v>-11.148353999999999</v>
      </c>
      <c r="M87" s="12">
        <v>1.3259106000000001</v>
      </c>
      <c r="N87" s="12">
        <v>8.9</v>
      </c>
      <c r="O87" s="12">
        <v>5.2233967000000003</v>
      </c>
      <c r="P87" s="7">
        <v>8727.8909999999996</v>
      </c>
      <c r="Q87" s="7">
        <v>441.56400000000002</v>
      </c>
      <c r="R87" s="7">
        <v>4.8</v>
      </c>
      <c r="S87" s="12">
        <v>9.3217017999999996</v>
      </c>
      <c r="T87" s="12">
        <v>9</v>
      </c>
      <c r="U87" s="12">
        <v>130.67572179999999</v>
      </c>
      <c r="V87" s="12">
        <v>413.84333329999998</v>
      </c>
      <c r="W87" s="12">
        <v>3.0829881000000001</v>
      </c>
      <c r="X87" s="12">
        <v>21.4263628</v>
      </c>
      <c r="Y87" s="12">
        <v>19.479202799999999</v>
      </c>
      <c r="Z87" s="12">
        <v>-2.0457119000000001</v>
      </c>
      <c r="AA87" s="12">
        <v>49.200719999999997</v>
      </c>
      <c r="AB87" s="12">
        <v>8.4934274999999992</v>
      </c>
      <c r="AC87" s="12">
        <v>28.503015099999999</v>
      </c>
      <c r="AD87" s="12">
        <v>42.571841399999997</v>
      </c>
      <c r="AE87" s="12">
        <v>29.2764162</v>
      </c>
      <c r="AF87" s="12">
        <v>14.6934781</v>
      </c>
      <c r="AG87" s="12">
        <v>24.463349900000001</v>
      </c>
    </row>
    <row r="88" spans="1:33" s="11" customFormat="1" outlineLevel="1" x14ac:dyDescent="0.3">
      <c r="A88" s="11" t="s">
        <v>94</v>
      </c>
      <c r="B88" s="12">
        <v>1.7730376000000001</v>
      </c>
      <c r="C88" s="12">
        <v>104.64</v>
      </c>
      <c r="D88" s="12">
        <v>1.9651152000000001</v>
      </c>
      <c r="E88" s="17">
        <v>0</v>
      </c>
      <c r="F88" s="13">
        <v>67.713333300000002</v>
      </c>
      <c r="G88" s="12">
        <v>1.4092420000000001</v>
      </c>
      <c r="H88" s="12">
        <v>-9.7451962999999999</v>
      </c>
      <c r="I88" s="12">
        <v>-3.2125610999999998</v>
      </c>
      <c r="J88" s="12">
        <v>4.0999996999999997</v>
      </c>
      <c r="K88" s="12">
        <v>7.8371747999999997</v>
      </c>
      <c r="L88" s="12">
        <v>-14.5899144</v>
      </c>
      <c r="M88" s="12">
        <v>3.0817744999999999</v>
      </c>
      <c r="N88" s="12">
        <v>10.833860899999999</v>
      </c>
      <c r="O88" s="12">
        <v>11.346394699999999</v>
      </c>
      <c r="P88" s="7">
        <v>8709.7420000000002</v>
      </c>
      <c r="Q88" s="7">
        <v>441.89299999999997</v>
      </c>
      <c r="R88" s="7">
        <v>4.8</v>
      </c>
      <c r="S88" s="12">
        <v>7.5278668</v>
      </c>
      <c r="T88" s="12">
        <v>9.25</v>
      </c>
      <c r="U88" s="12">
        <v>132.73501139999999</v>
      </c>
      <c r="V88" s="12">
        <v>422.09</v>
      </c>
      <c r="W88" s="12">
        <v>0.37774099999999999</v>
      </c>
      <c r="X88" s="12">
        <v>-0.19556860000000001</v>
      </c>
      <c r="Y88" s="12">
        <v>13.2996686</v>
      </c>
      <c r="Z88" s="12">
        <v>-2.2095919999999998</v>
      </c>
      <c r="AA88" s="12">
        <v>56.172671299999998</v>
      </c>
      <c r="AB88" s="12">
        <v>6.8549921999999999</v>
      </c>
      <c r="AC88" s="12">
        <v>26.539174200000001</v>
      </c>
      <c r="AD88" s="12">
        <v>27.8908728</v>
      </c>
      <c r="AE88" s="12">
        <v>20.786018800000001</v>
      </c>
      <c r="AF88" s="12">
        <v>16.772436599999999</v>
      </c>
      <c r="AG88" s="12">
        <v>25.955158000000001</v>
      </c>
    </row>
    <row r="89" spans="1:33" s="11" customFormat="1" outlineLevel="1" x14ac:dyDescent="0.3">
      <c r="A89" s="11" t="s">
        <v>95</v>
      </c>
      <c r="B89" s="12">
        <v>1.9308453999999999</v>
      </c>
      <c r="C89" s="12">
        <v>104.17</v>
      </c>
      <c r="D89" s="12">
        <v>1.5830191</v>
      </c>
      <c r="E89" s="17">
        <v>0</v>
      </c>
      <c r="F89" s="13">
        <v>63.17</v>
      </c>
      <c r="G89" s="12">
        <v>17.7943122</v>
      </c>
      <c r="H89" s="12">
        <v>10.3347753</v>
      </c>
      <c r="I89" s="12">
        <v>-0.71130959999999999</v>
      </c>
      <c r="J89" s="12">
        <v>3.7999998000000001</v>
      </c>
      <c r="K89" s="12">
        <v>5</v>
      </c>
      <c r="L89" s="12">
        <v>3.4</v>
      </c>
      <c r="M89" s="12">
        <v>0.2</v>
      </c>
      <c r="N89" s="12">
        <v>5.3</v>
      </c>
      <c r="O89" s="12">
        <v>5</v>
      </c>
      <c r="P89" s="7">
        <v>8732.5</v>
      </c>
      <c r="Q89" s="7">
        <v>442.8</v>
      </c>
      <c r="R89" s="7">
        <v>4.8</v>
      </c>
      <c r="S89" s="12">
        <v>10.526626500000001</v>
      </c>
      <c r="T89" s="12">
        <v>9.25</v>
      </c>
      <c r="U89" s="12">
        <v>134.9120326</v>
      </c>
      <c r="V89" s="12">
        <v>429.1333333</v>
      </c>
      <c r="W89" s="12">
        <v>3.2</v>
      </c>
      <c r="X89" s="12">
        <v>9.2344142999999992</v>
      </c>
      <c r="Y89" s="12">
        <v>5.0878991999999998</v>
      </c>
      <c r="Z89" s="12">
        <v>3.3744369000000001</v>
      </c>
      <c r="AA89" s="12">
        <v>49.650275399999998</v>
      </c>
      <c r="AB89" s="12">
        <v>8.6538173</v>
      </c>
      <c r="AC89" s="12">
        <v>21.245312500000001</v>
      </c>
      <c r="AD89" s="12">
        <v>44.627847899999999</v>
      </c>
      <c r="AE89" s="12">
        <v>27.923106499999999</v>
      </c>
      <c r="AF89" s="12">
        <v>18.839966700000002</v>
      </c>
      <c r="AG89" s="12">
        <v>23.541820300000001</v>
      </c>
    </row>
    <row r="90" spans="1:33" s="11" customFormat="1" outlineLevel="1" x14ac:dyDescent="0.3">
      <c r="A90" s="11" t="s">
        <v>96</v>
      </c>
      <c r="B90" s="12">
        <v>1.5959346999999999</v>
      </c>
      <c r="C90" s="12">
        <v>105.7566667</v>
      </c>
      <c r="D90" s="12">
        <v>1.6760672000000001</v>
      </c>
      <c r="E90" s="17">
        <v>0</v>
      </c>
      <c r="F90" s="13">
        <v>68.923333299999996</v>
      </c>
      <c r="G90" s="12">
        <v>19.0977034</v>
      </c>
      <c r="H90" s="12">
        <v>26.052728200000001</v>
      </c>
      <c r="I90" s="12">
        <v>-0.12541959999999999</v>
      </c>
      <c r="J90" s="12">
        <v>4.3850670999999997</v>
      </c>
      <c r="K90" s="12">
        <v>6.7141818999999998</v>
      </c>
      <c r="L90" s="12">
        <v>19.826422699999998</v>
      </c>
      <c r="M90" s="12">
        <v>8.0910618999999997</v>
      </c>
      <c r="N90" s="12">
        <v>3.2379351999999999</v>
      </c>
      <c r="O90" s="12">
        <v>14.9625846</v>
      </c>
      <c r="P90" s="7">
        <v>8762.9</v>
      </c>
      <c r="Q90" s="7">
        <v>441.8</v>
      </c>
      <c r="R90" s="7">
        <v>4.8</v>
      </c>
      <c r="S90" s="12">
        <v>14.614964000000001</v>
      </c>
      <c r="T90" s="12">
        <v>9</v>
      </c>
      <c r="U90" s="12">
        <v>136.80935650000001</v>
      </c>
      <c r="V90" s="12">
        <v>427.49333330000002</v>
      </c>
      <c r="W90" s="12">
        <v>2.1</v>
      </c>
      <c r="X90" s="12">
        <v>1.0284274</v>
      </c>
      <c r="Y90" s="12">
        <v>22.869118700000001</v>
      </c>
      <c r="Z90" s="12">
        <v>-6.5546601999999998</v>
      </c>
      <c r="AA90" s="12">
        <v>50.083946599999997</v>
      </c>
      <c r="AB90" s="12">
        <v>11.418794800000001</v>
      </c>
      <c r="AC90" s="12">
        <v>28.320159700000001</v>
      </c>
      <c r="AD90" s="12">
        <v>42.933583300000002</v>
      </c>
      <c r="AE90" s="12">
        <v>33.244354199999997</v>
      </c>
      <c r="AF90" s="12">
        <v>20.721078200000001</v>
      </c>
      <c r="AG90" s="12">
        <v>23.284745999999998</v>
      </c>
    </row>
    <row r="91" spans="1:33" s="11" customFormat="1" outlineLevel="1" x14ac:dyDescent="0.3">
      <c r="A91" s="11" t="s">
        <v>97</v>
      </c>
      <c r="B91" s="12">
        <v>2.3612953000000001</v>
      </c>
      <c r="C91" s="12">
        <v>105.74</v>
      </c>
      <c r="D91" s="12">
        <v>1.3158734999999999</v>
      </c>
      <c r="E91" s="17">
        <v>0</v>
      </c>
      <c r="F91" s="13">
        <v>61.93</v>
      </c>
      <c r="G91" s="12">
        <v>15.1533642</v>
      </c>
      <c r="H91" s="12">
        <v>-0.56240420000000002</v>
      </c>
      <c r="I91" s="12">
        <v>-3.2491363</v>
      </c>
      <c r="J91" s="12">
        <v>4.6144560999999999</v>
      </c>
      <c r="K91" s="12">
        <v>6.1611813</v>
      </c>
      <c r="L91" s="12">
        <v>5.8906647000000003</v>
      </c>
      <c r="M91" s="12">
        <v>14.951968300000001</v>
      </c>
      <c r="N91" s="12">
        <v>-0.30629859999999998</v>
      </c>
      <c r="O91" s="12">
        <v>11.2460591</v>
      </c>
      <c r="P91" s="7">
        <v>8773.2000000000007</v>
      </c>
      <c r="Q91" s="7">
        <v>442.1</v>
      </c>
      <c r="R91" s="7">
        <v>4.8</v>
      </c>
      <c r="S91" s="12">
        <v>18.139112300000001</v>
      </c>
      <c r="T91" s="12">
        <v>9.25</v>
      </c>
      <c r="U91" s="12">
        <v>137.86008480000001</v>
      </c>
      <c r="V91" s="12">
        <v>429.1766667</v>
      </c>
      <c r="W91" s="12">
        <v>4.5999999999999996</v>
      </c>
      <c r="X91" s="12">
        <v>4.5732676000000003</v>
      </c>
      <c r="Y91" s="12">
        <v>23.666953500000002</v>
      </c>
      <c r="Z91" s="12">
        <v>-7.9749379999999999</v>
      </c>
      <c r="AA91" s="12">
        <v>50.858583600000003</v>
      </c>
      <c r="AB91" s="12">
        <v>8.7616019000000005</v>
      </c>
      <c r="AC91" s="12">
        <v>32.809263199999997</v>
      </c>
      <c r="AD91" s="12">
        <v>39.025718300000001</v>
      </c>
      <c r="AE91" s="12">
        <v>32.141442499999997</v>
      </c>
      <c r="AF91" s="12">
        <v>22.374932000000001</v>
      </c>
      <c r="AG91" s="12">
        <v>24.060431300000001</v>
      </c>
    </row>
    <row r="92" spans="1:33" s="11" customFormat="1" outlineLevel="1" x14ac:dyDescent="0.3">
      <c r="A92" s="11" t="s">
        <v>98</v>
      </c>
      <c r="B92" s="12">
        <v>1.3592039</v>
      </c>
      <c r="C92" s="12">
        <v>106.0066667</v>
      </c>
      <c r="D92" s="12">
        <v>1.3060653</v>
      </c>
      <c r="E92" s="17">
        <v>0</v>
      </c>
      <c r="F92" s="13">
        <v>63.41</v>
      </c>
      <c r="G92" s="12">
        <v>29.511499799999999</v>
      </c>
      <c r="H92" s="12">
        <v>40.5730985</v>
      </c>
      <c r="I92" s="12">
        <v>-2.5384397000000001</v>
      </c>
      <c r="J92" s="12">
        <v>4.9018914999999996</v>
      </c>
      <c r="K92" s="12">
        <v>6.2693080999999999</v>
      </c>
      <c r="L92" s="12">
        <v>28.587601299999999</v>
      </c>
      <c r="M92" s="12">
        <v>18.182161000000001</v>
      </c>
      <c r="N92" s="12">
        <v>1.1340485</v>
      </c>
      <c r="O92" s="12">
        <v>21.149601199999999</v>
      </c>
      <c r="P92" s="7">
        <v>8773.4</v>
      </c>
      <c r="Q92" s="7">
        <v>441.4</v>
      </c>
      <c r="R92" s="7">
        <v>4.8</v>
      </c>
      <c r="S92" s="12">
        <v>15.8097131</v>
      </c>
      <c r="T92" s="12">
        <v>9.25</v>
      </c>
      <c r="U92" s="12">
        <v>140.03243839999999</v>
      </c>
      <c r="V92" s="12">
        <v>428.22333329999998</v>
      </c>
      <c r="W92" s="12">
        <v>5.5</v>
      </c>
      <c r="X92" s="12">
        <v>13.9932005</v>
      </c>
      <c r="Y92" s="12">
        <v>17.441919500000001</v>
      </c>
      <c r="Z92" s="12">
        <v>-3.4965061</v>
      </c>
      <c r="AA92" s="12">
        <v>55.8552915</v>
      </c>
      <c r="AB92" s="12">
        <v>8.2881342</v>
      </c>
      <c r="AC92" s="12">
        <v>27.191638000000001</v>
      </c>
      <c r="AD92" s="12">
        <v>26.691234099999999</v>
      </c>
      <c r="AE92" s="12">
        <v>23.445898400000001</v>
      </c>
      <c r="AF92" s="12">
        <v>25.6233334</v>
      </c>
      <c r="AG92" s="12">
        <v>24.860211799999998</v>
      </c>
    </row>
    <row r="93" spans="1:33" s="11" customFormat="1" outlineLevel="1" x14ac:dyDescent="0.3">
      <c r="A93" s="11" t="s">
        <v>99</v>
      </c>
      <c r="B93" s="12">
        <v>-2.2061226999999999</v>
      </c>
      <c r="C93" s="12">
        <v>105.74666670000001</v>
      </c>
      <c r="D93" s="12">
        <v>1.5135516</v>
      </c>
      <c r="E93" s="17">
        <v>0</v>
      </c>
      <c r="F93" s="13">
        <v>50.44</v>
      </c>
      <c r="G93" s="12">
        <v>11.747285</v>
      </c>
      <c r="H93" s="12">
        <v>14.1392118</v>
      </c>
      <c r="I93" s="12">
        <v>-0.23030349999999999</v>
      </c>
      <c r="J93" s="12">
        <v>2.7000001999999999</v>
      </c>
      <c r="K93" s="12">
        <v>1</v>
      </c>
      <c r="L93" s="12">
        <v>14.2</v>
      </c>
      <c r="M93" s="12">
        <v>-5</v>
      </c>
      <c r="N93" s="12">
        <v>1.4</v>
      </c>
      <c r="O93" s="12">
        <v>-4.2</v>
      </c>
      <c r="P93" s="7">
        <v>8794</v>
      </c>
      <c r="Q93" s="7">
        <v>442.4</v>
      </c>
      <c r="R93" s="7">
        <v>4.8</v>
      </c>
      <c r="S93" s="12">
        <v>18.899156600000001</v>
      </c>
      <c r="T93" s="12">
        <v>12</v>
      </c>
      <c r="U93" s="12">
        <v>142.99398909999999</v>
      </c>
      <c r="V93" s="12">
        <v>429.88</v>
      </c>
      <c r="W93" s="12">
        <v>5.8</v>
      </c>
      <c r="X93" s="12">
        <v>-15.8123562</v>
      </c>
      <c r="Y93" s="12">
        <v>5.9897480999999999</v>
      </c>
      <c r="Z93" s="12">
        <v>-1.7827866000000001</v>
      </c>
      <c r="AA93" s="12">
        <v>48.821979900000002</v>
      </c>
      <c r="AB93" s="12">
        <v>12.198543900000001</v>
      </c>
      <c r="AC93" s="12">
        <v>20.011963000000002</v>
      </c>
      <c r="AD93" s="12">
        <v>40.059777599999997</v>
      </c>
      <c r="AE93" s="12">
        <v>24.231889800000001</v>
      </c>
      <c r="AF93" s="12">
        <v>26.351962499999999</v>
      </c>
      <c r="AG93" s="12">
        <v>26.423469799999999</v>
      </c>
    </row>
    <row r="94" spans="1:33" s="11" customFormat="1" outlineLevel="1" x14ac:dyDescent="0.3">
      <c r="A94" s="11" t="s">
        <v>100</v>
      </c>
      <c r="B94" s="12">
        <v>-13.380244299999999</v>
      </c>
      <c r="C94" s="12">
        <v>106.50333329999999</v>
      </c>
      <c r="D94" s="12">
        <v>0.70602319999999996</v>
      </c>
      <c r="E94" s="17">
        <v>0</v>
      </c>
      <c r="F94" s="13">
        <v>29.343333300000001</v>
      </c>
      <c r="G94" s="12">
        <v>36.626334200000002</v>
      </c>
      <c r="H94" s="12">
        <v>13.823089700000001</v>
      </c>
      <c r="I94" s="12">
        <v>-5.8037236999999999</v>
      </c>
      <c r="J94" s="12">
        <v>-6.0520423000000001</v>
      </c>
      <c r="K94" s="12">
        <v>-16.5780688</v>
      </c>
      <c r="L94" s="12">
        <v>12.1663193</v>
      </c>
      <c r="M94" s="12">
        <v>-9.0921456000000003</v>
      </c>
      <c r="N94" s="12">
        <v>-4.8438429999999997</v>
      </c>
      <c r="O94" s="12">
        <v>-15.691031799999999</v>
      </c>
      <c r="P94" s="7">
        <v>8703.7000000000007</v>
      </c>
      <c r="Q94" s="7">
        <v>454</v>
      </c>
      <c r="R94" s="7">
        <v>5</v>
      </c>
      <c r="S94" s="12">
        <v>13.669138</v>
      </c>
      <c r="T94" s="12">
        <v>9.5</v>
      </c>
      <c r="U94" s="12">
        <v>146.11194990000001</v>
      </c>
      <c r="V94" s="12">
        <v>459.90666670000002</v>
      </c>
      <c r="W94" s="12">
        <v>0.4</v>
      </c>
      <c r="X94" s="12">
        <v>-36.841507</v>
      </c>
      <c r="Y94" s="12">
        <v>-15.130450400000001</v>
      </c>
      <c r="Z94" s="12">
        <v>-13.608772500000001</v>
      </c>
      <c r="AA94" s="12">
        <v>47.607508199999998</v>
      </c>
      <c r="AB94" s="12">
        <v>17.570336900000001</v>
      </c>
      <c r="AC94" s="12">
        <v>29.060942900000001</v>
      </c>
      <c r="AD94" s="12">
        <v>41.298448299999997</v>
      </c>
      <c r="AE94" s="12">
        <v>33.445223900000002</v>
      </c>
      <c r="AF94" s="12">
        <v>16.2917904</v>
      </c>
      <c r="AG94" s="12">
        <v>27.0229581</v>
      </c>
    </row>
    <row r="95" spans="1:33" s="11" customFormat="1" outlineLevel="1" x14ac:dyDescent="0.3">
      <c r="A95" s="11" t="s">
        <v>101</v>
      </c>
      <c r="B95" s="12">
        <v>-3.6984297000000002</v>
      </c>
      <c r="C95" s="12">
        <v>106.27</v>
      </c>
      <c r="D95" s="12">
        <v>0.50122940000000005</v>
      </c>
      <c r="E95" s="17">
        <v>0</v>
      </c>
      <c r="F95" s="13">
        <v>42.963333300000002</v>
      </c>
      <c r="G95" s="12">
        <v>19.368260599999999</v>
      </c>
      <c r="H95" s="12">
        <v>4.5190087999999999</v>
      </c>
      <c r="I95" s="12">
        <v>-6.2427975</v>
      </c>
      <c r="J95" s="12">
        <v>-4.364547</v>
      </c>
      <c r="K95" s="12">
        <v>1.0882506999999999</v>
      </c>
      <c r="L95" s="12">
        <v>15.392455399999999</v>
      </c>
      <c r="M95" s="12">
        <v>12.1761926</v>
      </c>
      <c r="N95" s="12">
        <v>-34.332031000000001</v>
      </c>
      <c r="O95" s="12">
        <v>-9.5615538999999998</v>
      </c>
      <c r="P95" s="7">
        <v>8713.1</v>
      </c>
      <c r="Q95" s="7">
        <v>454.8</v>
      </c>
      <c r="R95" s="7">
        <v>5</v>
      </c>
      <c r="S95" s="12">
        <v>6.9068535000000004</v>
      </c>
      <c r="T95" s="12">
        <v>9</v>
      </c>
      <c r="U95" s="12">
        <v>147.4297823</v>
      </c>
      <c r="V95" s="12">
        <v>488.20666670000003</v>
      </c>
      <c r="W95" s="12">
        <v>-6.2</v>
      </c>
      <c r="X95" s="12">
        <v>-32.636271999999998</v>
      </c>
      <c r="Y95" s="12">
        <v>-17.5802592</v>
      </c>
      <c r="Z95" s="12">
        <v>-11.237645799999999</v>
      </c>
      <c r="AA95" s="12">
        <v>52.016989000000002</v>
      </c>
      <c r="AB95" s="12">
        <v>11.9868039</v>
      </c>
      <c r="AC95" s="12">
        <v>38.370901000000003</v>
      </c>
      <c r="AD95" s="12">
        <v>25.389544300000001</v>
      </c>
      <c r="AE95" s="12">
        <v>30.196115899999999</v>
      </c>
      <c r="AF95" s="12">
        <v>12.929409</v>
      </c>
      <c r="AG95" s="12">
        <v>29.167102700000001</v>
      </c>
    </row>
    <row r="96" spans="1:33" s="11" customFormat="1" outlineLevel="1" x14ac:dyDescent="0.3">
      <c r="A96" s="11" t="s">
        <v>102</v>
      </c>
      <c r="B96" s="12">
        <v>-3.2236577</v>
      </c>
      <c r="C96" s="12">
        <v>106.2833333</v>
      </c>
      <c r="D96" s="12">
        <v>0.26098979999999999</v>
      </c>
      <c r="E96" s="17">
        <v>0</v>
      </c>
      <c r="F96" s="13">
        <v>44.29</v>
      </c>
      <c r="G96" s="12">
        <v>24.780847399999999</v>
      </c>
      <c r="H96" s="12">
        <v>21.560290200000001</v>
      </c>
      <c r="I96" s="12">
        <v>-3.6732852999999999</v>
      </c>
      <c r="J96" s="12">
        <v>-1.9006212</v>
      </c>
      <c r="K96" s="12">
        <v>-2.0112095999999999</v>
      </c>
      <c r="L96" s="12">
        <v>10.6837514</v>
      </c>
      <c r="M96" s="12">
        <v>-5.8441558000000002</v>
      </c>
      <c r="N96" s="12">
        <v>-6.9117630999999999</v>
      </c>
      <c r="O96" s="12">
        <v>-7.1877021000000001</v>
      </c>
      <c r="P96" s="7">
        <v>8744.5</v>
      </c>
      <c r="Q96" s="7">
        <v>453</v>
      </c>
      <c r="R96" s="7">
        <v>4.9000000000000004</v>
      </c>
      <c r="S96" s="12">
        <v>14.347934800000001</v>
      </c>
      <c r="T96" s="12">
        <v>9</v>
      </c>
      <c r="U96" s="12">
        <v>150.00210300000001</v>
      </c>
      <c r="V96" s="12">
        <v>507.77666670000002</v>
      </c>
      <c r="W96" s="12">
        <v>-2.9</v>
      </c>
      <c r="X96" s="12">
        <v>-27.132270800000001</v>
      </c>
      <c r="Y96" s="12">
        <v>-21.1975078</v>
      </c>
      <c r="Z96" s="12">
        <v>-2.1595965000000001</v>
      </c>
      <c r="AA96" s="12">
        <v>59.125680799999998</v>
      </c>
      <c r="AB96" s="12">
        <v>11.015420799999999</v>
      </c>
      <c r="AC96" s="12">
        <v>27.314375900000002</v>
      </c>
      <c r="AD96" s="12">
        <v>22.5713705</v>
      </c>
      <c r="AE96" s="12">
        <v>21.562276300000001</v>
      </c>
      <c r="AF96" s="12">
        <v>12.9813455</v>
      </c>
      <c r="AG96" s="12">
        <v>30.5005405</v>
      </c>
    </row>
    <row r="97" spans="1:33" s="11" customFormat="1" outlineLevel="1" x14ac:dyDescent="0.3">
      <c r="A97" s="11" t="s">
        <v>103</v>
      </c>
      <c r="B97" s="12">
        <v>-0.1765746</v>
      </c>
      <c r="C97" s="12">
        <v>107.21</v>
      </c>
      <c r="D97" s="12">
        <v>1.3838102999999999</v>
      </c>
      <c r="E97" s="17">
        <v>0</v>
      </c>
      <c r="F97" s="13">
        <v>60.82</v>
      </c>
      <c r="G97" s="12">
        <v>16.327325600000002</v>
      </c>
      <c r="H97" s="12">
        <v>-1.3311364000000001</v>
      </c>
      <c r="I97" s="12">
        <v>-3.9549457000000001</v>
      </c>
      <c r="J97" s="12">
        <v>-1.3999997</v>
      </c>
      <c r="K97" s="12">
        <v>3.7</v>
      </c>
      <c r="L97" s="12">
        <v>8.3000000000000007</v>
      </c>
      <c r="M97" s="12">
        <v>3.4</v>
      </c>
      <c r="N97" s="12">
        <v>-16.5</v>
      </c>
      <c r="O97" s="12">
        <v>-6.8</v>
      </c>
      <c r="P97" s="7">
        <v>8781.1219999999994</v>
      </c>
      <c r="Q97" s="7">
        <v>451.27100000000002</v>
      </c>
      <c r="R97" s="7">
        <v>4.9000000000000004</v>
      </c>
      <c r="S97" s="12">
        <v>15.223229399999999</v>
      </c>
      <c r="T97" s="12">
        <v>9</v>
      </c>
      <c r="U97" s="12">
        <v>153.27333300000001</v>
      </c>
      <c r="V97" s="12">
        <v>506.3666667</v>
      </c>
      <c r="W97" s="12">
        <v>0.1</v>
      </c>
      <c r="X97" s="12">
        <v>1.0617634</v>
      </c>
      <c r="Y97" s="12">
        <v>-12.436412799999999</v>
      </c>
      <c r="Z97" s="12">
        <v>0.4636033</v>
      </c>
      <c r="AA97" s="12">
        <v>51.704743999999998</v>
      </c>
      <c r="AB97" s="12">
        <v>13.3823437</v>
      </c>
      <c r="AC97" s="12">
        <v>21.575897300000001</v>
      </c>
      <c r="AD97" s="12">
        <v>33.417666599999997</v>
      </c>
      <c r="AE97" s="12">
        <v>24.112190300000002</v>
      </c>
      <c r="AF97" s="12">
        <v>12.5906681</v>
      </c>
      <c r="AG97" s="12">
        <v>27.4333776</v>
      </c>
    </row>
    <row r="98" spans="1:33" s="11" customFormat="1" outlineLevel="1" x14ac:dyDescent="0.3">
      <c r="A98" s="11" t="s">
        <v>104</v>
      </c>
      <c r="B98" s="12">
        <v>14.630134099999999</v>
      </c>
      <c r="C98" s="12">
        <v>108.82</v>
      </c>
      <c r="D98" s="12">
        <v>2.1752058000000001</v>
      </c>
      <c r="E98" s="17">
        <v>0</v>
      </c>
      <c r="F98" s="13">
        <v>68.833333300000007</v>
      </c>
      <c r="G98" s="12">
        <v>-1.0466123000000001</v>
      </c>
      <c r="H98" s="12">
        <v>5.9975809</v>
      </c>
      <c r="I98" s="12">
        <v>-3.0717235999999999</v>
      </c>
      <c r="J98" s="12">
        <v>6.3251090000000003</v>
      </c>
      <c r="K98" s="12">
        <v>8.2708817999999997</v>
      </c>
      <c r="L98" s="12">
        <v>-3.4805779000000001</v>
      </c>
      <c r="M98" s="12">
        <v>6.7852832999999997</v>
      </c>
      <c r="N98" s="12">
        <v>-0.309948</v>
      </c>
      <c r="O98" s="12">
        <v>-2.3790315999999998</v>
      </c>
      <c r="P98" s="7">
        <v>8805.0239999999994</v>
      </c>
      <c r="Q98" s="7">
        <v>451.35899999999998</v>
      </c>
      <c r="R98" s="7">
        <v>4.9000000000000004</v>
      </c>
      <c r="S98" s="12">
        <v>18.633716100000001</v>
      </c>
      <c r="T98" s="12">
        <v>9</v>
      </c>
      <c r="U98" s="12">
        <v>156.9309739</v>
      </c>
      <c r="V98" s="12">
        <v>516.16333329999998</v>
      </c>
      <c r="W98" s="12">
        <v>2.8</v>
      </c>
      <c r="X98" s="12">
        <v>60.282034299999999</v>
      </c>
      <c r="Y98" s="12">
        <v>1.9842145</v>
      </c>
      <c r="Z98" s="12">
        <v>-2.163929</v>
      </c>
      <c r="AA98" s="12">
        <v>44.910119600000002</v>
      </c>
      <c r="AB98" s="12">
        <v>14.797281</v>
      </c>
      <c r="AC98" s="12">
        <v>27.094853100000002</v>
      </c>
      <c r="AD98" s="12">
        <v>44.4729192</v>
      </c>
      <c r="AE98" s="12">
        <v>30.9343167</v>
      </c>
      <c r="AF98" s="12">
        <v>26.028196000000001</v>
      </c>
      <c r="AG98" s="12">
        <v>27.601753599999999</v>
      </c>
    </row>
    <row r="99" spans="1:33" s="11" customFormat="1" outlineLevel="1" x14ac:dyDescent="0.3">
      <c r="A99" s="11" t="s">
        <v>105</v>
      </c>
      <c r="B99" s="12">
        <v>4.8925850000000004</v>
      </c>
      <c r="C99" s="12">
        <v>109.55666669999999</v>
      </c>
      <c r="D99" s="12">
        <v>3.0927511999999999</v>
      </c>
      <c r="E99" s="17">
        <v>0</v>
      </c>
      <c r="F99" s="13">
        <v>73.47</v>
      </c>
      <c r="G99" s="12">
        <v>7.5813335999999998</v>
      </c>
      <c r="H99" s="12">
        <v>27.859383600000001</v>
      </c>
      <c r="I99" s="12">
        <v>-2.5302392999999999</v>
      </c>
      <c r="J99" s="12">
        <v>5.5278019</v>
      </c>
      <c r="K99" s="12">
        <v>3.6873287000000001</v>
      </c>
      <c r="L99" s="12">
        <v>0.81014030000000004</v>
      </c>
      <c r="M99" s="12">
        <v>-4.8225297999999999</v>
      </c>
      <c r="N99" s="12">
        <v>15.411566499999999</v>
      </c>
      <c r="O99" s="12">
        <v>-6.1196675000000003</v>
      </c>
      <c r="P99" s="7">
        <v>8812.8610000000008</v>
      </c>
      <c r="Q99" s="7">
        <v>450.7</v>
      </c>
      <c r="R99" s="7">
        <v>4.9000000000000004</v>
      </c>
      <c r="S99" s="12">
        <v>19.251700700000001</v>
      </c>
      <c r="T99" s="12">
        <v>9.5</v>
      </c>
      <c r="U99" s="12">
        <v>160.29813250000001</v>
      </c>
      <c r="V99" s="12">
        <v>502.03333329999998</v>
      </c>
      <c r="W99" s="12">
        <v>4.9000000000000004</v>
      </c>
      <c r="X99" s="12">
        <v>46.258952200000003</v>
      </c>
      <c r="Y99" s="12">
        <v>1.0527044999999999</v>
      </c>
      <c r="Z99" s="12">
        <v>-3.9278187</v>
      </c>
      <c r="AA99" s="12">
        <v>48.596583000000003</v>
      </c>
      <c r="AB99" s="12">
        <v>11.0791699</v>
      </c>
      <c r="AC99" s="12">
        <v>32.294004800000003</v>
      </c>
      <c r="AD99" s="12">
        <v>36.418860000000002</v>
      </c>
      <c r="AE99" s="12">
        <v>26.303704100000001</v>
      </c>
      <c r="AF99" s="12">
        <v>36.219853999999998</v>
      </c>
      <c r="AG99" s="12">
        <v>27.2417947</v>
      </c>
    </row>
    <row r="100" spans="1:33" s="11" customFormat="1" outlineLevel="1" x14ac:dyDescent="0.3">
      <c r="A100" s="11" t="s">
        <v>106</v>
      </c>
      <c r="B100" s="12">
        <v>5.3916862999999999</v>
      </c>
      <c r="C100" s="12">
        <v>111.5333333</v>
      </c>
      <c r="D100" s="12">
        <v>4.9396268000000001</v>
      </c>
      <c r="E100" s="17">
        <v>0</v>
      </c>
      <c r="F100" s="13">
        <v>79.586666699999995</v>
      </c>
      <c r="G100" s="12">
        <v>4.3907677999999999</v>
      </c>
      <c r="H100" s="12">
        <v>6.1479315000000003</v>
      </c>
      <c r="I100" s="12">
        <v>-2.8379273</v>
      </c>
      <c r="J100" s="12">
        <v>5.6857274999999996</v>
      </c>
      <c r="K100" s="12">
        <v>8.4351853999999999</v>
      </c>
      <c r="L100" s="12">
        <v>-10.2329901</v>
      </c>
      <c r="M100" s="12">
        <v>4.2116790000000002</v>
      </c>
      <c r="N100" s="12">
        <v>8.6390930000000008</v>
      </c>
      <c r="O100" s="12">
        <v>6.1671715000000003</v>
      </c>
      <c r="P100" s="7">
        <v>8811.9</v>
      </c>
      <c r="Q100" s="7">
        <v>450.4</v>
      </c>
      <c r="R100" s="7">
        <v>4.9000000000000004</v>
      </c>
      <c r="S100" s="12">
        <v>18.205682500000002</v>
      </c>
      <c r="T100" s="12">
        <v>9.75</v>
      </c>
      <c r="U100" s="12">
        <v>163.20165589999999</v>
      </c>
      <c r="V100" s="12">
        <v>491.7366667</v>
      </c>
      <c r="W100" s="12">
        <v>6.6</v>
      </c>
      <c r="X100" s="12">
        <v>62.682511599999998</v>
      </c>
      <c r="Y100" s="12">
        <v>21.008313000000001</v>
      </c>
      <c r="Z100" s="12">
        <v>-0.14921190000000001</v>
      </c>
      <c r="AA100" s="12">
        <v>57.204357399999999</v>
      </c>
      <c r="AB100" s="12">
        <v>8.4479026000000008</v>
      </c>
      <c r="AC100" s="12">
        <v>24.924184799999999</v>
      </c>
      <c r="AD100" s="12">
        <v>26.1821047</v>
      </c>
      <c r="AE100" s="12">
        <v>21.5133762</v>
      </c>
      <c r="AF100" s="12">
        <v>42.688881700000003</v>
      </c>
      <c r="AG100" s="12">
        <v>27.604915600000002</v>
      </c>
    </row>
    <row r="101" spans="1:33" s="11" customFormat="1" outlineLevel="1" x14ac:dyDescent="0.3">
      <c r="A101" s="11" t="s">
        <v>108</v>
      </c>
      <c r="B101" s="12">
        <v>5.7284746999999996</v>
      </c>
      <c r="C101" s="12">
        <v>114.2266667</v>
      </c>
      <c r="D101" s="12">
        <v>6.5447875</v>
      </c>
      <c r="E101" s="17">
        <v>0</v>
      </c>
      <c r="F101" s="12">
        <v>100.2966667</v>
      </c>
      <c r="G101" s="12">
        <v>16.803191500000001</v>
      </c>
      <c r="H101" s="12">
        <v>44.845296099999999</v>
      </c>
      <c r="I101" s="12">
        <v>0.95486539999999998</v>
      </c>
      <c r="J101" s="12">
        <v>4.5999996999999997</v>
      </c>
      <c r="K101" s="12">
        <v>-0.8</v>
      </c>
      <c r="L101" s="12">
        <v>-6.3</v>
      </c>
      <c r="M101" s="12">
        <v>1.2</v>
      </c>
      <c r="N101" s="12">
        <v>24.6</v>
      </c>
      <c r="O101" s="12">
        <v>11.8</v>
      </c>
      <c r="P101" s="7">
        <v>8959.6010000000006</v>
      </c>
      <c r="Q101" s="7">
        <v>459.89600000000002</v>
      </c>
      <c r="R101" s="7">
        <v>4.9000000000000004</v>
      </c>
      <c r="S101" s="12">
        <v>23.655606500000001</v>
      </c>
      <c r="T101" s="12">
        <v>13.5</v>
      </c>
      <c r="U101" s="12">
        <v>168.32065349999999</v>
      </c>
      <c r="V101" s="12">
        <v>510.76666669999997</v>
      </c>
      <c r="W101" s="12">
        <v>4.9359593999999998</v>
      </c>
      <c r="X101" s="12">
        <v>68.063930999999997</v>
      </c>
      <c r="Y101" s="12">
        <v>28.4853527</v>
      </c>
      <c r="Z101" s="12">
        <v>10.9032129</v>
      </c>
      <c r="AA101" s="12">
        <v>45.336305899999999</v>
      </c>
      <c r="AB101" s="12">
        <v>11.399549800000001</v>
      </c>
      <c r="AC101" s="12">
        <v>19.1916519</v>
      </c>
      <c r="AD101" s="12">
        <v>47.202929099999999</v>
      </c>
      <c r="AE101" s="12">
        <v>25.520976999999998</v>
      </c>
      <c r="AF101" s="12">
        <v>44.409177499999998</v>
      </c>
      <c r="AG101" s="12">
        <v>23.475020099999998</v>
      </c>
    </row>
    <row r="102" spans="1:33" s="11" customFormat="1" outlineLevel="1" x14ac:dyDescent="0.3">
      <c r="A102" s="11" t="s">
        <v>109</v>
      </c>
      <c r="B102" s="12">
        <v>4.2015890999999996</v>
      </c>
      <c r="C102" s="12">
        <v>118.4333333</v>
      </c>
      <c r="D102" s="12">
        <v>8.8341604</v>
      </c>
      <c r="E102" s="17">
        <v>0</v>
      </c>
      <c r="F102" s="12">
        <v>113.5433333</v>
      </c>
      <c r="G102" s="12">
        <v>22.651686300000001</v>
      </c>
      <c r="H102" s="12">
        <v>30.1338784</v>
      </c>
      <c r="I102" s="12">
        <v>-1.5703381999999999</v>
      </c>
      <c r="J102" s="12">
        <v>2.6421242999999999</v>
      </c>
      <c r="K102" s="12">
        <v>-3.2386127</v>
      </c>
      <c r="L102" s="12">
        <v>8.9461318999999992</v>
      </c>
      <c r="M102" s="12">
        <v>0.61202529999999999</v>
      </c>
      <c r="N102" s="12">
        <v>10.7690588</v>
      </c>
      <c r="O102" s="12">
        <v>7.2901617999999999</v>
      </c>
      <c r="P102" s="7">
        <v>8971.0439999999999</v>
      </c>
      <c r="Q102" s="7">
        <v>460.27699999999999</v>
      </c>
      <c r="R102" s="7">
        <v>4.9000000000000004</v>
      </c>
      <c r="S102" s="12">
        <v>24.037846099999999</v>
      </c>
      <c r="T102" s="12">
        <v>14</v>
      </c>
      <c r="U102" s="12">
        <v>178.9305784</v>
      </c>
      <c r="V102" s="12">
        <v>471.89333329999999</v>
      </c>
      <c r="W102" s="12">
        <v>1.8773915999999999</v>
      </c>
      <c r="X102" s="12">
        <v>44.147417599999997</v>
      </c>
      <c r="Y102" s="12">
        <v>31.5098798</v>
      </c>
      <c r="Z102" s="12">
        <v>3.2975577999999999</v>
      </c>
      <c r="AA102" s="12">
        <v>39.530660099999999</v>
      </c>
      <c r="AB102" s="12">
        <v>15.1632748</v>
      </c>
      <c r="AC102" s="12">
        <v>23.274552100000001</v>
      </c>
      <c r="AD102" s="12">
        <v>54.902330800000001</v>
      </c>
      <c r="AE102" s="12">
        <v>31.299804000000002</v>
      </c>
      <c r="AF102" s="12">
        <v>39.958533500000001</v>
      </c>
      <c r="AG102" s="12">
        <v>22.129389799999998</v>
      </c>
    </row>
    <row r="103" spans="1:33" s="11" customFormat="1" outlineLevel="1" x14ac:dyDescent="0.3">
      <c r="A103" s="11" t="s">
        <v>110</v>
      </c>
      <c r="B103" s="12">
        <v>2.5907767000000002</v>
      </c>
      <c r="C103" s="12">
        <v>120.83</v>
      </c>
      <c r="D103" s="12">
        <v>10.289956500000001</v>
      </c>
      <c r="E103" s="17">
        <v>0.75</v>
      </c>
      <c r="F103" s="12">
        <v>100.7133333</v>
      </c>
      <c r="G103" s="12">
        <v>17.4260001</v>
      </c>
      <c r="H103" s="12">
        <v>21.007974699999998</v>
      </c>
      <c r="I103" s="12">
        <v>-1.8527898</v>
      </c>
      <c r="J103" s="12">
        <v>2.0646688000000002</v>
      </c>
      <c r="K103" s="12">
        <v>0.48964839999999998</v>
      </c>
      <c r="L103" s="12">
        <v>-15.5642248</v>
      </c>
      <c r="M103" s="12">
        <v>1.1044175000000001</v>
      </c>
      <c r="N103" s="12">
        <v>20.255206999999999</v>
      </c>
      <c r="O103" s="12">
        <v>14.0183661</v>
      </c>
      <c r="P103" s="7">
        <v>8971.6029999999992</v>
      </c>
      <c r="Q103" s="7">
        <v>459.185</v>
      </c>
      <c r="R103" s="7">
        <v>4.9000000000000004</v>
      </c>
      <c r="S103" s="12">
        <v>23.0293803</v>
      </c>
      <c r="T103" s="12">
        <v>14.5</v>
      </c>
      <c r="U103" s="12">
        <v>186.49045390000001</v>
      </c>
      <c r="V103" s="12">
        <v>479.43666669999999</v>
      </c>
      <c r="W103" s="12">
        <v>0.3439451</v>
      </c>
      <c r="X103" s="12">
        <v>55.598256999999997</v>
      </c>
      <c r="Y103" s="12">
        <v>41.314094099999998</v>
      </c>
      <c r="Z103" s="12">
        <v>2.2674946999999999</v>
      </c>
      <c r="AA103" s="12">
        <v>46.475759500000002</v>
      </c>
      <c r="AB103" s="12">
        <v>8.6641366000000009</v>
      </c>
      <c r="AC103" s="12">
        <v>29.3122355</v>
      </c>
      <c r="AD103" s="12">
        <v>45.507409899999999</v>
      </c>
      <c r="AE103" s="12">
        <v>30.045109</v>
      </c>
      <c r="AF103" s="12">
        <v>36.153778500000001</v>
      </c>
      <c r="AG103" s="12">
        <v>24.346150099999999</v>
      </c>
    </row>
    <row r="104" spans="1:33" s="11" customFormat="1" outlineLevel="1" x14ac:dyDescent="0.3">
      <c r="A104" s="11" t="s">
        <v>111</v>
      </c>
      <c r="B104" s="12">
        <v>1.4006327999999999</v>
      </c>
      <c r="C104" s="12">
        <v>123.8</v>
      </c>
      <c r="D104" s="12">
        <v>10.9982068</v>
      </c>
      <c r="E104" s="17">
        <v>1.9166666999999999</v>
      </c>
      <c r="F104" s="12">
        <v>88.556666699999994</v>
      </c>
      <c r="G104" s="12">
        <v>28.930094799999999</v>
      </c>
      <c r="H104" s="12">
        <v>19.3565249</v>
      </c>
      <c r="I104" s="12">
        <v>-4.0916880000000004</v>
      </c>
      <c r="J104" s="12">
        <v>3.5881086</v>
      </c>
      <c r="K104" s="12">
        <v>11.9520906</v>
      </c>
      <c r="L104" s="12">
        <v>24.168901200000001</v>
      </c>
      <c r="M104" s="12">
        <v>4.0081974000000002</v>
      </c>
      <c r="N104" s="12">
        <v>-2.7666129000000002</v>
      </c>
      <c r="O104" s="12">
        <v>15.388246000000001</v>
      </c>
      <c r="P104" s="7">
        <v>8965.5360000000001</v>
      </c>
      <c r="Q104" s="7">
        <v>456.04899999999998</v>
      </c>
      <c r="R104" s="7">
        <v>4.8</v>
      </c>
      <c r="S104" s="12">
        <v>22.909862799999999</v>
      </c>
      <c r="T104" s="12">
        <v>16.75</v>
      </c>
      <c r="U104" s="12">
        <v>195.19460190000001</v>
      </c>
      <c r="V104" s="12">
        <v>476.77333329999999</v>
      </c>
      <c r="W104" s="12">
        <v>-2.2918419000000001</v>
      </c>
      <c r="X104" s="12">
        <v>25.9373468</v>
      </c>
      <c r="Y104" s="12">
        <v>42.760786199999998</v>
      </c>
      <c r="Z104" s="12">
        <v>-0.4534841</v>
      </c>
      <c r="AA104" s="12">
        <v>58.780174000000002</v>
      </c>
      <c r="AB104" s="12">
        <v>8.7781371999999998</v>
      </c>
      <c r="AC104" s="12">
        <v>25.9726599</v>
      </c>
      <c r="AD104" s="12">
        <v>28.966578200000001</v>
      </c>
      <c r="AE104" s="12">
        <v>22.815213199999999</v>
      </c>
      <c r="AF104" s="12">
        <v>31.842592700000001</v>
      </c>
      <c r="AG104" s="12">
        <v>25.679152599999998</v>
      </c>
    </row>
    <row r="105" spans="1:33" s="11" customFormat="1" outlineLevel="1" x14ac:dyDescent="0.3">
      <c r="A105" s="11" t="s">
        <v>112</v>
      </c>
      <c r="B105" s="12">
        <v>1.3448477999999999</v>
      </c>
      <c r="C105" s="12">
        <v>124.9666667</v>
      </c>
      <c r="D105" s="12">
        <v>9.4023579000000002</v>
      </c>
      <c r="E105" s="17">
        <v>3</v>
      </c>
      <c r="F105" s="12">
        <v>81.173333299999996</v>
      </c>
      <c r="G105" s="12">
        <v>29.751518699999998</v>
      </c>
      <c r="H105" s="12">
        <v>16.635959400000001</v>
      </c>
      <c r="I105" s="12">
        <v>-1.6206385000000001</v>
      </c>
      <c r="J105" s="12">
        <v>5</v>
      </c>
      <c r="K105" s="12">
        <v>9.8000000000000007</v>
      </c>
      <c r="L105" s="12">
        <v>8.4</v>
      </c>
      <c r="M105" s="12">
        <v>29.8</v>
      </c>
      <c r="N105" s="12">
        <v>4</v>
      </c>
      <c r="O105" s="12">
        <v>31.9</v>
      </c>
      <c r="P105" s="7">
        <v>9031.89</v>
      </c>
      <c r="Q105" s="7">
        <v>453.45299999999997</v>
      </c>
      <c r="R105" s="7">
        <v>4.8</v>
      </c>
      <c r="S105" s="12">
        <v>19.3400903</v>
      </c>
      <c r="T105" s="12">
        <v>16.75</v>
      </c>
      <c r="U105" s="12">
        <v>202.1693338</v>
      </c>
      <c r="V105" s="12">
        <v>488.05333330000002</v>
      </c>
      <c r="W105" s="12">
        <v>3.5960035000000001</v>
      </c>
      <c r="X105" s="12">
        <v>-5.3546795999999999</v>
      </c>
      <c r="Y105" s="12">
        <v>46.068332099999999</v>
      </c>
      <c r="Z105" s="12">
        <v>-2.8219911999999998</v>
      </c>
      <c r="AA105" s="12">
        <v>49.862458500000002</v>
      </c>
      <c r="AB105" s="12">
        <v>12.0776591</v>
      </c>
      <c r="AC105" s="12">
        <v>26.096490800000002</v>
      </c>
      <c r="AD105" s="12">
        <v>40.979542299999999</v>
      </c>
      <c r="AE105" s="12">
        <v>30.677950899999999</v>
      </c>
      <c r="AF105" s="12">
        <v>31.0058756</v>
      </c>
      <c r="AG105" s="12">
        <v>22.209161000000002</v>
      </c>
    </row>
    <row r="106" spans="1:33" s="11" customFormat="1" outlineLevel="1" x14ac:dyDescent="0.3">
      <c r="A106" s="11" t="s">
        <v>113</v>
      </c>
      <c r="B106" s="12">
        <v>0.20197219999999999</v>
      </c>
      <c r="C106" s="12">
        <v>126.9766667</v>
      </c>
      <c r="D106" s="12">
        <v>7.2136222999999999</v>
      </c>
      <c r="E106" s="17">
        <v>3.75</v>
      </c>
      <c r="F106" s="12">
        <v>78.316666699999999</v>
      </c>
      <c r="G106" s="12">
        <v>29.2851283</v>
      </c>
      <c r="H106" s="12">
        <v>13.0262139</v>
      </c>
      <c r="I106" s="12">
        <v>-5.2792836000000003</v>
      </c>
      <c r="J106" s="12">
        <v>5.5928440999999998</v>
      </c>
      <c r="K106" s="12">
        <v>9.8000000000000007</v>
      </c>
      <c r="L106" s="12">
        <v>1.6696164</v>
      </c>
      <c r="M106" s="12">
        <v>37.072444300000001</v>
      </c>
      <c r="N106" s="12">
        <v>4.1895645000000004</v>
      </c>
      <c r="O106" s="12">
        <v>27.856998600000001</v>
      </c>
      <c r="P106" s="7">
        <v>9115.0820000000003</v>
      </c>
      <c r="Q106" s="7">
        <v>452.64299999999997</v>
      </c>
      <c r="R106" s="7">
        <v>4.7</v>
      </c>
      <c r="S106" s="12">
        <v>17.143946799999998</v>
      </c>
      <c r="T106" s="12">
        <v>16.75</v>
      </c>
      <c r="U106" s="12">
        <v>207.2579743</v>
      </c>
      <c r="V106" s="12">
        <v>488.41666670000001</v>
      </c>
      <c r="W106" s="12">
        <v>4.8957983</v>
      </c>
      <c r="X106" s="12">
        <v>-4.3470260999999999</v>
      </c>
      <c r="Y106" s="12">
        <v>26.294818100000001</v>
      </c>
      <c r="Z106" s="12">
        <v>-6.4312614999999997</v>
      </c>
      <c r="AA106" s="12">
        <v>43.003997400000003</v>
      </c>
      <c r="AB106" s="12">
        <v>15.0227222</v>
      </c>
      <c r="AC106" s="12">
        <v>33.512245100000001</v>
      </c>
      <c r="AD106" s="12">
        <v>42.335736599999997</v>
      </c>
      <c r="AE106" s="12">
        <v>36.401458599999998</v>
      </c>
      <c r="AF106" s="12">
        <v>30.629888300000001</v>
      </c>
      <c r="AG106" s="12">
        <v>23.949058099999998</v>
      </c>
    </row>
    <row r="107" spans="1:33" s="11" customFormat="1" outlineLevel="1" x14ac:dyDescent="0.3">
      <c r="A107" s="11" t="s">
        <v>114</v>
      </c>
      <c r="B107" s="12">
        <v>-0.19771859999999999</v>
      </c>
      <c r="C107" s="12">
        <v>127.6866667</v>
      </c>
      <c r="D107" s="12">
        <v>5.6746392999999999</v>
      </c>
      <c r="E107" s="17">
        <v>4.25</v>
      </c>
      <c r="F107" s="12">
        <v>86.66</v>
      </c>
      <c r="G107" s="12">
        <v>17.703723</v>
      </c>
      <c r="H107" s="12">
        <v>16.946887400000001</v>
      </c>
      <c r="I107" s="12">
        <v>-2.0925885000000002</v>
      </c>
      <c r="J107" s="12">
        <v>4.2670658000000001</v>
      </c>
      <c r="K107" s="12">
        <v>5.6303384999999997</v>
      </c>
      <c r="L107" s="12">
        <v>15.5315984</v>
      </c>
      <c r="M107" s="12">
        <v>12.875154999999999</v>
      </c>
      <c r="N107" s="12">
        <v>0.80771490000000001</v>
      </c>
      <c r="O107" s="12">
        <v>12.504042800000001</v>
      </c>
      <c r="P107" s="7">
        <v>9106.0570000000007</v>
      </c>
      <c r="Q107" s="7">
        <v>451.48599999999999</v>
      </c>
      <c r="R107" s="7">
        <v>4.7</v>
      </c>
      <c r="S107" s="12">
        <v>16.9323041</v>
      </c>
      <c r="T107" s="12">
        <v>16.5</v>
      </c>
      <c r="U107" s="12">
        <v>211.0117438</v>
      </c>
      <c r="V107" s="12">
        <v>495.36638529999999</v>
      </c>
      <c r="W107" s="12">
        <v>5.777361</v>
      </c>
      <c r="X107" s="12">
        <v>-10.4519494</v>
      </c>
      <c r="Y107" s="12">
        <v>6.5430883</v>
      </c>
      <c r="Z107" s="12">
        <v>-2.9067075</v>
      </c>
      <c r="AA107" s="12">
        <v>50.177561799999999</v>
      </c>
      <c r="AB107" s="12">
        <v>9.7322556999999996</v>
      </c>
      <c r="AC107" s="12">
        <v>32.663078900000002</v>
      </c>
      <c r="AD107" s="12">
        <v>37.096703400000003</v>
      </c>
      <c r="AE107" s="12">
        <v>29.644848400000001</v>
      </c>
      <c r="AF107" s="12">
        <v>30.295439900000002</v>
      </c>
      <c r="AG107" s="12">
        <v>24.477944300000001</v>
      </c>
    </row>
    <row r="108" spans="1:33" s="11" customFormat="1" outlineLevel="1" x14ac:dyDescent="0.3">
      <c r="A108" s="11" t="s">
        <v>115</v>
      </c>
      <c r="B108" s="7" t="s">
        <v>107</v>
      </c>
      <c r="C108" s="12">
        <v>127.9933333</v>
      </c>
      <c r="D108" s="12">
        <v>3.3871836000000002</v>
      </c>
      <c r="E108" s="17">
        <v>4.5</v>
      </c>
      <c r="F108" s="12">
        <v>83.723333299999993</v>
      </c>
      <c r="G108" s="7" t="s">
        <v>107</v>
      </c>
      <c r="H108" s="7" t="s">
        <v>107</v>
      </c>
      <c r="I108" s="7" t="s">
        <v>107</v>
      </c>
      <c r="J108" s="7" t="s">
        <v>107</v>
      </c>
      <c r="K108" s="7" t="s">
        <v>107</v>
      </c>
      <c r="L108" s="7" t="s">
        <v>107</v>
      </c>
      <c r="M108" s="7" t="s">
        <v>107</v>
      </c>
      <c r="N108" s="7" t="s">
        <v>107</v>
      </c>
      <c r="O108" s="7" t="s">
        <v>107</v>
      </c>
      <c r="P108" s="7" t="s">
        <v>107</v>
      </c>
      <c r="Q108" s="7" t="s">
        <v>107</v>
      </c>
      <c r="R108" s="7" t="s">
        <v>107</v>
      </c>
      <c r="S108" s="7" t="s">
        <v>107</v>
      </c>
      <c r="T108" s="12">
        <v>15.75</v>
      </c>
      <c r="U108" s="12">
        <v>215.83303140000001</v>
      </c>
      <c r="V108" s="12">
        <v>500.89333329999999</v>
      </c>
      <c r="W108" s="12">
        <v>3.6591404999999999</v>
      </c>
      <c r="X108" s="7" t="s">
        <v>107</v>
      </c>
      <c r="Y108" s="7" t="s">
        <v>107</v>
      </c>
      <c r="Z108" s="7" t="s">
        <v>107</v>
      </c>
      <c r="AA108" s="7" t="s">
        <v>107</v>
      </c>
      <c r="AB108" s="7" t="s">
        <v>107</v>
      </c>
      <c r="AC108" s="7" t="s">
        <v>107</v>
      </c>
      <c r="AD108" s="7" t="s">
        <v>107</v>
      </c>
      <c r="AE108" s="7" t="s">
        <v>107</v>
      </c>
      <c r="AF108" s="12">
        <v>28.878073300000001</v>
      </c>
      <c r="AG108" s="7" t="s">
        <v>107</v>
      </c>
    </row>
  </sheetData>
  <pageMargins left="0.7" right="0.7" top="0.75" bottom="0.75" header="0.3" footer="0.3"/>
  <pageSetup paperSize="9" orientation="portrait" horizontalDpi="90" verticalDpi="90"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BFB9E-2661-411D-9E16-D2837DFE5E89}">
  <sheetPr codeName="Tabelle32">
    <tabColor rgb="FFFFFF00"/>
  </sheetPr>
  <dimension ref="A1:AG108"/>
  <sheetViews>
    <sheetView tabSelected="1" zoomScale="110" zoomScaleNormal="110" workbookViewId="0">
      <pane xSplit="1" ySplit="12" topLeftCell="AA87" activePane="bottomRight" state="frozen"/>
      <selection activeCell="E12" sqref="E12"/>
      <selection pane="topRight" activeCell="E12" sqref="E12"/>
      <selection pane="bottomLeft" activeCell="E12" sqref="E12"/>
      <selection pane="bottomRight" activeCell="AG1" sqref="AG1"/>
    </sheetView>
  </sheetViews>
  <sheetFormatPr defaultColWidth="9.109375" defaultRowHeight="14.4" outlineLevelRow="1" x14ac:dyDescent="0.3"/>
  <cols>
    <col min="2" max="2" width="11.5546875" bestFit="1" customWidth="1"/>
    <col min="4" max="4" width="12.44140625" customWidth="1"/>
    <col min="7" max="7" width="12.44140625" bestFit="1" customWidth="1"/>
    <col min="18" max="18" width="11.109375" bestFit="1" customWidth="1"/>
    <col min="19" max="19" width="12.44140625" bestFit="1" customWidth="1"/>
    <col min="24" max="24" width="12.5546875" bestFit="1" customWidth="1"/>
    <col min="25" max="25" width="12.6640625" bestFit="1" customWidth="1"/>
    <col min="27" max="27" width="13.6640625" customWidth="1"/>
  </cols>
  <sheetData>
    <row r="1" spans="1:33" s="8" customFormat="1" x14ac:dyDescent="0.3">
      <c r="A1" s="8" t="s">
        <v>0</v>
      </c>
      <c r="B1" s="8" t="s">
        <v>1</v>
      </c>
      <c r="C1" s="8" t="s">
        <v>2</v>
      </c>
      <c r="D1" s="8" t="s">
        <v>3</v>
      </c>
      <c r="E1" s="14" t="s">
        <v>4</v>
      </c>
      <c r="F1" s="8" t="s">
        <v>5</v>
      </c>
      <c r="G1" s="8" t="s">
        <v>6</v>
      </c>
      <c r="H1" s="8" t="s">
        <v>254</v>
      </c>
      <c r="I1" s="8" t="s">
        <v>7</v>
      </c>
      <c r="J1" s="8" t="s">
        <v>230</v>
      </c>
      <c r="K1" s="8" t="s">
        <v>231</v>
      </c>
      <c r="L1" s="8" t="s">
        <v>232</v>
      </c>
      <c r="M1" s="8" t="s">
        <v>233</v>
      </c>
      <c r="N1" s="8" t="s">
        <v>234</v>
      </c>
      <c r="O1" s="8" t="s">
        <v>235</v>
      </c>
      <c r="P1" s="8" t="s">
        <v>8</v>
      </c>
      <c r="Q1" s="8" t="s">
        <v>9</v>
      </c>
      <c r="R1" s="8" t="s">
        <v>10</v>
      </c>
      <c r="S1" s="8" t="s">
        <v>11</v>
      </c>
      <c r="T1" s="14" t="s">
        <v>12</v>
      </c>
      <c r="U1" s="8" t="s">
        <v>13</v>
      </c>
      <c r="V1" s="8" t="s">
        <v>14</v>
      </c>
      <c r="W1" s="8" t="s">
        <v>15</v>
      </c>
      <c r="X1" s="8" t="s">
        <v>16</v>
      </c>
      <c r="Y1" s="8" t="s">
        <v>17</v>
      </c>
      <c r="Z1" s="8" t="s">
        <v>18</v>
      </c>
      <c r="AA1" s="8" t="s">
        <v>248</v>
      </c>
      <c r="AB1" s="8" t="s">
        <v>236</v>
      </c>
      <c r="AC1" s="8" t="s">
        <v>237</v>
      </c>
      <c r="AD1" s="8" t="s">
        <v>238</v>
      </c>
      <c r="AE1" s="8" t="s">
        <v>239</v>
      </c>
      <c r="AF1" s="14" t="s">
        <v>255</v>
      </c>
      <c r="AG1" s="14" t="s">
        <v>1317</v>
      </c>
    </row>
    <row r="2" spans="1:33" s="10" customFormat="1" outlineLevel="1" x14ac:dyDescent="0.3">
      <c r="B2" s="26"/>
      <c r="C2" s="26"/>
      <c r="D2" s="26" t="s">
        <v>198</v>
      </c>
      <c r="E2" s="26"/>
      <c r="F2" s="26"/>
      <c r="G2" s="26" t="s">
        <v>1220</v>
      </c>
      <c r="H2" s="26" t="s">
        <v>1223</v>
      </c>
      <c r="I2" s="26"/>
      <c r="J2" s="26" t="s">
        <v>1226</v>
      </c>
      <c r="K2" s="26" t="s">
        <v>1229</v>
      </c>
      <c r="L2" s="26" t="s">
        <v>1231</v>
      </c>
      <c r="M2" s="26" t="s">
        <v>1233</v>
      </c>
      <c r="N2" s="26" t="s">
        <v>1235</v>
      </c>
      <c r="O2" s="26" t="s">
        <v>1237</v>
      </c>
      <c r="P2" s="26"/>
      <c r="Q2" s="26"/>
      <c r="R2" s="26"/>
      <c r="S2" s="26" t="s">
        <v>1215</v>
      </c>
      <c r="T2" s="26"/>
      <c r="U2" s="26"/>
      <c r="V2" s="26"/>
      <c r="W2" s="26" t="s">
        <v>1246</v>
      </c>
      <c r="X2" s="26" t="s">
        <v>1249</v>
      </c>
      <c r="Y2" s="26" t="s">
        <v>1251</v>
      </c>
      <c r="Z2" s="26"/>
      <c r="AA2" s="26" t="s">
        <v>1254</v>
      </c>
      <c r="AB2" s="26"/>
      <c r="AC2" s="26"/>
      <c r="AD2" s="26"/>
      <c r="AE2" s="26"/>
      <c r="AF2" s="26" t="s">
        <v>1260</v>
      </c>
      <c r="AG2" s="26"/>
    </row>
    <row r="3" spans="1:33" outlineLevel="1" x14ac:dyDescent="0.3">
      <c r="B3" s="27" t="s">
        <v>123</v>
      </c>
      <c r="C3" s="27" t="s">
        <v>195</v>
      </c>
      <c r="D3" s="27" t="s">
        <v>195</v>
      </c>
      <c r="E3" s="27" t="s">
        <v>186</v>
      </c>
      <c r="F3" s="27" t="s">
        <v>125</v>
      </c>
      <c r="G3" s="27" t="s">
        <v>1222</v>
      </c>
      <c r="H3" s="27" t="s">
        <v>1222</v>
      </c>
      <c r="I3" s="27" t="s">
        <v>1222</v>
      </c>
      <c r="J3" s="27" t="s">
        <v>1228</v>
      </c>
      <c r="K3" s="27" t="s">
        <v>326</v>
      </c>
      <c r="L3" s="27" t="s">
        <v>326</v>
      </c>
      <c r="M3" s="27" t="s">
        <v>326</v>
      </c>
      <c r="N3" s="27" t="s">
        <v>326</v>
      </c>
      <c r="O3" s="27" t="s">
        <v>326</v>
      </c>
      <c r="P3" s="27" t="s">
        <v>1240</v>
      </c>
      <c r="Q3" s="27" t="s">
        <v>1240</v>
      </c>
      <c r="R3" s="27" t="s">
        <v>1240</v>
      </c>
      <c r="S3" s="27" t="s">
        <v>1217</v>
      </c>
      <c r="T3" s="27" t="s">
        <v>1243</v>
      </c>
      <c r="U3" s="27" t="s">
        <v>1240</v>
      </c>
      <c r="V3" s="27" t="s">
        <v>284</v>
      </c>
      <c r="W3" s="27" t="s">
        <v>1248</v>
      </c>
      <c r="X3" s="27" t="s">
        <v>207</v>
      </c>
      <c r="Y3" s="27" t="s">
        <v>207</v>
      </c>
      <c r="Z3" s="27" t="s">
        <v>203</v>
      </c>
      <c r="AA3" s="27" t="s">
        <v>125</v>
      </c>
      <c r="AB3" s="27" t="s">
        <v>125</v>
      </c>
      <c r="AC3" s="27" t="s">
        <v>125</v>
      </c>
      <c r="AD3" s="27" t="s">
        <v>125</v>
      </c>
      <c r="AE3" s="27" t="s">
        <v>125</v>
      </c>
      <c r="AF3" s="27" t="s">
        <v>125</v>
      </c>
      <c r="AG3" s="27" t="s">
        <v>125</v>
      </c>
    </row>
    <row r="4" spans="1:33" outlineLevel="1" x14ac:dyDescent="0.3">
      <c r="B4" s="2">
        <v>144396</v>
      </c>
      <c r="C4" s="2">
        <v>77811</v>
      </c>
      <c r="D4" s="2">
        <v>77812</v>
      </c>
      <c r="E4" s="2">
        <v>144399</v>
      </c>
      <c r="F4" s="27">
        <v>101874</v>
      </c>
      <c r="G4" s="2">
        <v>53458</v>
      </c>
      <c r="H4" s="2">
        <v>53456</v>
      </c>
      <c r="I4" s="2">
        <v>89228</v>
      </c>
      <c r="J4" s="2">
        <v>88692</v>
      </c>
      <c r="K4" s="2">
        <v>90882</v>
      </c>
      <c r="L4" s="2">
        <v>90926</v>
      </c>
      <c r="M4" s="2">
        <v>90948</v>
      </c>
      <c r="N4" s="2">
        <v>90992</v>
      </c>
      <c r="O4" s="2">
        <v>91014</v>
      </c>
      <c r="P4" s="2">
        <v>53344</v>
      </c>
      <c r="Q4" s="2">
        <v>53345</v>
      </c>
      <c r="R4" s="2">
        <v>53346</v>
      </c>
      <c r="S4" s="2">
        <v>318</v>
      </c>
      <c r="T4" s="2">
        <v>787</v>
      </c>
      <c r="U4" s="2">
        <v>74543</v>
      </c>
      <c r="V4" s="2">
        <v>968</v>
      </c>
      <c r="W4" s="2">
        <v>71024</v>
      </c>
      <c r="X4" s="2">
        <v>87178</v>
      </c>
      <c r="Y4" s="2">
        <v>87189</v>
      </c>
      <c r="Z4" s="2">
        <v>88757</v>
      </c>
      <c r="AA4" s="27">
        <v>90354</v>
      </c>
      <c r="AB4" s="27">
        <v>90398</v>
      </c>
      <c r="AC4" s="27">
        <v>90420</v>
      </c>
      <c r="AD4" s="27">
        <v>90508</v>
      </c>
      <c r="AE4" s="27">
        <v>90530</v>
      </c>
      <c r="AF4" s="27">
        <v>89628</v>
      </c>
      <c r="AG4" s="27">
        <v>141287</v>
      </c>
    </row>
    <row r="5" spans="1:33" outlineLevel="1" x14ac:dyDescent="0.3">
      <c r="B5" s="27" t="s">
        <v>221</v>
      </c>
      <c r="C5" s="27" t="s">
        <v>194</v>
      </c>
      <c r="D5" s="27" t="s">
        <v>199</v>
      </c>
      <c r="E5" s="27" t="s">
        <v>253</v>
      </c>
      <c r="F5" s="27" t="s">
        <v>189</v>
      </c>
      <c r="G5" s="27" t="s">
        <v>1221</v>
      </c>
      <c r="H5" s="27" t="s">
        <v>1224</v>
      </c>
      <c r="I5" s="27" t="s">
        <v>1225</v>
      </c>
      <c r="J5" s="27" t="s">
        <v>1227</v>
      </c>
      <c r="K5" s="27" t="s">
        <v>1230</v>
      </c>
      <c r="L5" s="27" t="s">
        <v>1232</v>
      </c>
      <c r="M5" s="27" t="s">
        <v>1234</v>
      </c>
      <c r="N5" s="27" t="s">
        <v>1236</v>
      </c>
      <c r="O5" s="27" t="s">
        <v>1238</v>
      </c>
      <c r="P5" s="27" t="s">
        <v>1239</v>
      </c>
      <c r="Q5" s="27" t="s">
        <v>1241</v>
      </c>
      <c r="R5" s="27" t="s">
        <v>1242</v>
      </c>
      <c r="S5" s="27" t="s">
        <v>1216</v>
      </c>
      <c r="T5" s="27" t="s">
        <v>1316</v>
      </c>
      <c r="U5" s="27" t="s">
        <v>1244</v>
      </c>
      <c r="V5" s="27" t="s">
        <v>1245</v>
      </c>
      <c r="W5" s="27" t="s">
        <v>1247</v>
      </c>
      <c r="X5" s="27" t="s">
        <v>1250</v>
      </c>
      <c r="Y5" s="27" t="s">
        <v>1252</v>
      </c>
      <c r="Z5" s="27" t="s">
        <v>1253</v>
      </c>
      <c r="AA5" s="27" t="s">
        <v>1255</v>
      </c>
      <c r="AB5" s="27" t="s">
        <v>1256</v>
      </c>
      <c r="AC5" s="27" t="s">
        <v>1257</v>
      </c>
      <c r="AD5" s="27" t="s">
        <v>1258</v>
      </c>
      <c r="AE5" s="27" t="s">
        <v>1259</v>
      </c>
      <c r="AF5" s="27" t="s">
        <v>1261</v>
      </c>
      <c r="AG5" s="27" t="s">
        <v>1262</v>
      </c>
    </row>
    <row r="6" spans="1:33" outlineLevel="1" x14ac:dyDescent="0.3">
      <c r="B6" s="27" t="s">
        <v>222</v>
      </c>
      <c r="C6" s="27" t="s">
        <v>196</v>
      </c>
      <c r="D6" s="27" t="s">
        <v>196</v>
      </c>
      <c r="E6" s="27" t="s">
        <v>187</v>
      </c>
      <c r="F6" s="27" t="s">
        <v>190</v>
      </c>
      <c r="G6" s="27" t="s">
        <v>1218</v>
      </c>
      <c r="H6" s="27" t="s">
        <v>1218</v>
      </c>
      <c r="I6" s="27" t="s">
        <v>1218</v>
      </c>
      <c r="J6" s="27" t="s">
        <v>1218</v>
      </c>
      <c r="K6" s="27" t="s">
        <v>1218</v>
      </c>
      <c r="L6" s="27" t="s">
        <v>1218</v>
      </c>
      <c r="M6" s="27" t="s">
        <v>1218</v>
      </c>
      <c r="N6" s="27" t="s">
        <v>1218</v>
      </c>
      <c r="O6" s="27" t="s">
        <v>1218</v>
      </c>
      <c r="P6" s="27" t="s">
        <v>1218</v>
      </c>
      <c r="Q6" s="27" t="s">
        <v>1218</v>
      </c>
      <c r="R6" s="27" t="s">
        <v>1218</v>
      </c>
      <c r="S6" s="27" t="s">
        <v>1218</v>
      </c>
      <c r="T6" s="27" t="s">
        <v>1218</v>
      </c>
      <c r="U6" s="27" t="s">
        <v>1218</v>
      </c>
      <c r="V6" s="27" t="s">
        <v>1218</v>
      </c>
      <c r="W6" s="27" t="s">
        <v>1218</v>
      </c>
      <c r="X6" s="27" t="s">
        <v>1218</v>
      </c>
      <c r="Y6" s="27" t="s">
        <v>1218</v>
      </c>
      <c r="Z6" s="27" t="s">
        <v>1218</v>
      </c>
      <c r="AA6" s="27" t="s">
        <v>1218</v>
      </c>
      <c r="AB6" s="27" t="s">
        <v>1218</v>
      </c>
      <c r="AC6" s="27" t="s">
        <v>1218</v>
      </c>
      <c r="AD6" s="27" t="s">
        <v>1218</v>
      </c>
      <c r="AE6" s="27" t="s">
        <v>1218</v>
      </c>
      <c r="AF6" s="27" t="s">
        <v>1218</v>
      </c>
      <c r="AG6" s="27" t="s">
        <v>1218</v>
      </c>
    </row>
    <row r="7" spans="1:33" outlineLevel="1" x14ac:dyDescent="0.3">
      <c r="B7" s="27" t="s">
        <v>223</v>
      </c>
      <c r="C7" s="27" t="s">
        <v>197</v>
      </c>
      <c r="D7" s="27" t="s">
        <v>197</v>
      </c>
      <c r="E7" s="27" t="s">
        <v>188</v>
      </c>
      <c r="F7" s="27" t="s">
        <v>191</v>
      </c>
      <c r="G7" s="27" t="s">
        <v>1219</v>
      </c>
      <c r="H7" s="27" t="s">
        <v>1219</v>
      </c>
      <c r="I7" s="27" t="s">
        <v>1219</v>
      </c>
      <c r="J7" s="27" t="s">
        <v>1219</v>
      </c>
      <c r="K7" s="27" t="s">
        <v>1219</v>
      </c>
      <c r="L7" s="27" t="s">
        <v>1219</v>
      </c>
      <c r="M7" s="27" t="s">
        <v>1219</v>
      </c>
      <c r="N7" s="27" t="s">
        <v>1219</v>
      </c>
      <c r="O7" s="27" t="s">
        <v>1219</v>
      </c>
      <c r="P7" s="27" t="s">
        <v>1219</v>
      </c>
      <c r="Q7" s="27" t="s">
        <v>1219</v>
      </c>
      <c r="R7" s="27" t="s">
        <v>1219</v>
      </c>
      <c r="S7" s="27" t="s">
        <v>1219</v>
      </c>
      <c r="T7" s="27" t="s">
        <v>1219</v>
      </c>
      <c r="U7" s="27" t="s">
        <v>1219</v>
      </c>
      <c r="V7" s="27" t="s">
        <v>1219</v>
      </c>
      <c r="W7" s="27" t="s">
        <v>1219</v>
      </c>
      <c r="X7" s="27" t="s">
        <v>1219</v>
      </c>
      <c r="Y7" s="27" t="s">
        <v>1219</v>
      </c>
      <c r="Z7" s="27" t="s">
        <v>1219</v>
      </c>
      <c r="AA7" s="27" t="s">
        <v>1219</v>
      </c>
      <c r="AB7" s="27" t="s">
        <v>1219</v>
      </c>
      <c r="AC7" s="27" t="s">
        <v>1219</v>
      </c>
      <c r="AD7" s="27" t="s">
        <v>1219</v>
      </c>
      <c r="AE7" s="27" t="s">
        <v>1219</v>
      </c>
      <c r="AF7" s="27" t="s">
        <v>1219</v>
      </c>
      <c r="AG7" s="27" t="s">
        <v>1219</v>
      </c>
    </row>
    <row r="8" spans="1:33" outlineLevel="1" x14ac:dyDescent="0.3">
      <c r="A8" s="16" t="s">
        <v>489</v>
      </c>
      <c r="B8" s="27" t="s">
        <v>120</v>
      </c>
      <c r="C8" s="27" t="s">
        <v>163</v>
      </c>
      <c r="D8" s="27" t="s">
        <v>163</v>
      </c>
      <c r="E8" s="27" t="s">
        <v>159</v>
      </c>
      <c r="F8" s="27"/>
      <c r="G8" s="27" t="s">
        <v>179</v>
      </c>
      <c r="H8" s="27" t="s">
        <v>173</v>
      </c>
      <c r="I8" s="27" t="s">
        <v>182</v>
      </c>
      <c r="J8" s="27" t="s">
        <v>120</v>
      </c>
      <c r="K8" s="27" t="s">
        <v>126</v>
      </c>
      <c r="L8" s="27" t="s">
        <v>129</v>
      </c>
      <c r="M8" s="27" t="s">
        <v>132</v>
      </c>
      <c r="N8" s="27" t="s">
        <v>135</v>
      </c>
      <c r="O8" s="27" t="s">
        <v>138</v>
      </c>
      <c r="P8" s="27" t="s">
        <v>141</v>
      </c>
      <c r="Q8" s="27" t="s">
        <v>146</v>
      </c>
      <c r="R8" s="27" t="s">
        <v>149</v>
      </c>
      <c r="S8" s="27" t="s">
        <v>154</v>
      </c>
      <c r="T8" s="27" t="s">
        <v>159</v>
      </c>
      <c r="U8" s="27" t="s">
        <v>163</v>
      </c>
      <c r="V8" s="27" t="s">
        <v>168</v>
      </c>
      <c r="W8" s="27" t="s">
        <v>217</v>
      </c>
      <c r="X8" s="27" t="s">
        <v>208</v>
      </c>
      <c r="Y8" s="27" t="s">
        <v>213</v>
      </c>
      <c r="Z8" s="27" t="s">
        <v>204</v>
      </c>
      <c r="AA8" s="27" t="s">
        <v>126</v>
      </c>
      <c r="AB8" s="27" t="s">
        <v>129</v>
      </c>
      <c r="AC8" s="27" t="s">
        <v>132</v>
      </c>
      <c r="AD8" s="27" t="s">
        <v>135</v>
      </c>
      <c r="AE8" s="27" t="s">
        <v>138</v>
      </c>
      <c r="AF8" s="27" t="s">
        <v>351</v>
      </c>
      <c r="AG8" s="27" t="s">
        <v>402</v>
      </c>
    </row>
    <row r="9" spans="1:33" outlineLevel="1" x14ac:dyDescent="0.3">
      <c r="A9" s="16" t="s">
        <v>490</v>
      </c>
      <c r="B9" s="27" t="s">
        <v>121</v>
      </c>
      <c r="C9" s="27" t="s">
        <v>164</v>
      </c>
      <c r="D9" s="27" t="s">
        <v>164</v>
      </c>
      <c r="E9" s="27" t="s">
        <v>160</v>
      </c>
      <c r="F9" s="27"/>
      <c r="G9" s="27" t="s">
        <v>180</v>
      </c>
      <c r="H9" s="27" t="s">
        <v>174</v>
      </c>
      <c r="I9" s="27" t="s">
        <v>183</v>
      </c>
      <c r="J9" s="27" t="s">
        <v>121</v>
      </c>
      <c r="K9" s="27" t="s">
        <v>127</v>
      </c>
      <c r="L9" s="27" t="s">
        <v>130</v>
      </c>
      <c r="M9" s="27" t="s">
        <v>133</v>
      </c>
      <c r="N9" s="27" t="s">
        <v>136</v>
      </c>
      <c r="O9" s="27" t="s">
        <v>139</v>
      </c>
      <c r="P9" s="27" t="s">
        <v>142</v>
      </c>
      <c r="Q9" s="27" t="s">
        <v>147</v>
      </c>
      <c r="R9" s="27" t="s">
        <v>150</v>
      </c>
      <c r="S9" s="27" t="s">
        <v>155</v>
      </c>
      <c r="T9" s="27" t="s">
        <v>160</v>
      </c>
      <c r="U9" s="27" t="s">
        <v>164</v>
      </c>
      <c r="V9" s="27" t="s">
        <v>169</v>
      </c>
      <c r="W9" s="27" t="s">
        <v>218</v>
      </c>
      <c r="X9" s="27" t="s">
        <v>209</v>
      </c>
      <c r="Y9" s="27" t="s">
        <v>214</v>
      </c>
      <c r="Z9" s="27" t="s">
        <v>205</v>
      </c>
      <c r="AA9" s="27" t="s">
        <v>127</v>
      </c>
      <c r="AB9" s="27" t="s">
        <v>130</v>
      </c>
      <c r="AC9" s="27" t="s">
        <v>133</v>
      </c>
      <c r="AD9" s="27" t="s">
        <v>136</v>
      </c>
      <c r="AE9" s="27" t="s">
        <v>139</v>
      </c>
      <c r="AF9" s="27" t="s">
        <v>352</v>
      </c>
      <c r="AG9" s="28" t="s">
        <v>403</v>
      </c>
    </row>
    <row r="10" spans="1:33" outlineLevel="1" x14ac:dyDescent="0.3">
      <c r="A10" s="16" t="s">
        <v>491</v>
      </c>
      <c r="B10" s="27" t="s">
        <v>224</v>
      </c>
      <c r="C10" s="27" t="s">
        <v>165</v>
      </c>
      <c r="D10" s="27" t="s">
        <v>200</v>
      </c>
      <c r="E10" s="27" t="s">
        <v>226</v>
      </c>
      <c r="F10" s="27"/>
      <c r="G10" s="27" t="s">
        <v>175</v>
      </c>
      <c r="H10" s="27" t="s">
        <v>175</v>
      </c>
      <c r="I10" s="27" t="s">
        <v>184</v>
      </c>
      <c r="J10" s="27" t="s">
        <v>122</v>
      </c>
      <c r="K10" s="27" t="s">
        <v>122</v>
      </c>
      <c r="L10" s="27" t="s">
        <v>122</v>
      </c>
      <c r="M10" s="27" t="s">
        <v>122</v>
      </c>
      <c r="N10" s="27" t="s">
        <v>122</v>
      </c>
      <c r="O10" s="27" t="s">
        <v>122</v>
      </c>
      <c r="P10" s="27" t="s">
        <v>143</v>
      </c>
      <c r="Q10" s="27" t="s">
        <v>143</v>
      </c>
      <c r="R10" s="27" t="s">
        <v>151</v>
      </c>
      <c r="S10" s="27" t="s">
        <v>156</v>
      </c>
      <c r="T10" s="27" t="s">
        <v>447</v>
      </c>
      <c r="U10" s="27" t="s">
        <v>165</v>
      </c>
      <c r="V10" s="27" t="s">
        <v>170</v>
      </c>
      <c r="W10" s="27" t="s">
        <v>219</v>
      </c>
      <c r="X10" s="27" t="s">
        <v>210</v>
      </c>
      <c r="Y10" s="27" t="s">
        <v>210</v>
      </c>
      <c r="Z10" s="27" t="s">
        <v>184</v>
      </c>
      <c r="AA10" s="27" t="s">
        <v>184</v>
      </c>
      <c r="AB10" s="27" t="s">
        <v>184</v>
      </c>
      <c r="AC10" s="27" t="s">
        <v>184</v>
      </c>
      <c r="AD10" s="27" t="s">
        <v>184</v>
      </c>
      <c r="AE10" s="27" t="s">
        <v>184</v>
      </c>
      <c r="AF10" s="27" t="s">
        <v>156</v>
      </c>
      <c r="AG10" s="27" t="s">
        <v>184</v>
      </c>
    </row>
    <row r="11" spans="1:33" ht="15" customHeight="1" outlineLevel="1" x14ac:dyDescent="0.3">
      <c r="A11" s="16" t="s">
        <v>492</v>
      </c>
      <c r="B11" s="27" t="s">
        <v>225</v>
      </c>
      <c r="C11" s="27" t="s">
        <v>166</v>
      </c>
      <c r="D11" s="27" t="s">
        <v>201</v>
      </c>
      <c r="E11" s="27" t="s">
        <v>227</v>
      </c>
      <c r="F11" s="27"/>
      <c r="G11" s="27" t="s">
        <v>176</v>
      </c>
      <c r="H11" s="27" t="s">
        <v>176</v>
      </c>
      <c r="I11" s="27" t="s">
        <v>185</v>
      </c>
      <c r="J11" s="27" t="s">
        <v>118</v>
      </c>
      <c r="K11" s="27" t="s">
        <v>118</v>
      </c>
      <c r="L11" s="27" t="s">
        <v>118</v>
      </c>
      <c r="M11" s="27" t="s">
        <v>118</v>
      </c>
      <c r="N11" s="27" t="s">
        <v>118</v>
      </c>
      <c r="O11" s="27" t="s">
        <v>118</v>
      </c>
      <c r="P11" s="27" t="s">
        <v>144</v>
      </c>
      <c r="Q11" s="27" t="s">
        <v>144</v>
      </c>
      <c r="R11" s="27" t="s">
        <v>152</v>
      </c>
      <c r="S11" s="27" t="s">
        <v>157</v>
      </c>
      <c r="T11" s="27" t="s">
        <v>448</v>
      </c>
      <c r="U11" s="27" t="s">
        <v>166</v>
      </c>
      <c r="V11" s="27" t="s">
        <v>171</v>
      </c>
      <c r="W11" s="27" t="s">
        <v>220</v>
      </c>
      <c r="X11" s="27" t="s">
        <v>211</v>
      </c>
      <c r="Y11" s="27" t="s">
        <v>211</v>
      </c>
      <c r="Z11" s="27" t="s">
        <v>185</v>
      </c>
      <c r="AA11" s="27" t="s">
        <v>185</v>
      </c>
      <c r="AB11" s="27" t="s">
        <v>185</v>
      </c>
      <c r="AC11" s="27" t="s">
        <v>185</v>
      </c>
      <c r="AD11" s="27" t="s">
        <v>185</v>
      </c>
      <c r="AE11" s="27" t="s">
        <v>185</v>
      </c>
      <c r="AF11" s="27" t="s">
        <v>157</v>
      </c>
      <c r="AG11" s="27" t="s">
        <v>185</v>
      </c>
    </row>
    <row r="12" spans="1:33" outlineLevel="1" x14ac:dyDescent="0.3">
      <c r="B12" s="4" t="str">
        <f>INDEX({"31/01/2024 @ 15:44","macro_id=DBGlobal","label_id=144396","time=Q","year_from=2000","year_to=2023","direction=V","opt_font=true","fontsize=8","opt_color=true","col_desc=Calculation:10;Footnote 1:9;ID:8;Label:7;Reporter:6:s;Reporter:5:long;Indicator:4:s;Indicator:3:l;Unit:2:s;Unit:1:long;","numberformat=0.00","auto_tr=1999|2015","com=true","comp=4"},1,1)</f>
        <v>31/01/2024 @ 15:44</v>
      </c>
      <c r="C12" s="4" t="str">
        <f>INDEX({"31/01/2024 @ 15:44","macro_id=DBGlobal","label_id=77811","time=Q","year_from=2000","year_to=2023","direction=V","opt_font=true","fontsize=8","opt_color=true","col_desc=Calculation:10;Footnote 1:9;ID:8;Label:7;Reporter:6:s;Reporter:5:long;Indicator:4:s;Indicator:3:l;Unit:2:s;Unit:1:long;","numberformat=0.00","auto_tr=1999|2015","com=true","comp=4"},1,1)</f>
        <v>31/01/2024 @ 15:44</v>
      </c>
      <c r="D12" s="6" t="str">
        <f>INDEX({"31/01/2024 @ 15:44","macro_id=DBGlobal","label_id=77812","calc=SubScal(L_77812,100)","time=Q","year_from=2000","year_to=2023","direction=V","opt_font=true","fontsize=8","opt_color=true","col_desc=Calculation:10;Footnote 1:9;ID:8;Label:7;Reporter:6:s;Reporter:5:long;Indicator:4:s;Indicator:3:l;Unit:2:s;Unit:1:long;","numberformat=0.00","auto_tr=1999|2015","com=true","comp=4"},1,1)</f>
        <v>31/01/2024 @ 15:44</v>
      </c>
      <c r="E12" s="4" t="str">
        <f>INDEX({"31/01/2024 @ 15:44","macro_id=DBGlobal","label_id=144399","time=Q","year_from=2000","year_to=2023","direction=V","opt_font=true","fontsize=8","opt_color=true","col_desc=Calculation:10;Footnote 1:9;ID:8;Label:7;Reporter:6:s;Reporter:5:long;Indicator:4:s;Indicator:3:l;Unit:2:s;Unit:1:long;","numberformat=0.00","auto_tr=1999|2015","com=true","comp=4"},1,1)</f>
        <v>31/01/2024 @ 15:44</v>
      </c>
      <c r="F12" s="4" t="str">
        <f>INDEX({"31/01/2024 @ 15:44","macro_id=DBGlobal","label_id=101874","time=Q","year_from=2000","year_to=2023","direction=V","opt_font=true","fontsize=8","opt_color=true","col_desc=Calculation:10;Footnote 1:9;ID:8;Label:7;Reporter:6:s;Reporter:5:long;Indicator:4:s;Indicator:3:l;Unit:2:s;Unit:1:long;","numberformat=0.00","auto_tr=1999|2015","com=true","comp=4"},1,1)</f>
        <v>31/01/2024 @ 15:44</v>
      </c>
      <c r="G12" s="5" t="str">
        <f>INDEX({"31/01/2024 @ 15:44","macro_id=DBGlobal","label_id=53458","calc=SubScal(CPPY=100(L_53458),100)","time=Q","year_from=2000","year_to=2023","direction=V","opt_font=true","fontsize=8","opt_color=true","col_desc=Calculation:10;Footnote 1:9;ID:8;Label:7;Reporter:6:s;Reporter:5:long;Indicator:4:s;Indicator:3:l;Unit:2:s;Unit:1:long;","numberformat=0.00","auto_tr=1999|2015","com=true","comp=4"},1,1)</f>
        <v>31/01/2024 @ 15:44</v>
      </c>
      <c r="H12" s="5" t="str">
        <f>INDEX({"31/01/2024 @ 15:44","macro_id=DBGlobal","label_id=53456","calc=SubScal(CPPY=100(L_53456),100)","time=Q","year_from=2000","year_to=2023","direction=V","opt_font=true","fontsize=8","opt_color=true","col_desc=Calculation:10;Footnote 1:9;ID:8;Label:7;Reporter:6:s;Reporter:5:long;Indicator:4:s;Indicator:3:l;Unit:2:s;Unit:1:long;","numberformat=0.00","auto_tr=1999|2015","com=true","comp=4"},1,1)</f>
        <v>31/01/2024 @ 15:44</v>
      </c>
      <c r="I12" s="1" t="str">
        <f>INDEX({"31/01/2024 @ 15:44","macro_id=DBGlobal","label_id=89228","time=Q","year_from=2000","year_to=2023","direction=V","opt_font=true","fontsize=8","opt_color=true","col_desc=Calculation:10;Footnote 1:9;ID:8;Label:7;Reporter:6:s;Reporter:5:long;Indicator:4:s;Indicator:3:l;Unit:2:s;Unit:1:long;","numberformat=0.00","auto_tr=1999|2015","com=true","comp=4"},1,1)</f>
        <v>31/01/2024 @ 15:44</v>
      </c>
      <c r="J12" s="5" t="str">
        <f>INDEX({"31/01/2024 @ 15:44","macro_id=DBGlobal","label_id=88692","calc=SubScal(CPPY=100(L_88692),100)","time=Q","year_from=2000","year_to=2023","direction=V","opt_font=true","fontsize=8","opt_color=true","col_desc=Calculation:10;Footnote 1:9;ID:8;Label:7;Reporter:6:s;Reporter:5:long;Indicator:4:s;Indicator:3:l;Unit:2:s;Unit:1:long;","numberformat=0.00","auto_tr=1999|2015","com=true","comp=4"},1,1)</f>
        <v>31/01/2024 @ 15:44</v>
      </c>
      <c r="K12" s="5" t="str">
        <f>INDEX({"31/01/2024 @ 15:44","macro_id=DBGlobal","label_id=90882","calc=SubScal(CPPY=100(L_90882),100)","time=Q","year_from=2000","year_to=2023","direction=V","opt_font=true","fontsize=8","opt_color=true","col_desc=Calculation:10;Footnote 1:9;ID:8;Label:7;Reporter:6:s;Reporter:5:long;Indicator:4:s;Indicator:3:l;Unit:2:s;Unit:1:long;","numberformat=0.00","auto_tr=1999|2015","com=true","comp=4"},1,1)</f>
        <v>31/01/2024 @ 15:44</v>
      </c>
      <c r="L12" s="5" t="str">
        <f>INDEX({"31/01/2024 @ 15:44","macro_id=DBGlobal","label_id=90926","calc=SubScal(CPPY=100(L_90926),100)","time=Q","year_from=2000","year_to=2023","direction=V","opt_font=true","fontsize=8","opt_color=true","col_desc=Calculation:10;Footnote 1:9;ID:8;Label:7;Reporter:6:s;Reporter:5:long;Indicator:4:s;Indicator:3:l;Unit:2:s;Unit:1:long;","numberformat=0.00","auto_tr=1999|2015","com=true","comp=4"},1,1)</f>
        <v>31/01/2024 @ 15:44</v>
      </c>
      <c r="M12" s="5" t="str">
        <f>INDEX({"31/01/2024 @ 15:44","macro_id=DBGlobal","label_id=90948","calc=SubScal(CPPY=100(L_90948),100)","time=Q","year_from=2000","year_to=2023","direction=V","opt_font=true","fontsize=8","opt_color=true","col_desc=Calculation:10;Footnote 1:9;ID:8;Label:7;Reporter:6:s;Reporter:5:long;Indicator:4:s;Indicator:3:l;Unit:2:s;Unit:1:long;","numberformat=0.00","auto_tr=1999|2015","com=true","comp=4"},1,1)</f>
        <v>31/01/2024 @ 15:44</v>
      </c>
      <c r="N12" s="5" t="str">
        <f>INDEX({"31/01/2024 @ 15:44","macro_id=DBGlobal","label_id=90992","calc=SubScal(CPPY=100(L_90992),100)","time=Q","year_from=2000","year_to=2023","direction=V","opt_font=true","fontsize=8","opt_color=true","col_desc=Calculation:10;Footnote 1:9;ID:8;Label:7;Reporter:6:s;Reporter:5:long;Indicator:4:s;Indicator:3:l;Unit:2:s;Unit:1:long;","numberformat=0.00","auto_tr=1999|2015","com=true","comp=4"},1,1)</f>
        <v>31/01/2024 @ 15:44</v>
      </c>
      <c r="O12" s="5" t="str">
        <f>INDEX({"31/01/2024 @ 15:44","macro_id=DBGlobal","label_id=91014","calc=SubScal(CPPY=100(L_91014),100)","time=Q","year_from=2000","year_to=2023","direction=V","opt_font=true","fontsize=8","opt_color=true","col_desc=Calculation:10;Footnote 1:9;ID:8;Label:7;Reporter:6:s;Reporter:5:long;Indicator:4:s;Indicator:3:l;Unit:2:s;Unit:1:long;","numberformat=0.00","auto_tr=1999|2015","com=true","comp=4"},1,1)</f>
        <v>31/01/2024 @ 15:44</v>
      </c>
      <c r="P12" s="1" t="str">
        <f>INDEX({"31/01/2024 @ 15:44","macro_id=DBGlobal","label_id=53344","time=Q","year_from=2000","year_to=2023","direction=V","opt_font=true","fontsize=8","opt_color=true","col_desc=Calculation:10;Footnote 1:9;ID:8;Label:7;Reporter:6:s;Reporter:5:long;Indicator:4:s;Indicator:3:l;Unit:2:s;Unit:1:long;","numberformat=0.00","auto_tr=1999|2015","com=true","comp=4"},1,1)</f>
        <v>31/01/2024 @ 15:44</v>
      </c>
      <c r="Q12" s="1" t="str">
        <f>INDEX({"31/01/2024 @ 15:44","macro_id=DBGlobal","label_id=53345","time=Q","year_from=2000","year_to=2023","direction=V","opt_font=true","fontsize=8","opt_color=true","col_desc=Calculation:10;Footnote 1:9;ID:8;Label:7;Reporter:6:s;Reporter:5:long;Indicator:4:s;Indicator:3:l;Unit:2:s;Unit:1:long;","numberformat=0.00","auto_tr=1999|2015","com=true","comp=4"},1,1)</f>
        <v>31/01/2024 @ 15:44</v>
      </c>
      <c r="R12" s="1" t="str">
        <f>INDEX({"31/01/2024 @ 15:44","macro_id=DBGlobal","label_id=53346","time=Q","year_from=2000","year_to=2023","direction=V","opt_font=true","fontsize=8","opt_color=true","col_desc=Calculation:10;Footnote 1:9;ID:8;Label:7;Reporter:6:s;Reporter:5:long;Indicator:4:s;Indicator:3:l;Unit:2:s;Unit:1:long;","numberformat=0.00","auto_tr=1999|2015","com=true","comp=4"},1,1)</f>
        <v>31/01/2024 @ 15:44</v>
      </c>
      <c r="S12" s="5" t="str">
        <f>INDEX({"31/01/2024 @ 15:44","macro_id=DBGlobal","label_id=318","calc=SubScal(L_318,100)","time=Q","year_from=2000","year_to=2023","direction=V","opt_font=true","fontsize=8","opt_color=true","col_desc=Calculation:10;Footnote 1:9;ID:8;Label:7;Reporter:6:s;Reporter:5:long;Indicator:4:s;Indicator:3:l;Unit:2:s;Unit:1:long;","numberformat=0.00","auto_tr=1999|2015","com=true","comp=4"},1,1)</f>
        <v>31/01/2024 @ 15:44</v>
      </c>
      <c r="T12" s="1" t="str">
        <f>INDEX({"31/01/2024 @ 15:44","macro_id=DBGlobal","label_id=787","time=Q","year_from=2000","year_to=2023","direction=V","opt_font=true","fontsize=8","opt_color=true","col_desc=Calculation:10;Footnote 1:9;ID:8;Label:7;Reporter:6:s;Reporter:5:long;Indicator:4:s;Indicator:3:l;Unit:2:s;Unit:1:long;","numberformat=0.00","auto_tr=1999|2015","com=true","comp=4"},1,1)</f>
        <v>31/01/2024 @ 15:44</v>
      </c>
      <c r="U12" s="1" t="str">
        <f>INDEX({"31/01/2024 @ 15:44","macro_id=DBGlobal","label_id=74543","time=Q","year_from=2000","year_to=2023","direction=V","opt_font=true","fontsize=8","opt_color=true","col_desc=Calculation:10;Footnote 1:9;ID:8;Label:7;Reporter:6:s;Reporter:5:long;Indicator:4:s;Indicator:3:l;Unit:2:s;Unit:1:long;","numberformat=0.00","auto_tr=1999|2015","com=true","comp=4"},1,1)</f>
        <v>31/01/2024 @ 15:44</v>
      </c>
      <c r="V12" s="1" t="str">
        <f>INDEX({"31/01/2024 @ 15:44","macro_id=DBGlobal","label_id=968","time=Q","year_from=2000","year_to=2023","direction=V","opt_font=true","fontsize=8","opt_color=true","col_desc=Calculation:10;Footnote 1:9;ID:8;Label:7;Reporter:6:s;Reporter:5:long;Indicator:4:s;Indicator:3:l;Unit:2:s;Unit:1:long;","numberformat=0.00","auto_tr=1999|2015","com=true","comp=4"},1,1)</f>
        <v>31/01/2024 @ 15:44</v>
      </c>
      <c r="W12" s="5" t="str">
        <f>INDEX({"31/01/2024 @ 15:44","macro_id=DBGlobal","label_id=71024","calc=SubScal(L_71024,100)","time=Q","year_from=2000","year_to=2023","direction=V","opt_font=true","fontsize=8","opt_color=true","col_desc=Calculation:10;Footnote 1:9;ID:8;Label:7;Reporter:6:s;Reporter:5:long;Indicator:4:s;Indicator:3:l;Unit:2:s;Unit:1:long;","numberformat=0.00","auto_tr=1999|2015","com=true","comp=4"},1,1)</f>
        <v>31/01/2024 @ 15:44</v>
      </c>
      <c r="X12" s="6" t="str">
        <f>INDEX({"31/01/2024 @ 15:44","macro_id=DBGlobal","label_id=87178","calc=SubScal(CPPY=100(AddNull(L_87178,L_87200)),100)","time=Q","year_from=2000","year_to=2023","direction=V","opt_font=true","fontsize=8","opt_color=true","col_desc=Calculation:10;Footnote 1:9;ID:8;Label:7;Reporter:6:s;Reporter:5:long;Indicator:4:s;Indicator:3:l;Unit:2:s;Unit:1:long;","numberformat=0.00","auto_tr=1999|2015","com=true","comp=4"},1,1)</f>
        <v>31/01/2024 @ 15:44</v>
      </c>
      <c r="Y12" s="6" t="str">
        <f>INDEX({"31/01/2024 @ 15:44","macro_id=DBGlobal","label_id=87189","calc=SubScal(CPPY=100(AddNull(L_87189,L_87211)),100)","time=Q","year_from=2000","year_to=2023","direction=V","opt_font=true","fontsize=8","opt_color=true","col_desc=Calculation:10;Footnote 1:9;ID:8;Label:7;Reporter:6:s;Reporter:5:long;Indicator:4:s;Indicator:3:l;Unit:2:s;Unit:1:long;","numberformat=0.00","auto_tr=1999|2015","com=true","comp=4"},1,1)</f>
        <v>31/01/2024 @ 15:44</v>
      </c>
      <c r="Z12" s="1" t="str">
        <f>INDEX({"31/01/2024 @ 15:44","macro_id=DBGlobal","label_id=88757","time=Q","year_from=2000","year_to=2023","direction=V","opt_font=true","fontsize=8","opt_color=true","col_desc=Calculation:10;Footnote 1:9;ID:8;Label:7;Reporter:6:s;Reporter:5:long;Indicator:4:s;Indicator:3:l;Unit:2:s;Unit:1:long;","numberformat=0.00","auto_tr=1999|2015","com=true","comp=4"},1,1)</f>
        <v>31/01/2024 @ 15:44</v>
      </c>
      <c r="AA12" s="5" t="str">
        <f>INDEX({"31/01/2024 @ 15:44","macro_id=DBGlobal","label_id=90354","calc=AddNull(L_90354,L_90376)","time=Q","year_from=2000","year_to=2023","direction=V","opt_font=true","fontsize=8","opt_color=true","col_desc=Calculation:10;Footnote 1:9;ID:8;Label:7;Reporter:6:s;Reporter:5:long;Indicator:4:s;Indicator:3:l;Unit:2:s;Unit:1:long;","numberformat=0.00","auto_tr=1999|2015","com=true","comp=4"},1,1)</f>
        <v>31/01/2024 @ 15:44</v>
      </c>
      <c r="AB12" s="1" t="str">
        <f>INDEX({"31/01/2024 @ 15:44","macro_id=DBGlobal","label_id=90398","time=Q","year_from=2000","year_to=2023","direction=V","opt_font=true","fontsize=8","opt_color=true","col_desc=Calculation:10;Footnote 1:9;ID:8;Label:7;Reporter:6:s;Reporter:5:long;Indicator:4:s;Indicator:3:l;Unit:2:s;Unit:1:long;","numberformat=0.00","auto_tr=1999|2015","com=true","comp=4"},1,1)</f>
        <v>31/01/2024 @ 15:44</v>
      </c>
      <c r="AC12" s="1" t="str">
        <f>INDEX({"31/01/2024 @ 15:44","macro_id=DBGlobal","label_id=90420","time=Q","year_from=2000","year_to=2023","direction=V","opt_font=true","fontsize=8","opt_color=true","col_desc=Calculation:10;Footnote 1:9;ID:8;Label:7;Reporter:6:s;Reporter:5:long;Indicator:4:s;Indicator:3:l;Unit:2:s;Unit:1:long;","numberformat=0.00","auto_tr=1999|2015","com=true","comp=4"},1,1)</f>
        <v>31/01/2024 @ 15:44</v>
      </c>
      <c r="AD12" s="1" t="str">
        <f>INDEX({"31/01/2024 @ 15:44","macro_id=DBGlobal","label_id=90508","time=Q","year_from=2000","year_to=2023","direction=V","opt_font=true","fontsize=8","opt_color=true","col_desc=Calculation:10;Footnote 1:9;ID:8;Label:7;Reporter:6:s;Reporter:5:long;Indicator:4:s;Indicator:3:l;Unit:2:s;Unit:1:long;","numberformat=0.00","auto_tr=1999|2015","com=true","comp=4"},1,1)</f>
        <v>31/01/2024 @ 15:44</v>
      </c>
      <c r="AE12" s="1" t="str">
        <f>INDEX({"31/01/2024 @ 15:44","macro_id=DBGlobal","label_id=90530","time=Q","year_from=2000","year_to=2023","direction=V","opt_font=true","fontsize=8","opt_color=true","col_desc=Calculation:10;Footnote 1:9;ID:8;Label:7;Reporter:6:s;Reporter:5:long;Indicator:4:s;Indicator:3:l;Unit:2:s;Unit:1:long;","numberformat=0.00","auto_tr=1999|2015","com=true","comp=4"},1,1)</f>
        <v>31/01/2024 @ 15:44</v>
      </c>
      <c r="AF12" s="5" t="str">
        <f>INDEX({"31/01/2024 @ 15:44","macro_id=DBGlobal","label_id=89628","calc=SubScal(L_89628,100)","time=Q","year_from=2000","year_to=2023","direction=V","opt_font=true","fontsize=8","opt_color=true","col_desc=Calculation:10;Footnote 1:9;ID:8;Label:7;Reporter:6:s;Reporter:5:long;Indicator:4:s;Indicator:3:l;Unit:2:s;Unit:1:long;","numberformat=0.00","auto_tr=1999|2015","com=true","comp=4"},1,1)</f>
        <v>31/01/2024 @ 15:44</v>
      </c>
      <c r="AG12" s="4" t="str">
        <f>INDEX({"31/01/2024 @ 15:44","macro_id=DBGlobal","label_id=141287","time=Q","year_from=2000","year_to=2023","direction=V","opt_font=true","fontsize=8","opt_color=true","col_desc=Calculation:10;Footnote 1:9;ID:8;Label:7;Reporter:6:s;Reporter:5:long;Indicator:4:s;Indicator:3:l;Unit:2:s;Unit:1:long;","numberformat=0.00","auto_tr=1999|2015","com=true","comp=4"},1,1)</f>
        <v>31/01/2024 @ 15:44</v>
      </c>
    </row>
    <row r="13" spans="1:33" s="11" customFormat="1" x14ac:dyDescent="0.3">
      <c r="A13" s="11" t="s">
        <v>19</v>
      </c>
      <c r="B13" s="12">
        <v>4.8214176000000002</v>
      </c>
      <c r="C13" s="12">
        <v>73.989999999999995</v>
      </c>
      <c r="D13" s="12">
        <v>1.7557532</v>
      </c>
      <c r="E13" s="12">
        <v>3.25</v>
      </c>
      <c r="F13" s="13">
        <v>26.926666699999998</v>
      </c>
      <c r="G13" s="12">
        <v>-6.8069132999999997</v>
      </c>
      <c r="H13" s="12">
        <v>7.1865389000000004</v>
      </c>
      <c r="I13" s="12">
        <v>3.0545667999999999</v>
      </c>
      <c r="J13" s="12">
        <v>5.2000102000000004</v>
      </c>
      <c r="K13" s="7" t="s">
        <v>107</v>
      </c>
      <c r="L13" s="7" t="s">
        <v>107</v>
      </c>
      <c r="M13" s="7" t="s">
        <v>107</v>
      </c>
      <c r="N13" s="7" t="s">
        <v>107</v>
      </c>
      <c r="O13" s="7" t="s">
        <v>107</v>
      </c>
      <c r="P13" s="7" t="s">
        <v>107</v>
      </c>
      <c r="Q13" s="7" t="s">
        <v>107</v>
      </c>
      <c r="R13" s="7" t="s">
        <v>107</v>
      </c>
      <c r="S13" s="12">
        <v>24.7343616</v>
      </c>
      <c r="T13" s="12">
        <v>32</v>
      </c>
      <c r="U13" s="12">
        <v>17.814352800000002</v>
      </c>
      <c r="V13" s="12">
        <v>5.3944333000000002</v>
      </c>
      <c r="W13" s="7" t="s">
        <v>107</v>
      </c>
      <c r="X13" s="7" t="s">
        <v>107</v>
      </c>
      <c r="Y13" s="7" t="s">
        <v>107</v>
      </c>
      <c r="Z13" s="12">
        <v>-2.6551686999999999</v>
      </c>
      <c r="AA13" s="12">
        <v>62.679129699999997</v>
      </c>
      <c r="AB13" s="12">
        <v>17.558575000000001</v>
      </c>
      <c r="AC13" s="12">
        <v>19.576588600000001</v>
      </c>
      <c r="AD13" s="12">
        <v>77.303537700000007</v>
      </c>
      <c r="AE13" s="12">
        <v>77.117830900000001</v>
      </c>
      <c r="AF13" s="7" t="s">
        <v>107</v>
      </c>
      <c r="AG13" s="7" t="s">
        <v>107</v>
      </c>
    </row>
    <row r="14" spans="1:33" s="11" customFormat="1" outlineLevel="1" x14ac:dyDescent="0.3">
      <c r="A14" s="11" t="s">
        <v>20</v>
      </c>
      <c r="B14" s="12">
        <v>4.3154814000000004</v>
      </c>
      <c r="C14" s="12">
        <v>74.493333300000003</v>
      </c>
      <c r="D14" s="12">
        <v>1.6742492</v>
      </c>
      <c r="E14" s="12">
        <v>3.9166666999999999</v>
      </c>
      <c r="F14" s="13">
        <v>26.766666699999998</v>
      </c>
      <c r="G14" s="12">
        <v>7.5502830000000003</v>
      </c>
      <c r="H14" s="12">
        <v>8.9470299999999998</v>
      </c>
      <c r="I14" s="12">
        <v>-0.83507089999999995</v>
      </c>
      <c r="J14" s="12">
        <v>4.2999948000000003</v>
      </c>
      <c r="K14" s="7" t="s">
        <v>107</v>
      </c>
      <c r="L14" s="7" t="s">
        <v>107</v>
      </c>
      <c r="M14" s="7" t="s">
        <v>107</v>
      </c>
      <c r="N14" s="7" t="s">
        <v>107</v>
      </c>
      <c r="O14" s="7" t="s">
        <v>107</v>
      </c>
      <c r="P14" s="7" t="s">
        <v>107</v>
      </c>
      <c r="Q14" s="7" t="s">
        <v>107</v>
      </c>
      <c r="R14" s="7" t="s">
        <v>107</v>
      </c>
      <c r="S14" s="12">
        <v>25.658048000000001</v>
      </c>
      <c r="T14" s="12">
        <v>29</v>
      </c>
      <c r="U14" s="12">
        <v>19.046797900000001</v>
      </c>
      <c r="V14" s="12">
        <v>5.0564666999999996</v>
      </c>
      <c r="W14" s="7" t="s">
        <v>107</v>
      </c>
      <c r="X14" s="7" t="s">
        <v>107</v>
      </c>
      <c r="Y14" s="7" t="s">
        <v>107</v>
      </c>
      <c r="Z14" s="12">
        <v>6.4240652000000003</v>
      </c>
      <c r="AA14" s="12">
        <v>57.932381399999997</v>
      </c>
      <c r="AB14" s="12">
        <v>19.7735491</v>
      </c>
      <c r="AC14" s="12">
        <v>15.326347999999999</v>
      </c>
      <c r="AD14" s="12">
        <v>65.786903899999999</v>
      </c>
      <c r="AE14" s="12">
        <v>58.819182300000001</v>
      </c>
      <c r="AF14" s="7" t="s">
        <v>107</v>
      </c>
      <c r="AG14" s="7" t="s">
        <v>107</v>
      </c>
    </row>
    <row r="15" spans="1:33" s="11" customFormat="1" outlineLevel="1" x14ac:dyDescent="0.3">
      <c r="A15" s="11" t="s">
        <v>21</v>
      </c>
      <c r="B15" s="12">
        <v>3.5071058000000002</v>
      </c>
      <c r="C15" s="12">
        <v>74.819999999999993</v>
      </c>
      <c r="D15" s="12">
        <v>1.9670194000000001</v>
      </c>
      <c r="E15" s="17">
        <v>4.3333332999999996</v>
      </c>
      <c r="F15" s="13">
        <v>30.673333299999999</v>
      </c>
      <c r="G15" s="12">
        <v>-3.6984838999999998</v>
      </c>
      <c r="H15" s="12">
        <v>7.6465163</v>
      </c>
      <c r="I15" s="12">
        <v>1.9862211999999999</v>
      </c>
      <c r="J15" s="12">
        <v>6.7999947000000001</v>
      </c>
      <c r="K15" s="7" t="s">
        <v>107</v>
      </c>
      <c r="L15" s="7" t="s">
        <v>107</v>
      </c>
      <c r="M15" s="7" t="s">
        <v>107</v>
      </c>
      <c r="N15" s="7" t="s">
        <v>107</v>
      </c>
      <c r="O15" s="7" t="s">
        <v>107</v>
      </c>
      <c r="P15" s="7" t="s">
        <v>107</v>
      </c>
      <c r="Q15" s="7" t="s">
        <v>107</v>
      </c>
      <c r="R15" s="7" t="s">
        <v>107</v>
      </c>
      <c r="S15" s="12">
        <v>33.480440199999997</v>
      </c>
      <c r="T15" s="12">
        <v>27</v>
      </c>
      <c r="U15" s="12">
        <v>19.794366799999999</v>
      </c>
      <c r="V15" s="12">
        <v>4.9313492999999999</v>
      </c>
      <c r="W15" s="7" t="s">
        <v>107</v>
      </c>
      <c r="X15" s="7" t="s">
        <v>107</v>
      </c>
      <c r="Y15" s="7" t="s">
        <v>107</v>
      </c>
      <c r="Z15" s="12">
        <v>9.5637185999999996</v>
      </c>
      <c r="AA15" s="12">
        <v>54.371755299999997</v>
      </c>
      <c r="AB15" s="12">
        <v>17.369920799999999</v>
      </c>
      <c r="AC15" s="12">
        <v>19.087396099999999</v>
      </c>
      <c r="AD15" s="12">
        <v>53.624263200000001</v>
      </c>
      <c r="AE15" s="12">
        <v>44.4533354</v>
      </c>
      <c r="AF15" s="7" t="s">
        <v>107</v>
      </c>
      <c r="AG15" s="7" t="s">
        <v>107</v>
      </c>
    </row>
    <row r="16" spans="1:33" s="11" customFormat="1" outlineLevel="1" x14ac:dyDescent="0.3">
      <c r="A16" s="11" t="s">
        <v>22</v>
      </c>
      <c r="B16" s="12">
        <v>2.8994336000000001</v>
      </c>
      <c r="C16" s="12">
        <v>75.3</v>
      </c>
      <c r="D16" s="12">
        <v>2.2218200000000001</v>
      </c>
      <c r="E16" s="17">
        <v>4.75</v>
      </c>
      <c r="F16" s="13">
        <v>29.7233333</v>
      </c>
      <c r="G16" s="12">
        <v>430.61931709999999</v>
      </c>
      <c r="H16" s="12">
        <v>634.51066960000003</v>
      </c>
      <c r="I16" s="12">
        <v>-1.4781839999999999</v>
      </c>
      <c r="J16" s="12">
        <v>6.6999941999999999</v>
      </c>
      <c r="K16" s="7" t="s">
        <v>107</v>
      </c>
      <c r="L16" s="7" t="s">
        <v>107</v>
      </c>
      <c r="M16" s="7" t="s">
        <v>107</v>
      </c>
      <c r="N16" s="7" t="s">
        <v>107</v>
      </c>
      <c r="O16" s="7" t="s">
        <v>107</v>
      </c>
      <c r="P16" s="7" t="s">
        <v>107</v>
      </c>
      <c r="Q16" s="7" t="s">
        <v>107</v>
      </c>
      <c r="R16" s="7" t="s">
        <v>107</v>
      </c>
      <c r="S16" s="12">
        <v>35.534791599999998</v>
      </c>
      <c r="T16" s="12">
        <v>27</v>
      </c>
      <c r="U16" s="12">
        <v>20.580171199999999</v>
      </c>
      <c r="V16" s="12">
        <v>4.7331333000000004</v>
      </c>
      <c r="W16" s="7" t="s">
        <v>107</v>
      </c>
      <c r="X16" s="7" t="s">
        <v>107</v>
      </c>
      <c r="Y16" s="7" t="s">
        <v>107</v>
      </c>
      <c r="Z16" s="12">
        <v>3.2197919000000002</v>
      </c>
      <c r="AA16" s="12">
        <v>53.984866500000003</v>
      </c>
      <c r="AB16" s="12">
        <v>19.743389400000002</v>
      </c>
      <c r="AC16" s="12">
        <v>23.890693800000001</v>
      </c>
      <c r="AD16" s="12">
        <v>59.263066999999999</v>
      </c>
      <c r="AE16" s="12">
        <v>56.882016700000001</v>
      </c>
      <c r="AF16" s="7" t="s">
        <v>107</v>
      </c>
      <c r="AG16" s="7" t="s">
        <v>107</v>
      </c>
    </row>
    <row r="17" spans="1:33" s="11" customFormat="1" outlineLevel="1" x14ac:dyDescent="0.3">
      <c r="A17" s="11" t="s">
        <v>23</v>
      </c>
      <c r="B17" s="12">
        <v>3.0047543999999999</v>
      </c>
      <c r="C17" s="12">
        <v>75.393333299999995</v>
      </c>
      <c r="D17" s="12">
        <v>1.8966527</v>
      </c>
      <c r="E17" s="17">
        <v>4.75</v>
      </c>
      <c r="F17" s="13">
        <v>25.873333299999999</v>
      </c>
      <c r="G17" s="12">
        <v>36.176673600000001</v>
      </c>
      <c r="H17" s="12">
        <v>35.954177999999999</v>
      </c>
      <c r="I17" s="12">
        <v>3.3774649000000001</v>
      </c>
      <c r="J17" s="12">
        <v>7.6999924999999996</v>
      </c>
      <c r="K17" s="7" t="s">
        <v>107</v>
      </c>
      <c r="L17" s="7" t="s">
        <v>107</v>
      </c>
      <c r="M17" s="7" t="s">
        <v>107</v>
      </c>
      <c r="N17" s="7" t="s">
        <v>107</v>
      </c>
      <c r="O17" s="7" t="s">
        <v>107</v>
      </c>
      <c r="P17" s="7" t="s">
        <v>107</v>
      </c>
      <c r="Q17" s="7" t="s">
        <v>107</v>
      </c>
      <c r="R17" s="7" t="s">
        <v>107</v>
      </c>
      <c r="S17" s="12">
        <v>37.065915599999997</v>
      </c>
      <c r="T17" s="12">
        <v>25</v>
      </c>
      <c r="U17" s="12">
        <v>21.265514</v>
      </c>
      <c r="V17" s="12">
        <v>5.0153667000000004</v>
      </c>
      <c r="W17" s="7" t="s">
        <v>107</v>
      </c>
      <c r="X17" s="7" t="s">
        <v>107</v>
      </c>
      <c r="Y17" s="7" t="s">
        <v>107</v>
      </c>
      <c r="Z17" s="12">
        <v>4.0016878</v>
      </c>
      <c r="AA17" s="12">
        <v>62.5570776</v>
      </c>
      <c r="AB17" s="12">
        <v>19.8974516</v>
      </c>
      <c r="AC17" s="12">
        <v>14.512384900000001</v>
      </c>
      <c r="AD17" s="12">
        <v>69.026300300000003</v>
      </c>
      <c r="AE17" s="12">
        <v>65.993214499999993</v>
      </c>
      <c r="AF17" s="7" t="s">
        <v>107</v>
      </c>
      <c r="AG17" s="7" t="s">
        <v>107</v>
      </c>
    </row>
    <row r="18" spans="1:33" s="11" customFormat="1" outlineLevel="1" x14ac:dyDescent="0.3">
      <c r="A18" s="11" t="s">
        <v>24</v>
      </c>
      <c r="B18" s="12">
        <v>2.2522867999999998</v>
      </c>
      <c r="C18" s="12">
        <v>76.483333299999998</v>
      </c>
      <c r="D18" s="12">
        <v>2.6713800000000001</v>
      </c>
      <c r="E18" s="17">
        <v>4.5833332999999996</v>
      </c>
      <c r="F18" s="13">
        <v>27.273333300000001</v>
      </c>
      <c r="G18" s="12">
        <v>12.7677263</v>
      </c>
      <c r="H18" s="12">
        <v>16.227216299999998</v>
      </c>
      <c r="I18" s="12">
        <v>7.7235899999999996E-2</v>
      </c>
      <c r="J18" s="12">
        <v>8.5999956999999991</v>
      </c>
      <c r="K18" s="7" t="s">
        <v>107</v>
      </c>
      <c r="L18" s="7" t="s">
        <v>107</v>
      </c>
      <c r="M18" s="7" t="s">
        <v>107</v>
      </c>
      <c r="N18" s="7" t="s">
        <v>107</v>
      </c>
      <c r="O18" s="7" t="s">
        <v>107</v>
      </c>
      <c r="P18" s="7" t="s">
        <v>107</v>
      </c>
      <c r="Q18" s="7" t="s">
        <v>107</v>
      </c>
      <c r="R18" s="7" t="s">
        <v>107</v>
      </c>
      <c r="S18" s="12">
        <v>40.528933799999997</v>
      </c>
      <c r="T18" s="12">
        <v>19</v>
      </c>
      <c r="U18" s="12">
        <v>21.8152492</v>
      </c>
      <c r="V18" s="12">
        <v>4.7316000000000003</v>
      </c>
      <c r="W18" s="7" t="s">
        <v>107</v>
      </c>
      <c r="X18" s="7" t="s">
        <v>107</v>
      </c>
      <c r="Y18" s="7" t="s">
        <v>107</v>
      </c>
      <c r="Z18" s="12">
        <v>6.3445562000000004</v>
      </c>
      <c r="AA18" s="12">
        <v>57.221230200000001</v>
      </c>
      <c r="AB18" s="12">
        <v>20.341645</v>
      </c>
      <c r="AC18" s="12">
        <v>18.910952900000002</v>
      </c>
      <c r="AD18" s="12">
        <v>62.223274000000004</v>
      </c>
      <c r="AE18" s="12">
        <v>58.697102000000001</v>
      </c>
      <c r="AF18" s="7" t="s">
        <v>107</v>
      </c>
      <c r="AG18" s="7" t="s">
        <v>107</v>
      </c>
    </row>
    <row r="19" spans="1:33" s="11" customFormat="1" outlineLevel="1" x14ac:dyDescent="0.3">
      <c r="A19" s="11" t="s">
        <v>25</v>
      </c>
      <c r="B19" s="12">
        <v>1.8991327</v>
      </c>
      <c r="C19" s="12">
        <v>76.516666700000002</v>
      </c>
      <c r="D19" s="12">
        <v>2.2676647000000001</v>
      </c>
      <c r="E19" s="17">
        <v>4.1666667000000004</v>
      </c>
      <c r="F19" s="13">
        <v>25.303333299999998</v>
      </c>
      <c r="G19" s="12">
        <v>16.976982199999998</v>
      </c>
      <c r="H19" s="12">
        <v>7.8588674999999997</v>
      </c>
      <c r="I19" s="12">
        <v>3.3559899999999997E-2</v>
      </c>
      <c r="J19" s="12">
        <v>11.300001999999999</v>
      </c>
      <c r="K19" s="7" t="s">
        <v>107</v>
      </c>
      <c r="L19" s="7" t="s">
        <v>107</v>
      </c>
      <c r="M19" s="7" t="s">
        <v>107</v>
      </c>
      <c r="N19" s="7" t="s">
        <v>107</v>
      </c>
      <c r="O19" s="7" t="s">
        <v>107</v>
      </c>
      <c r="P19" s="7" t="s">
        <v>107</v>
      </c>
      <c r="Q19" s="7" t="s">
        <v>107</v>
      </c>
      <c r="R19" s="7" t="s">
        <v>107</v>
      </c>
      <c r="S19" s="12">
        <v>33.744234499999997</v>
      </c>
      <c r="T19" s="12">
        <v>15</v>
      </c>
      <c r="U19" s="12">
        <v>21.558511899999999</v>
      </c>
      <c r="V19" s="12">
        <v>4.7641</v>
      </c>
      <c r="W19" s="7" t="s">
        <v>107</v>
      </c>
      <c r="X19" s="7" t="s">
        <v>107</v>
      </c>
      <c r="Y19" s="7" t="s">
        <v>107</v>
      </c>
      <c r="Z19" s="12">
        <v>3.7375783999999999</v>
      </c>
      <c r="AA19" s="12">
        <v>54.770419799999999</v>
      </c>
      <c r="AB19" s="12">
        <v>16.5019746</v>
      </c>
      <c r="AC19" s="12">
        <v>27.0394413</v>
      </c>
      <c r="AD19" s="12">
        <v>47.282157300000001</v>
      </c>
      <c r="AE19" s="12">
        <v>45.593993099999999</v>
      </c>
      <c r="AF19" s="7" t="s">
        <v>107</v>
      </c>
      <c r="AG19" s="7" t="s">
        <v>107</v>
      </c>
    </row>
    <row r="20" spans="1:33" s="11" customFormat="1" outlineLevel="1" x14ac:dyDescent="0.3">
      <c r="A20" s="11" t="s">
        <v>26</v>
      </c>
      <c r="B20" s="12">
        <v>1.4300580000000001</v>
      </c>
      <c r="C20" s="12">
        <v>76.746666700000006</v>
      </c>
      <c r="D20" s="12">
        <v>1.9212041</v>
      </c>
      <c r="E20" s="17">
        <v>3.4166666999999999</v>
      </c>
      <c r="F20" s="13">
        <v>19.350000000000001</v>
      </c>
      <c r="G20" s="12">
        <v>5.9897783999999996</v>
      </c>
      <c r="H20" s="12">
        <v>-1.5934933</v>
      </c>
      <c r="I20" s="12">
        <v>-3.3156329000000002</v>
      </c>
      <c r="J20" s="12">
        <v>8.4999894000000005</v>
      </c>
      <c r="K20" s="7" t="s">
        <v>107</v>
      </c>
      <c r="L20" s="7" t="s">
        <v>107</v>
      </c>
      <c r="M20" s="7" t="s">
        <v>107</v>
      </c>
      <c r="N20" s="7" t="s">
        <v>107</v>
      </c>
      <c r="O20" s="7" t="s">
        <v>107</v>
      </c>
      <c r="P20" s="7" t="s">
        <v>107</v>
      </c>
      <c r="Q20" s="7" t="s">
        <v>107</v>
      </c>
      <c r="R20" s="7" t="s">
        <v>107</v>
      </c>
      <c r="S20" s="12">
        <v>29.7902098</v>
      </c>
      <c r="T20" s="12">
        <v>12.5</v>
      </c>
      <c r="U20" s="12">
        <v>21.832881799999999</v>
      </c>
      <c r="V20" s="12">
        <v>4.7431999999999999</v>
      </c>
      <c r="W20" s="7" t="s">
        <v>107</v>
      </c>
      <c r="X20" s="7" t="s">
        <v>107</v>
      </c>
      <c r="Y20" s="7" t="s">
        <v>107</v>
      </c>
      <c r="Z20" s="12">
        <v>1.3886619</v>
      </c>
      <c r="AA20" s="12">
        <v>55.189971300000003</v>
      </c>
      <c r="AB20" s="12">
        <v>21.9731469</v>
      </c>
      <c r="AC20" s="12">
        <v>23.6821321</v>
      </c>
      <c r="AD20" s="12">
        <v>49.350518399999999</v>
      </c>
      <c r="AE20" s="12">
        <v>50.195768700000002</v>
      </c>
      <c r="AF20" s="7" t="s">
        <v>107</v>
      </c>
      <c r="AG20" s="7" t="s">
        <v>107</v>
      </c>
    </row>
    <row r="21" spans="1:33" s="11" customFormat="1" outlineLevel="1" x14ac:dyDescent="0.3">
      <c r="A21" s="11" t="s">
        <v>27</v>
      </c>
      <c r="B21" s="12">
        <v>7.1740499999999999E-2</v>
      </c>
      <c r="C21" s="12">
        <v>77.180000000000007</v>
      </c>
      <c r="D21" s="12">
        <v>2.3697940000000002</v>
      </c>
      <c r="E21" s="17">
        <v>3.25</v>
      </c>
      <c r="F21" s="13">
        <v>21.1333333</v>
      </c>
      <c r="G21" s="12">
        <v>10.834270099999999</v>
      </c>
      <c r="H21" s="12">
        <v>4.2080712</v>
      </c>
      <c r="I21" s="12">
        <v>1.4968729999999999</v>
      </c>
      <c r="J21" s="12">
        <v>5.8000031999999999</v>
      </c>
      <c r="K21" s="12">
        <v>3.9</v>
      </c>
      <c r="L21" s="12">
        <v>0.2</v>
      </c>
      <c r="M21" s="12">
        <v>-4.9000000000000004</v>
      </c>
      <c r="N21" s="12">
        <v>0.8</v>
      </c>
      <c r="O21" s="12">
        <v>-5.8</v>
      </c>
      <c r="P21" s="7" t="s">
        <v>107</v>
      </c>
      <c r="Q21" s="7" t="s">
        <v>107</v>
      </c>
      <c r="R21" s="7" t="s">
        <v>107</v>
      </c>
      <c r="S21" s="12">
        <v>25.835755800000001</v>
      </c>
      <c r="T21" s="12">
        <v>11.5</v>
      </c>
      <c r="U21" s="12">
        <v>22.062303499999999</v>
      </c>
      <c r="V21" s="12">
        <v>4.6620999999999997</v>
      </c>
      <c r="W21" s="7" t="s">
        <v>107</v>
      </c>
      <c r="X21" s="7" t="s">
        <v>107</v>
      </c>
      <c r="Y21" s="7" t="s">
        <v>107</v>
      </c>
      <c r="Z21" s="12">
        <v>9.9667130000000004</v>
      </c>
      <c r="AA21" s="12">
        <v>60.711048699999999</v>
      </c>
      <c r="AB21" s="12">
        <v>20.2913985</v>
      </c>
      <c r="AC21" s="12">
        <v>12.768512599999999</v>
      </c>
      <c r="AD21" s="12">
        <v>60.908184499999997</v>
      </c>
      <c r="AE21" s="12">
        <v>54.679144399999998</v>
      </c>
      <c r="AF21" s="7" t="s">
        <v>107</v>
      </c>
      <c r="AG21" s="7" t="s">
        <v>107</v>
      </c>
    </row>
    <row r="22" spans="1:33" s="11" customFormat="1" outlineLevel="1" x14ac:dyDescent="0.3">
      <c r="A22" s="11" t="s">
        <v>28</v>
      </c>
      <c r="B22" s="12">
        <v>1.2490021</v>
      </c>
      <c r="C22" s="12">
        <v>77.933333300000001</v>
      </c>
      <c r="D22" s="12">
        <v>1.8958379000000001</v>
      </c>
      <c r="E22" s="17">
        <v>3.25</v>
      </c>
      <c r="F22" s="13">
        <v>25.053333299999998</v>
      </c>
      <c r="G22" s="12">
        <v>9.4593156999999994</v>
      </c>
      <c r="H22" s="12">
        <v>14.512669300000001</v>
      </c>
      <c r="I22" s="12">
        <v>1.4087035999999999</v>
      </c>
      <c r="J22" s="12">
        <v>4.8000012999999999</v>
      </c>
      <c r="K22" s="12">
        <v>7.9</v>
      </c>
      <c r="L22" s="12">
        <v>-5.6</v>
      </c>
      <c r="M22" s="12">
        <v>1.6</v>
      </c>
      <c r="N22" s="12">
        <v>1.9</v>
      </c>
      <c r="O22" s="12">
        <v>0.5</v>
      </c>
      <c r="P22" s="7" t="s">
        <v>107</v>
      </c>
      <c r="Q22" s="7" t="s">
        <v>107</v>
      </c>
      <c r="R22" s="7" t="s">
        <v>107</v>
      </c>
      <c r="S22" s="12">
        <v>20.047268299999999</v>
      </c>
      <c r="T22" s="12">
        <v>10</v>
      </c>
      <c r="U22" s="12">
        <v>21.984506799999998</v>
      </c>
      <c r="V22" s="12">
        <v>4.8855667</v>
      </c>
      <c r="W22" s="7" t="s">
        <v>107</v>
      </c>
      <c r="X22" s="7" t="s">
        <v>107</v>
      </c>
      <c r="Y22" s="7" t="s">
        <v>107</v>
      </c>
      <c r="Z22" s="12">
        <v>6.6553329999999997</v>
      </c>
      <c r="AA22" s="12">
        <v>57.812718199999999</v>
      </c>
      <c r="AB22" s="12">
        <v>19.909412</v>
      </c>
      <c r="AC22" s="12">
        <v>18.758106000000002</v>
      </c>
      <c r="AD22" s="12">
        <v>58.590897300000002</v>
      </c>
      <c r="AE22" s="12">
        <v>55.071133500000002</v>
      </c>
      <c r="AF22" s="7" t="s">
        <v>107</v>
      </c>
      <c r="AG22" s="7" t="s">
        <v>107</v>
      </c>
    </row>
    <row r="23" spans="1:33" s="11" customFormat="1" outlineLevel="1" x14ac:dyDescent="0.3">
      <c r="A23" s="11" t="s">
        <v>29</v>
      </c>
      <c r="B23" s="12">
        <v>1.6677649999999999</v>
      </c>
      <c r="C23" s="12">
        <v>77.973333299999993</v>
      </c>
      <c r="D23" s="12">
        <v>1.9037246000000001</v>
      </c>
      <c r="E23" s="17">
        <v>3.25</v>
      </c>
      <c r="F23" s="13">
        <v>26.93</v>
      </c>
      <c r="G23" s="12">
        <v>4.0713903</v>
      </c>
      <c r="H23" s="12">
        <v>13.714615800000001</v>
      </c>
      <c r="I23" s="12">
        <v>2.0840057000000001</v>
      </c>
      <c r="J23" s="12">
        <v>4.8999962000000004</v>
      </c>
      <c r="K23" s="12">
        <v>10.8</v>
      </c>
      <c r="L23" s="12">
        <v>-10.1</v>
      </c>
      <c r="M23" s="12">
        <v>4.0999999999999996</v>
      </c>
      <c r="N23" s="12">
        <v>14.3</v>
      </c>
      <c r="O23" s="12">
        <v>9.4</v>
      </c>
      <c r="P23" s="7" t="s">
        <v>107</v>
      </c>
      <c r="Q23" s="7" t="s">
        <v>107</v>
      </c>
      <c r="R23" s="7" t="s">
        <v>107</v>
      </c>
      <c r="S23" s="12">
        <v>19.972939400000001</v>
      </c>
      <c r="T23" s="12">
        <v>8</v>
      </c>
      <c r="U23" s="12">
        <v>21.357472099999999</v>
      </c>
      <c r="V23" s="12">
        <v>5.2428667000000004</v>
      </c>
      <c r="W23" s="7" t="s">
        <v>107</v>
      </c>
      <c r="X23" s="7" t="s">
        <v>107</v>
      </c>
      <c r="Y23" s="7" t="s">
        <v>107</v>
      </c>
      <c r="Z23" s="12">
        <v>6.1755450999999999</v>
      </c>
      <c r="AA23" s="12">
        <v>55.696435999999999</v>
      </c>
      <c r="AB23" s="12">
        <v>14.9676487</v>
      </c>
      <c r="AC23" s="12">
        <v>26.043924000000001</v>
      </c>
      <c r="AD23" s="12">
        <v>49.631917899999998</v>
      </c>
      <c r="AE23" s="12">
        <v>46.339926499999997</v>
      </c>
      <c r="AF23" s="7" t="s">
        <v>107</v>
      </c>
      <c r="AG23" s="7" t="s">
        <v>107</v>
      </c>
    </row>
    <row r="24" spans="1:33" s="11" customFormat="1" outlineLevel="1" x14ac:dyDescent="0.3">
      <c r="A24" s="11" t="s">
        <v>30</v>
      </c>
      <c r="B24" s="12">
        <v>1.208337</v>
      </c>
      <c r="C24" s="12">
        <v>78.4033333</v>
      </c>
      <c r="D24" s="12">
        <v>2.158617</v>
      </c>
      <c r="E24" s="17">
        <v>3.0833333000000001</v>
      </c>
      <c r="F24" s="13">
        <v>26.736666700000001</v>
      </c>
      <c r="G24" s="12">
        <v>10.217752600000001</v>
      </c>
      <c r="H24" s="12">
        <v>17.137185299999999</v>
      </c>
      <c r="I24" s="12">
        <v>-1.6350347000000001</v>
      </c>
      <c r="J24" s="12">
        <v>5.6000053000000003</v>
      </c>
      <c r="K24" s="12">
        <v>13.9</v>
      </c>
      <c r="L24" s="12">
        <v>-9.6999999999999993</v>
      </c>
      <c r="M24" s="12">
        <v>-8.4</v>
      </c>
      <c r="N24" s="12">
        <v>12.9</v>
      </c>
      <c r="O24" s="12">
        <v>8.6</v>
      </c>
      <c r="P24" s="7" t="s">
        <v>107</v>
      </c>
      <c r="Q24" s="7" t="s">
        <v>107</v>
      </c>
      <c r="R24" s="7" t="s">
        <v>107</v>
      </c>
      <c r="S24" s="12">
        <v>17.876487600000001</v>
      </c>
      <c r="T24" s="12">
        <v>7</v>
      </c>
      <c r="U24" s="12">
        <v>21.722832700000001</v>
      </c>
      <c r="V24" s="12">
        <v>5.3294176999999996</v>
      </c>
      <c r="W24" s="7" t="s">
        <v>107</v>
      </c>
      <c r="X24" s="7" t="s">
        <v>107</v>
      </c>
      <c r="Y24" s="7" t="s">
        <v>107</v>
      </c>
      <c r="Z24" s="12">
        <v>7.7440031999999999</v>
      </c>
      <c r="AA24" s="12">
        <v>55.311757499999999</v>
      </c>
      <c r="AB24" s="12">
        <v>19.350618099999998</v>
      </c>
      <c r="AC24" s="12">
        <v>20.471019900000002</v>
      </c>
      <c r="AD24" s="12">
        <v>53.920654499999998</v>
      </c>
      <c r="AE24" s="12">
        <v>49.054049999999997</v>
      </c>
      <c r="AF24" s="7" t="s">
        <v>107</v>
      </c>
      <c r="AG24" s="7" t="s">
        <v>107</v>
      </c>
    </row>
    <row r="25" spans="1:33" s="11" customFormat="1" outlineLevel="1" x14ac:dyDescent="0.3">
      <c r="A25" s="11" t="s">
        <v>31</v>
      </c>
      <c r="B25" s="12">
        <v>1.0748135000000001</v>
      </c>
      <c r="C25" s="12">
        <v>78.856666700000005</v>
      </c>
      <c r="D25" s="12">
        <v>2.1724109</v>
      </c>
      <c r="E25" s="17">
        <v>2.6666666999999999</v>
      </c>
      <c r="F25" s="13">
        <v>31.52</v>
      </c>
      <c r="G25" s="12">
        <v>12.2717901</v>
      </c>
      <c r="H25" s="12">
        <v>21.1742454</v>
      </c>
      <c r="I25" s="12">
        <v>3.5587547000000002</v>
      </c>
      <c r="J25" s="12">
        <v>9.3000146000000008</v>
      </c>
      <c r="K25" s="12">
        <v>9.1</v>
      </c>
      <c r="L25" s="12">
        <v>0.8</v>
      </c>
      <c r="M25" s="12">
        <v>40.700000000000003</v>
      </c>
      <c r="N25" s="12">
        <v>10.199999999999999</v>
      </c>
      <c r="O25" s="12">
        <v>14.5</v>
      </c>
      <c r="P25" s="7" t="s">
        <v>107</v>
      </c>
      <c r="Q25" s="7" t="s">
        <v>107</v>
      </c>
      <c r="R25" s="7" t="s">
        <v>107</v>
      </c>
      <c r="S25" s="12">
        <v>20.214683300000001</v>
      </c>
      <c r="T25" s="12">
        <v>7</v>
      </c>
      <c r="U25" s="12">
        <v>22.551203999999998</v>
      </c>
      <c r="V25" s="12">
        <v>5.7184333000000001</v>
      </c>
      <c r="W25" s="7" t="s">
        <v>107</v>
      </c>
      <c r="X25" s="7" t="s">
        <v>107</v>
      </c>
      <c r="Y25" s="7" t="s">
        <v>107</v>
      </c>
      <c r="Z25" s="12">
        <v>10.914290100000001</v>
      </c>
      <c r="AA25" s="12">
        <v>58.0643934</v>
      </c>
      <c r="AB25" s="12">
        <v>19.219139299999998</v>
      </c>
      <c r="AC25" s="12">
        <v>15.657151600000001</v>
      </c>
      <c r="AD25" s="12">
        <v>63.720213800000003</v>
      </c>
      <c r="AE25" s="12">
        <v>56.660898000000003</v>
      </c>
      <c r="AF25" s="7" t="s">
        <v>107</v>
      </c>
      <c r="AG25" s="7" t="s">
        <v>107</v>
      </c>
    </row>
    <row r="26" spans="1:33" s="11" customFormat="1" outlineLevel="1" x14ac:dyDescent="0.3">
      <c r="A26" s="11" t="s">
        <v>32</v>
      </c>
      <c r="B26" s="12">
        <v>0.33264589999999999</v>
      </c>
      <c r="C26" s="12">
        <v>79.37</v>
      </c>
      <c r="D26" s="12">
        <v>1.843456</v>
      </c>
      <c r="E26" s="17">
        <v>2.3333333000000001</v>
      </c>
      <c r="F26" s="13">
        <v>26.17</v>
      </c>
      <c r="G26" s="12">
        <v>19.6556034</v>
      </c>
      <c r="H26" s="12">
        <v>18.231400600000001</v>
      </c>
      <c r="I26" s="12">
        <v>1.0355604</v>
      </c>
      <c r="J26" s="12">
        <v>11.400014499999999</v>
      </c>
      <c r="K26" s="12">
        <v>11.1</v>
      </c>
      <c r="L26" s="12">
        <v>6.5</v>
      </c>
      <c r="M26" s="12">
        <v>32.200000000000003</v>
      </c>
      <c r="N26" s="12">
        <v>10.7</v>
      </c>
      <c r="O26" s="12">
        <v>16.600000000000001</v>
      </c>
      <c r="P26" s="7" t="s">
        <v>107</v>
      </c>
      <c r="Q26" s="7" t="s">
        <v>107</v>
      </c>
      <c r="R26" s="7" t="s">
        <v>107</v>
      </c>
      <c r="S26" s="12">
        <v>22.519618699999999</v>
      </c>
      <c r="T26" s="12">
        <v>7</v>
      </c>
      <c r="U26" s="12">
        <v>22.9655989</v>
      </c>
      <c r="V26" s="12">
        <v>6.0451632999999996</v>
      </c>
      <c r="W26" s="7" t="s">
        <v>107</v>
      </c>
      <c r="X26" s="7" t="s">
        <v>107</v>
      </c>
      <c r="Y26" s="7" t="s">
        <v>107</v>
      </c>
      <c r="Z26" s="12">
        <v>6.4477171000000002</v>
      </c>
      <c r="AA26" s="12">
        <v>55.521563200000003</v>
      </c>
      <c r="AB26" s="12">
        <v>20.242442199999999</v>
      </c>
      <c r="AC26" s="12">
        <v>21.1043126</v>
      </c>
      <c r="AD26" s="12">
        <v>59.5463667</v>
      </c>
      <c r="AE26" s="12">
        <v>56.414684700000002</v>
      </c>
      <c r="AF26" s="7" t="s">
        <v>107</v>
      </c>
      <c r="AG26" s="7" t="s">
        <v>107</v>
      </c>
    </row>
    <row r="27" spans="1:33" s="11" customFormat="1" outlineLevel="1" x14ac:dyDescent="0.3">
      <c r="A27" s="11" t="s">
        <v>33</v>
      </c>
      <c r="B27" s="12">
        <v>0.71308099999999996</v>
      </c>
      <c r="C27" s="12">
        <v>79.47</v>
      </c>
      <c r="D27" s="12">
        <v>1.9194597</v>
      </c>
      <c r="E27" s="17">
        <v>2</v>
      </c>
      <c r="F27" s="13">
        <v>28.45</v>
      </c>
      <c r="G27" s="12">
        <v>29.454805700000001</v>
      </c>
      <c r="H27" s="12">
        <v>27.773191400000002</v>
      </c>
      <c r="I27" s="12">
        <v>1.9661795</v>
      </c>
      <c r="J27" s="12">
        <v>5.6999994000000003</v>
      </c>
      <c r="K27" s="12">
        <v>11</v>
      </c>
      <c r="L27" s="12">
        <v>8.1999999999999993</v>
      </c>
      <c r="M27" s="12">
        <v>13.4</v>
      </c>
      <c r="N27" s="12">
        <v>8.3000000000000007</v>
      </c>
      <c r="O27" s="12">
        <v>18.3</v>
      </c>
      <c r="P27" s="7" t="s">
        <v>107</v>
      </c>
      <c r="Q27" s="7" t="s">
        <v>107</v>
      </c>
      <c r="R27" s="7" t="s">
        <v>107</v>
      </c>
      <c r="S27" s="12">
        <v>24.388837599999999</v>
      </c>
      <c r="T27" s="12">
        <v>7</v>
      </c>
      <c r="U27" s="12">
        <v>22.7428688</v>
      </c>
      <c r="V27" s="12">
        <v>5.9945667</v>
      </c>
      <c r="W27" s="7" t="s">
        <v>107</v>
      </c>
      <c r="X27" s="7" t="s">
        <v>107</v>
      </c>
      <c r="Y27" s="7" t="s">
        <v>107</v>
      </c>
      <c r="Z27" s="12">
        <v>4.7261167000000004</v>
      </c>
      <c r="AA27" s="12">
        <v>56.455442400000003</v>
      </c>
      <c r="AB27" s="12">
        <v>15.7982905</v>
      </c>
      <c r="AC27" s="12">
        <v>26.2900332</v>
      </c>
      <c r="AD27" s="12">
        <v>52.564237900000002</v>
      </c>
      <c r="AE27" s="12">
        <v>51.108004000000001</v>
      </c>
      <c r="AF27" s="7" t="s">
        <v>107</v>
      </c>
      <c r="AG27" s="7" t="s">
        <v>107</v>
      </c>
    </row>
    <row r="28" spans="1:33" s="11" customFormat="1" outlineLevel="1" x14ac:dyDescent="0.3">
      <c r="A28" s="11" t="s">
        <v>34</v>
      </c>
      <c r="B28" s="12">
        <v>1.3127310999999999</v>
      </c>
      <c r="C28" s="12">
        <v>79.913333300000005</v>
      </c>
      <c r="D28" s="12">
        <v>1.9259385</v>
      </c>
      <c r="E28" s="17">
        <v>2</v>
      </c>
      <c r="F28" s="13">
        <v>29.39</v>
      </c>
      <c r="G28" s="12">
        <v>35.532099299999999</v>
      </c>
      <c r="H28" s="12">
        <v>19.1025578</v>
      </c>
      <c r="I28" s="12">
        <v>-5.7557805000000002</v>
      </c>
      <c r="J28" s="12">
        <v>12.300001999999999</v>
      </c>
      <c r="K28" s="12">
        <v>13.1</v>
      </c>
      <c r="L28" s="12">
        <v>10.8</v>
      </c>
      <c r="M28" s="12">
        <v>25.1</v>
      </c>
      <c r="N28" s="12">
        <v>11.8</v>
      </c>
      <c r="O28" s="12">
        <v>17.899999999999999</v>
      </c>
      <c r="P28" s="7" t="s">
        <v>107</v>
      </c>
      <c r="Q28" s="7" t="s">
        <v>107</v>
      </c>
      <c r="R28" s="7" t="s">
        <v>107</v>
      </c>
      <c r="S28" s="12">
        <v>24.486692000000001</v>
      </c>
      <c r="T28" s="12">
        <v>7</v>
      </c>
      <c r="U28" s="12">
        <v>23.406670099999999</v>
      </c>
      <c r="V28" s="12">
        <v>6.3393667000000002</v>
      </c>
      <c r="W28" s="7" t="s">
        <v>107</v>
      </c>
      <c r="X28" s="7" t="s">
        <v>107</v>
      </c>
      <c r="Y28" s="7" t="s">
        <v>107</v>
      </c>
      <c r="Z28" s="12">
        <v>2.7835703000000001</v>
      </c>
      <c r="AA28" s="12">
        <v>55.925068099999997</v>
      </c>
      <c r="AB28" s="12">
        <v>21.036199199999999</v>
      </c>
      <c r="AC28" s="12">
        <v>22.848076200000001</v>
      </c>
      <c r="AD28" s="12">
        <v>57.369707400000003</v>
      </c>
      <c r="AE28" s="12">
        <v>57.179050799999999</v>
      </c>
      <c r="AF28" s="12">
        <v>170.43216630000001</v>
      </c>
      <c r="AG28" s="7" t="s">
        <v>107</v>
      </c>
    </row>
    <row r="29" spans="1:33" s="11" customFormat="1" outlineLevel="1" x14ac:dyDescent="0.3">
      <c r="A29" s="11" t="s">
        <v>35</v>
      </c>
      <c r="B29" s="12">
        <v>2.4350660999999998</v>
      </c>
      <c r="C29" s="12">
        <v>80.113333299999994</v>
      </c>
      <c r="D29" s="12">
        <v>1.5936086</v>
      </c>
      <c r="E29" s="17">
        <v>2</v>
      </c>
      <c r="F29" s="13">
        <v>31.923333299999999</v>
      </c>
      <c r="G29" s="12">
        <v>20.750860800000002</v>
      </c>
      <c r="H29" s="12">
        <v>13.8835052</v>
      </c>
      <c r="I29" s="12">
        <v>1.7970767999999999</v>
      </c>
      <c r="J29" s="12">
        <v>13.099984299999999</v>
      </c>
      <c r="K29" s="12">
        <v>18.3</v>
      </c>
      <c r="L29" s="12">
        <v>1.5</v>
      </c>
      <c r="M29" s="12">
        <v>14.8</v>
      </c>
      <c r="N29" s="12">
        <v>20.9</v>
      </c>
      <c r="O29" s="12">
        <v>22.2</v>
      </c>
      <c r="P29" s="7" t="s">
        <v>107</v>
      </c>
      <c r="Q29" s="7" t="s">
        <v>107</v>
      </c>
      <c r="R29" s="7" t="s">
        <v>107</v>
      </c>
      <c r="S29" s="12">
        <v>28.783712099999999</v>
      </c>
      <c r="T29" s="12">
        <v>7</v>
      </c>
      <c r="U29" s="12">
        <v>24.216297600000001</v>
      </c>
      <c r="V29" s="12">
        <v>6.6618000000000004</v>
      </c>
      <c r="W29" s="7" t="s">
        <v>107</v>
      </c>
      <c r="X29" s="7" t="s">
        <v>107</v>
      </c>
      <c r="Y29" s="7" t="s">
        <v>107</v>
      </c>
      <c r="Z29" s="12">
        <v>11.427871</v>
      </c>
      <c r="AA29" s="12">
        <v>57.587972700000002</v>
      </c>
      <c r="AB29" s="12">
        <v>18.282796600000001</v>
      </c>
      <c r="AC29" s="12">
        <v>15.646228000000001</v>
      </c>
      <c r="AD29" s="12">
        <v>70.849942499999997</v>
      </c>
      <c r="AE29" s="12">
        <v>62.366939899999998</v>
      </c>
      <c r="AF29" s="7" t="s">
        <v>107</v>
      </c>
      <c r="AG29" s="7" t="s">
        <v>107</v>
      </c>
    </row>
    <row r="30" spans="1:33" s="11" customFormat="1" outlineLevel="1" x14ac:dyDescent="0.3">
      <c r="A30" s="11" t="s">
        <v>36</v>
      </c>
      <c r="B30" s="12">
        <v>2.9592486</v>
      </c>
      <c r="C30" s="12">
        <v>81.069999999999993</v>
      </c>
      <c r="D30" s="12">
        <v>2.1418672000000001</v>
      </c>
      <c r="E30" s="17">
        <v>2</v>
      </c>
      <c r="F30" s="13">
        <v>35.446666700000002</v>
      </c>
      <c r="G30" s="12">
        <v>25.035977899999999</v>
      </c>
      <c r="H30" s="12">
        <v>17.253000700000001</v>
      </c>
      <c r="I30" s="12">
        <v>-0.76710730000000005</v>
      </c>
      <c r="J30" s="12">
        <v>12.699994500000001</v>
      </c>
      <c r="K30" s="12">
        <v>17.3</v>
      </c>
      <c r="L30" s="12">
        <v>1.1000000000000001</v>
      </c>
      <c r="M30" s="12">
        <v>-16.3</v>
      </c>
      <c r="N30" s="12">
        <v>27</v>
      </c>
      <c r="O30" s="12">
        <v>16.600000000000001</v>
      </c>
      <c r="P30" s="7" t="s">
        <v>107</v>
      </c>
      <c r="Q30" s="7" t="s">
        <v>107</v>
      </c>
      <c r="R30" s="7" t="s">
        <v>107</v>
      </c>
      <c r="S30" s="12">
        <v>27.377428999999999</v>
      </c>
      <c r="T30" s="12">
        <v>7.5</v>
      </c>
      <c r="U30" s="12">
        <v>24.655007399999999</v>
      </c>
      <c r="V30" s="12">
        <v>6.4147999999999996</v>
      </c>
      <c r="W30" s="7" t="s">
        <v>107</v>
      </c>
      <c r="X30" s="7" t="s">
        <v>107</v>
      </c>
      <c r="Y30" s="7" t="s">
        <v>107</v>
      </c>
      <c r="Z30" s="12">
        <v>15.8346885</v>
      </c>
      <c r="AA30" s="12">
        <v>53.7929192</v>
      </c>
      <c r="AB30" s="12">
        <v>18.722251199999999</v>
      </c>
      <c r="AC30" s="12">
        <v>15.627107000000001</v>
      </c>
      <c r="AD30" s="12">
        <v>70.860101499999999</v>
      </c>
      <c r="AE30" s="12">
        <v>59.002378899999997</v>
      </c>
      <c r="AF30" s="7" t="s">
        <v>107</v>
      </c>
      <c r="AG30" s="7" t="s">
        <v>107</v>
      </c>
    </row>
    <row r="31" spans="1:33" s="11" customFormat="1" outlineLevel="1" x14ac:dyDescent="0.3">
      <c r="A31" s="11" t="s">
        <v>37</v>
      </c>
      <c r="B31" s="12">
        <v>2.4141233999999998</v>
      </c>
      <c r="C31" s="12">
        <v>81.156666700000002</v>
      </c>
      <c r="D31" s="12">
        <v>2.1223942</v>
      </c>
      <c r="E31" s="17">
        <v>2</v>
      </c>
      <c r="F31" s="13">
        <v>41.386666699999999</v>
      </c>
      <c r="G31" s="12">
        <v>50.830644999999997</v>
      </c>
      <c r="H31" s="12">
        <v>27.729154600000001</v>
      </c>
      <c r="I31" s="12">
        <v>-2.4142649</v>
      </c>
      <c r="J31" s="12">
        <v>14.000010700000001</v>
      </c>
      <c r="K31" s="12">
        <v>5.2</v>
      </c>
      <c r="L31" s="12">
        <v>3.8</v>
      </c>
      <c r="M31" s="12">
        <v>17.2</v>
      </c>
      <c r="N31" s="12">
        <v>24.8</v>
      </c>
      <c r="O31" s="12">
        <v>13</v>
      </c>
      <c r="P31" s="7" t="s">
        <v>107</v>
      </c>
      <c r="Q31" s="7" t="s">
        <v>107</v>
      </c>
      <c r="R31" s="7" t="s">
        <v>107</v>
      </c>
      <c r="S31" s="12">
        <v>25.635169999999999</v>
      </c>
      <c r="T31" s="12">
        <v>7.5</v>
      </c>
      <c r="U31" s="12">
        <v>24.918115100000001</v>
      </c>
      <c r="V31" s="12">
        <v>6.4910966999999999</v>
      </c>
      <c r="W31" s="7" t="s">
        <v>107</v>
      </c>
      <c r="X31" s="7" t="s">
        <v>107</v>
      </c>
      <c r="Y31" s="7" t="s">
        <v>107</v>
      </c>
      <c r="Z31" s="12">
        <v>11.0172948</v>
      </c>
      <c r="AA31" s="12">
        <v>49.261103599999998</v>
      </c>
      <c r="AB31" s="12">
        <v>14.8483477</v>
      </c>
      <c r="AC31" s="12">
        <v>27.749107200000001</v>
      </c>
      <c r="AD31" s="12">
        <v>58.689200700000001</v>
      </c>
      <c r="AE31" s="12">
        <v>50.547759200000002</v>
      </c>
      <c r="AF31" s="7" t="s">
        <v>107</v>
      </c>
      <c r="AG31" s="7" t="s">
        <v>107</v>
      </c>
    </row>
    <row r="32" spans="1:33" s="11" customFormat="1" outlineLevel="1" x14ac:dyDescent="0.3">
      <c r="A32" s="11" t="s">
        <v>38</v>
      </c>
      <c r="B32" s="12">
        <v>2.308249</v>
      </c>
      <c r="C32" s="12">
        <v>81.663333300000005</v>
      </c>
      <c r="D32" s="12">
        <v>2.1898724000000001</v>
      </c>
      <c r="E32" s="17">
        <v>2</v>
      </c>
      <c r="F32" s="13">
        <v>44.163333299999998</v>
      </c>
      <c r="G32" s="12">
        <v>38.446022900000003</v>
      </c>
      <c r="H32" s="12">
        <v>24.845281400000001</v>
      </c>
      <c r="I32" s="12">
        <v>-9.1987614999999998</v>
      </c>
      <c r="J32" s="12">
        <v>9.0000049000000004</v>
      </c>
      <c r="K32" s="12">
        <v>13.5</v>
      </c>
      <c r="L32" s="12">
        <v>0.8</v>
      </c>
      <c r="M32" s="12">
        <v>2.5</v>
      </c>
      <c r="N32" s="12">
        <v>13.7</v>
      </c>
      <c r="O32" s="12">
        <v>11.7</v>
      </c>
      <c r="P32" s="7" t="s">
        <v>107</v>
      </c>
      <c r="Q32" s="7" t="s">
        <v>107</v>
      </c>
      <c r="R32" s="7" t="s">
        <v>107</v>
      </c>
      <c r="S32" s="12">
        <v>28.9495574</v>
      </c>
      <c r="T32" s="12">
        <v>9</v>
      </c>
      <c r="U32" s="12">
        <v>26.1601395</v>
      </c>
      <c r="V32" s="12">
        <v>6.8697333</v>
      </c>
      <c r="W32" s="7" t="s">
        <v>107</v>
      </c>
      <c r="X32" s="7" t="s">
        <v>107</v>
      </c>
      <c r="Y32" s="7" t="s">
        <v>107</v>
      </c>
      <c r="Z32" s="12">
        <v>5.6975429000000002</v>
      </c>
      <c r="AA32" s="12">
        <v>55.053935299999999</v>
      </c>
      <c r="AB32" s="12">
        <v>18.864362799999999</v>
      </c>
      <c r="AC32" s="12">
        <v>22.694766300000001</v>
      </c>
      <c r="AD32" s="12">
        <v>58.040351600000001</v>
      </c>
      <c r="AE32" s="12">
        <v>54.653415899999999</v>
      </c>
      <c r="AF32" s="12">
        <v>63.143521800000002</v>
      </c>
      <c r="AG32" s="7" t="s">
        <v>107</v>
      </c>
    </row>
    <row r="33" spans="1:33" s="11" customFormat="1" outlineLevel="1" x14ac:dyDescent="0.3">
      <c r="A33" s="11" t="s">
        <v>39</v>
      </c>
      <c r="B33" s="12">
        <v>1.1277817999999999</v>
      </c>
      <c r="C33" s="12">
        <v>81.773333300000004</v>
      </c>
      <c r="D33" s="12">
        <v>2.0720646</v>
      </c>
      <c r="E33" s="17">
        <v>2</v>
      </c>
      <c r="F33" s="13">
        <v>47.696666700000002</v>
      </c>
      <c r="G33" s="12">
        <v>38.323889399999999</v>
      </c>
      <c r="H33" s="12">
        <v>45.554952700000001</v>
      </c>
      <c r="I33" s="12">
        <v>3.3269772</v>
      </c>
      <c r="J33" s="12">
        <v>5.0999990999999998</v>
      </c>
      <c r="K33" s="12">
        <v>14.7</v>
      </c>
      <c r="L33" s="12">
        <v>0.5</v>
      </c>
      <c r="M33" s="12">
        <v>20.7</v>
      </c>
      <c r="N33" s="12">
        <v>-4.4000000000000004</v>
      </c>
      <c r="O33" s="12">
        <v>6</v>
      </c>
      <c r="P33" s="7">
        <v>20027.099999999999</v>
      </c>
      <c r="Q33" s="7">
        <v>1912.1</v>
      </c>
      <c r="R33" s="7">
        <v>8.6999999999999993</v>
      </c>
      <c r="S33" s="12">
        <v>30.541298399999999</v>
      </c>
      <c r="T33" s="12">
        <v>9</v>
      </c>
      <c r="U33" s="12">
        <v>27.496119700000001</v>
      </c>
      <c r="V33" s="12">
        <v>6.9555332999999999</v>
      </c>
      <c r="W33" s="7" t="s">
        <v>107</v>
      </c>
      <c r="X33" s="7" t="s">
        <v>107</v>
      </c>
      <c r="Y33" s="7" t="s">
        <v>107</v>
      </c>
      <c r="Z33" s="12">
        <v>9.6407915000000006</v>
      </c>
      <c r="AA33" s="12">
        <v>58.702215500000001</v>
      </c>
      <c r="AB33" s="12">
        <v>17.122945600000001</v>
      </c>
      <c r="AC33" s="12">
        <v>16.909561400000001</v>
      </c>
      <c r="AD33" s="12">
        <v>62.585126700000004</v>
      </c>
      <c r="AE33" s="12">
        <v>55.319849300000001</v>
      </c>
      <c r="AF33" s="7" t="s">
        <v>107</v>
      </c>
      <c r="AG33" s="7" t="s">
        <v>107</v>
      </c>
    </row>
    <row r="34" spans="1:33" s="11" customFormat="1" outlineLevel="1" x14ac:dyDescent="0.3">
      <c r="A34" s="11" t="s">
        <v>40</v>
      </c>
      <c r="B34" s="12">
        <v>2.2042253999999999</v>
      </c>
      <c r="C34" s="12">
        <v>82.71</v>
      </c>
      <c r="D34" s="12">
        <v>2.0229431</v>
      </c>
      <c r="E34" s="17">
        <v>2</v>
      </c>
      <c r="F34" s="13">
        <v>51.626666700000001</v>
      </c>
      <c r="G34" s="12">
        <v>59.014164299999997</v>
      </c>
      <c r="H34" s="12">
        <v>57.879030899999997</v>
      </c>
      <c r="I34" s="12">
        <v>-1.1765169</v>
      </c>
      <c r="J34" s="12">
        <v>3.7000055000000001</v>
      </c>
      <c r="K34" s="12">
        <v>19</v>
      </c>
      <c r="L34" s="12">
        <v>1.4</v>
      </c>
      <c r="M34" s="12">
        <v>46.4</v>
      </c>
      <c r="N34" s="12">
        <v>-15.1</v>
      </c>
      <c r="O34" s="12">
        <v>7.2</v>
      </c>
      <c r="P34" s="7">
        <v>20719.7</v>
      </c>
      <c r="Q34" s="7">
        <v>1576.5</v>
      </c>
      <c r="R34" s="7">
        <v>7.1</v>
      </c>
      <c r="S34" s="12">
        <v>36.191185900000001</v>
      </c>
      <c r="T34" s="12">
        <v>9</v>
      </c>
      <c r="U34" s="12">
        <v>28.243318500000001</v>
      </c>
      <c r="V34" s="12">
        <v>6.4292999999999996</v>
      </c>
      <c r="W34" s="7" t="s">
        <v>107</v>
      </c>
      <c r="X34" s="7" t="s">
        <v>107</v>
      </c>
      <c r="Y34" s="7" t="s">
        <v>107</v>
      </c>
      <c r="Z34" s="12">
        <v>3.1078535999999999</v>
      </c>
      <c r="AA34" s="12">
        <v>59.013637199999998</v>
      </c>
      <c r="AB34" s="12">
        <v>18.809914800000001</v>
      </c>
      <c r="AC34" s="12">
        <v>21.3938077</v>
      </c>
      <c r="AD34" s="12">
        <v>55.447510999999999</v>
      </c>
      <c r="AE34" s="12">
        <v>54.664870700000002</v>
      </c>
      <c r="AF34" s="7" t="s">
        <v>107</v>
      </c>
      <c r="AG34" s="7" t="s">
        <v>107</v>
      </c>
    </row>
    <row r="35" spans="1:33" s="11" customFormat="1" outlineLevel="1" x14ac:dyDescent="0.3">
      <c r="A35" s="11" t="s">
        <v>41</v>
      </c>
      <c r="B35" s="12">
        <v>2.0830310000000001</v>
      </c>
      <c r="C35" s="12">
        <v>83.016666700000002</v>
      </c>
      <c r="D35" s="12">
        <v>2.2918634999999998</v>
      </c>
      <c r="E35" s="17">
        <v>2</v>
      </c>
      <c r="F35" s="13">
        <v>61.47</v>
      </c>
      <c r="G35" s="12">
        <v>15.7441841</v>
      </c>
      <c r="H35" s="12">
        <v>42.431906599999998</v>
      </c>
      <c r="I35" s="12">
        <v>3.3216399000000001</v>
      </c>
      <c r="J35" s="12">
        <v>1.6000004999999999</v>
      </c>
      <c r="K35" s="12">
        <v>22.9</v>
      </c>
      <c r="L35" s="12">
        <v>1.6</v>
      </c>
      <c r="M35" s="12">
        <v>6.8</v>
      </c>
      <c r="N35" s="12">
        <v>-13.3</v>
      </c>
      <c r="O35" s="12">
        <v>9.1</v>
      </c>
      <c r="P35" s="7">
        <v>21497.8</v>
      </c>
      <c r="Q35" s="7">
        <v>1182.4000000000001</v>
      </c>
      <c r="R35" s="7">
        <v>5.2</v>
      </c>
      <c r="S35" s="12">
        <v>36.9808679</v>
      </c>
      <c r="T35" s="12">
        <v>9.5</v>
      </c>
      <c r="U35" s="12">
        <v>28.5356737</v>
      </c>
      <c r="V35" s="12">
        <v>6.1657000000000002</v>
      </c>
      <c r="W35" s="7" t="s">
        <v>107</v>
      </c>
      <c r="X35" s="7" t="s">
        <v>107</v>
      </c>
      <c r="Y35" s="7" t="s">
        <v>107</v>
      </c>
      <c r="Z35" s="12">
        <v>1.6609265</v>
      </c>
      <c r="AA35" s="12">
        <v>56.997745399999999</v>
      </c>
      <c r="AB35" s="12">
        <v>14.9868551</v>
      </c>
      <c r="AC35" s="12">
        <v>28.410154599999998</v>
      </c>
      <c r="AD35" s="12">
        <v>47.665247700000002</v>
      </c>
      <c r="AE35" s="12">
        <v>48.060002799999999</v>
      </c>
      <c r="AF35" s="7" t="s">
        <v>107</v>
      </c>
      <c r="AG35" s="7" t="s">
        <v>107</v>
      </c>
    </row>
    <row r="36" spans="1:33" s="11" customFormat="1" outlineLevel="1" x14ac:dyDescent="0.3">
      <c r="A36" s="11" t="s">
        <v>42</v>
      </c>
      <c r="B36" s="12">
        <v>2.0666498999999998</v>
      </c>
      <c r="C36" s="12">
        <v>83.51</v>
      </c>
      <c r="D36" s="12">
        <v>2.2613167999999999</v>
      </c>
      <c r="E36" s="17">
        <v>2.0833333000000001</v>
      </c>
      <c r="F36" s="13">
        <v>56.88</v>
      </c>
      <c r="G36" s="12">
        <v>43.903019</v>
      </c>
      <c r="H36" s="12">
        <v>42.556082799999999</v>
      </c>
      <c r="I36" s="12">
        <v>-10.5776518</v>
      </c>
      <c r="J36" s="12">
        <v>2.2999945999999998</v>
      </c>
      <c r="K36" s="12">
        <v>22.6</v>
      </c>
      <c r="L36" s="12">
        <v>5</v>
      </c>
      <c r="M36" s="12">
        <v>3.5</v>
      </c>
      <c r="N36" s="12">
        <v>-17.3</v>
      </c>
      <c r="O36" s="12">
        <v>4.8</v>
      </c>
      <c r="P36" s="7">
        <v>20475.400000000001</v>
      </c>
      <c r="Q36" s="7">
        <v>1732.2</v>
      </c>
      <c r="R36" s="7">
        <v>7.8</v>
      </c>
      <c r="S36" s="12">
        <v>41.030112099999997</v>
      </c>
      <c r="T36" s="12">
        <v>9.5</v>
      </c>
      <c r="U36" s="12">
        <v>29.1877727</v>
      </c>
      <c r="V36" s="12">
        <v>6.0046382999999999</v>
      </c>
      <c r="W36" s="7" t="s">
        <v>107</v>
      </c>
      <c r="X36" s="7" t="s">
        <v>107</v>
      </c>
      <c r="Y36" s="7" t="s">
        <v>107</v>
      </c>
      <c r="Z36" s="12">
        <v>-0.37645600000000001</v>
      </c>
      <c r="AA36" s="12">
        <v>58.691566999999999</v>
      </c>
      <c r="AB36" s="12">
        <v>21.663301799999999</v>
      </c>
      <c r="AC36" s="12">
        <v>21.986333299999998</v>
      </c>
      <c r="AD36" s="12">
        <v>44.382668099999997</v>
      </c>
      <c r="AE36" s="12">
        <v>46.7238702</v>
      </c>
      <c r="AF36" s="12">
        <v>121.07253559999999</v>
      </c>
      <c r="AG36" s="7" t="s">
        <v>107</v>
      </c>
    </row>
    <row r="37" spans="1:33" s="11" customFormat="1" outlineLevel="1" x14ac:dyDescent="0.3">
      <c r="A37" s="11" t="s">
        <v>43</v>
      </c>
      <c r="B37" s="12">
        <v>3.8191847000000001</v>
      </c>
      <c r="C37" s="12">
        <v>83.573333300000002</v>
      </c>
      <c r="D37" s="12">
        <v>2.2012065999999999</v>
      </c>
      <c r="E37" s="17">
        <v>2.3333333000000001</v>
      </c>
      <c r="F37" s="13">
        <v>61.753333300000001</v>
      </c>
      <c r="G37" s="12">
        <v>43.9814042</v>
      </c>
      <c r="H37" s="12">
        <v>28.959820300000001</v>
      </c>
      <c r="I37" s="12">
        <v>0.36838660000000001</v>
      </c>
      <c r="J37" s="12">
        <v>4.7999875000000003</v>
      </c>
      <c r="K37" s="12">
        <v>18.100000000000001</v>
      </c>
      <c r="L37" s="12">
        <v>12.5</v>
      </c>
      <c r="M37" s="12">
        <v>48.9</v>
      </c>
      <c r="N37" s="12">
        <v>-15.9</v>
      </c>
      <c r="O37" s="12">
        <v>13.2</v>
      </c>
      <c r="P37" s="7">
        <v>20432.900000000001</v>
      </c>
      <c r="Q37" s="7">
        <v>1744.5</v>
      </c>
      <c r="R37" s="7">
        <v>7.9</v>
      </c>
      <c r="S37" s="12">
        <v>35.797165</v>
      </c>
      <c r="T37" s="12">
        <v>9.5</v>
      </c>
      <c r="U37" s="12">
        <v>30.159903700000001</v>
      </c>
      <c r="V37" s="12">
        <v>6.0674333000000003</v>
      </c>
      <c r="W37" s="7" t="s">
        <v>107</v>
      </c>
      <c r="X37" s="7" t="s">
        <v>107</v>
      </c>
      <c r="Y37" s="7" t="s">
        <v>107</v>
      </c>
      <c r="Z37" s="12">
        <v>-3.6373980000000001</v>
      </c>
      <c r="AA37" s="12">
        <v>63.070297500000002</v>
      </c>
      <c r="AB37" s="12">
        <v>19.223680699999999</v>
      </c>
      <c r="AC37" s="12">
        <v>23.091172400000001</v>
      </c>
      <c r="AD37" s="12">
        <v>49.380336300000003</v>
      </c>
      <c r="AE37" s="12">
        <v>54.765486899999999</v>
      </c>
      <c r="AF37" s="7" t="s">
        <v>107</v>
      </c>
      <c r="AG37" s="7" t="s">
        <v>107</v>
      </c>
    </row>
    <row r="38" spans="1:33" s="11" customFormat="1" outlineLevel="1" x14ac:dyDescent="0.3">
      <c r="A38" s="11" t="s">
        <v>44</v>
      </c>
      <c r="B38" s="12">
        <v>2.9723983</v>
      </c>
      <c r="C38" s="12">
        <v>84.693333300000006</v>
      </c>
      <c r="D38" s="12">
        <v>2.3979365000000001</v>
      </c>
      <c r="E38" s="17">
        <v>2.5833333000000001</v>
      </c>
      <c r="F38" s="13">
        <v>69.533333299999995</v>
      </c>
      <c r="G38" s="12">
        <v>18.718582099999999</v>
      </c>
      <c r="H38" s="12">
        <v>18.817518499999998</v>
      </c>
      <c r="I38" s="12">
        <v>-1.0987039000000001</v>
      </c>
      <c r="J38" s="12">
        <v>7.0999891999999996</v>
      </c>
      <c r="K38" s="12">
        <v>20.2</v>
      </c>
      <c r="L38" s="12">
        <v>9.8000000000000007</v>
      </c>
      <c r="M38" s="12">
        <v>3.1</v>
      </c>
      <c r="N38" s="12">
        <v>-11.1</v>
      </c>
      <c r="O38" s="12">
        <v>3.6</v>
      </c>
      <c r="P38" s="7">
        <v>21041.9</v>
      </c>
      <c r="Q38" s="7">
        <v>1292.5</v>
      </c>
      <c r="R38" s="7">
        <v>5.8</v>
      </c>
      <c r="S38" s="12">
        <v>31.434824599999999</v>
      </c>
      <c r="T38" s="12">
        <v>8.5</v>
      </c>
      <c r="U38" s="12">
        <v>30.267672300000001</v>
      </c>
      <c r="V38" s="12">
        <v>6.3344566999999996</v>
      </c>
      <c r="W38" s="7" t="s">
        <v>107</v>
      </c>
      <c r="X38" s="7" t="s">
        <v>107</v>
      </c>
      <c r="Y38" s="7" t="s">
        <v>107</v>
      </c>
      <c r="Z38" s="12">
        <v>-3.9978000000000001E-3</v>
      </c>
      <c r="AA38" s="12">
        <v>60.739081200000001</v>
      </c>
      <c r="AB38" s="12">
        <v>19.8814113</v>
      </c>
      <c r="AC38" s="12">
        <v>21.0942139</v>
      </c>
      <c r="AD38" s="12">
        <v>48.729011499999999</v>
      </c>
      <c r="AE38" s="12">
        <v>50.443717900000003</v>
      </c>
      <c r="AF38" s="7" t="s">
        <v>107</v>
      </c>
      <c r="AG38" s="7" t="s">
        <v>107</v>
      </c>
    </row>
    <row r="39" spans="1:33" s="11" customFormat="1" outlineLevel="1" x14ac:dyDescent="0.3">
      <c r="A39" s="11" t="s">
        <v>45</v>
      </c>
      <c r="B39" s="12">
        <v>3.3099788999999999</v>
      </c>
      <c r="C39" s="12">
        <v>84.873333299999999</v>
      </c>
      <c r="D39" s="12">
        <v>2.2364986</v>
      </c>
      <c r="E39" s="17">
        <v>2.9166666999999999</v>
      </c>
      <c r="F39" s="13">
        <v>69.62</v>
      </c>
      <c r="G39" s="12">
        <v>33.673594899999998</v>
      </c>
      <c r="H39" s="12">
        <v>28.630514999999999</v>
      </c>
      <c r="I39" s="12">
        <v>2.3681481999999998</v>
      </c>
      <c r="J39" s="12">
        <v>7.4999922000000003</v>
      </c>
      <c r="K39" s="12">
        <v>13.4</v>
      </c>
      <c r="L39" s="12">
        <v>3.7</v>
      </c>
      <c r="M39" s="12">
        <v>9.6</v>
      </c>
      <c r="N39" s="12">
        <v>2.8</v>
      </c>
      <c r="O39" s="12">
        <v>10.6</v>
      </c>
      <c r="P39" s="7">
        <v>21167.599999999999</v>
      </c>
      <c r="Q39" s="7">
        <v>1221.2</v>
      </c>
      <c r="R39" s="7">
        <v>5.5</v>
      </c>
      <c r="S39" s="12">
        <v>28.2828883</v>
      </c>
      <c r="T39" s="12">
        <v>8.5</v>
      </c>
      <c r="U39" s="12">
        <v>30.8152571</v>
      </c>
      <c r="V39" s="12">
        <v>6.4351333000000004</v>
      </c>
      <c r="W39" s="7" t="s">
        <v>107</v>
      </c>
      <c r="X39" s="7" t="s">
        <v>107</v>
      </c>
      <c r="Y39" s="7" t="s">
        <v>107</v>
      </c>
      <c r="Z39" s="12">
        <v>1.670013</v>
      </c>
      <c r="AA39" s="12">
        <v>55.882970499999999</v>
      </c>
      <c r="AB39" s="12">
        <v>15.0223744</v>
      </c>
      <c r="AC39" s="12">
        <v>28.531029</v>
      </c>
      <c r="AD39" s="12">
        <v>47.4535123</v>
      </c>
      <c r="AE39" s="12">
        <v>46.889886199999999</v>
      </c>
      <c r="AF39" s="7" t="s">
        <v>107</v>
      </c>
      <c r="AG39" s="7" t="s">
        <v>107</v>
      </c>
    </row>
    <row r="40" spans="1:33" s="11" customFormat="1" outlineLevel="1" x14ac:dyDescent="0.3">
      <c r="A40" s="11" t="s">
        <v>46</v>
      </c>
      <c r="B40" s="12">
        <v>3.7478780999999999</v>
      </c>
      <c r="C40" s="12">
        <v>85.166666699999993</v>
      </c>
      <c r="D40" s="12">
        <v>1.9837944000000001</v>
      </c>
      <c r="E40" s="17">
        <v>3.3333333000000001</v>
      </c>
      <c r="F40" s="13">
        <v>59.68</v>
      </c>
      <c r="G40" s="12">
        <v>11.846629</v>
      </c>
      <c r="H40" s="12">
        <v>34.708373999999999</v>
      </c>
      <c r="I40" s="12">
        <v>-3.9690721999999998</v>
      </c>
      <c r="J40" s="12">
        <v>9.7000039000000005</v>
      </c>
      <c r="K40" s="12">
        <v>13.3</v>
      </c>
      <c r="L40" s="12">
        <v>-6.3</v>
      </c>
      <c r="M40" s="12">
        <v>23.2</v>
      </c>
      <c r="N40" s="12">
        <v>0.9</v>
      </c>
      <c r="O40" s="12">
        <v>6.5</v>
      </c>
      <c r="P40" s="7">
        <v>20279.2</v>
      </c>
      <c r="Q40" s="7">
        <v>1801.8</v>
      </c>
      <c r="R40" s="7">
        <v>8.1999999999999993</v>
      </c>
      <c r="S40" s="12">
        <v>23.9652086</v>
      </c>
      <c r="T40" s="12">
        <v>8.5</v>
      </c>
      <c r="U40" s="12">
        <v>32.5174728</v>
      </c>
      <c r="V40" s="12">
        <v>6.5036667000000001</v>
      </c>
      <c r="W40" s="7" t="s">
        <v>107</v>
      </c>
      <c r="X40" s="7" t="s">
        <v>107</v>
      </c>
      <c r="Y40" s="7" t="s">
        <v>107</v>
      </c>
      <c r="Z40" s="12">
        <v>-4.2982775999999996</v>
      </c>
      <c r="AA40" s="12">
        <v>60.088006</v>
      </c>
      <c r="AB40" s="12">
        <v>20.050917800000001</v>
      </c>
      <c r="AC40" s="12">
        <v>25.1785265</v>
      </c>
      <c r="AD40" s="12">
        <v>42.315815899999997</v>
      </c>
      <c r="AE40" s="12">
        <v>47.633266300000003</v>
      </c>
      <c r="AF40" s="12">
        <v>129.98393949999999</v>
      </c>
      <c r="AG40" s="7" t="s">
        <v>107</v>
      </c>
    </row>
    <row r="41" spans="1:33" s="11" customFormat="1" outlineLevel="1" x14ac:dyDescent="0.3">
      <c r="A41" s="11" t="s">
        <v>47</v>
      </c>
      <c r="B41" s="12">
        <v>3.5234725999999998</v>
      </c>
      <c r="C41" s="12">
        <v>85.39</v>
      </c>
      <c r="D41" s="12">
        <v>2.1737397000000001</v>
      </c>
      <c r="E41" s="17">
        <v>3.5833333000000001</v>
      </c>
      <c r="F41" s="13">
        <v>57.763333299999999</v>
      </c>
      <c r="G41" s="12">
        <v>16.097266999999999</v>
      </c>
      <c r="H41" s="12">
        <v>33.863404099999997</v>
      </c>
      <c r="I41" s="12">
        <v>4.5138550000000004</v>
      </c>
      <c r="J41" s="12">
        <v>10.6000098</v>
      </c>
      <c r="K41" s="12">
        <v>21</v>
      </c>
      <c r="L41" s="12">
        <v>0.3</v>
      </c>
      <c r="M41" s="12">
        <v>17.7</v>
      </c>
      <c r="N41" s="12">
        <v>7.6</v>
      </c>
      <c r="O41" s="12">
        <v>20.2</v>
      </c>
      <c r="P41" s="7">
        <v>20537.2</v>
      </c>
      <c r="Q41" s="7">
        <v>1633.8</v>
      </c>
      <c r="R41" s="7">
        <v>7.4</v>
      </c>
      <c r="S41" s="12">
        <v>26.4032102</v>
      </c>
      <c r="T41" s="12">
        <v>8.5</v>
      </c>
      <c r="U41" s="12">
        <v>33.224340400000003</v>
      </c>
      <c r="V41" s="12">
        <v>6.6170999999999998</v>
      </c>
      <c r="W41" s="12">
        <v>8.7848933000000002</v>
      </c>
      <c r="X41" s="7" t="s">
        <v>107</v>
      </c>
      <c r="Y41" s="7" t="s">
        <v>107</v>
      </c>
      <c r="Z41" s="12">
        <v>-3.9148691000000002</v>
      </c>
      <c r="AA41" s="12">
        <v>63.126416300000002</v>
      </c>
      <c r="AB41" s="12">
        <v>17.5468288</v>
      </c>
      <c r="AC41" s="12">
        <v>25.428846</v>
      </c>
      <c r="AD41" s="12">
        <v>48.415851500000002</v>
      </c>
      <c r="AE41" s="12">
        <v>54.517942699999999</v>
      </c>
      <c r="AF41" s="12">
        <v>125.55646419999999</v>
      </c>
      <c r="AG41" s="7" t="s">
        <v>107</v>
      </c>
    </row>
    <row r="42" spans="1:33" s="11" customFormat="1" outlineLevel="1" x14ac:dyDescent="0.3">
      <c r="A42" s="11" t="s">
        <v>48</v>
      </c>
      <c r="B42" s="12">
        <v>3.1678283999999999</v>
      </c>
      <c r="C42" s="12">
        <v>86.5</v>
      </c>
      <c r="D42" s="12">
        <v>2.1331864</v>
      </c>
      <c r="E42" s="17">
        <v>3.8333333000000001</v>
      </c>
      <c r="F42" s="13">
        <v>68.583333300000007</v>
      </c>
      <c r="G42" s="12">
        <v>28.5235603</v>
      </c>
      <c r="H42" s="12">
        <v>29.744626499999999</v>
      </c>
      <c r="I42" s="12">
        <v>-0.78145129999999996</v>
      </c>
      <c r="J42" s="12">
        <v>9.6999911999999995</v>
      </c>
      <c r="K42" s="12">
        <v>16.5</v>
      </c>
      <c r="L42" s="12">
        <v>2.8</v>
      </c>
      <c r="M42" s="12">
        <v>43.8</v>
      </c>
      <c r="N42" s="12">
        <v>9.1999999999999993</v>
      </c>
      <c r="O42" s="12">
        <v>28.4</v>
      </c>
      <c r="P42" s="7">
        <v>21119.8</v>
      </c>
      <c r="Q42" s="7">
        <v>1301.8</v>
      </c>
      <c r="R42" s="7">
        <v>5.8</v>
      </c>
      <c r="S42" s="12">
        <v>26.827085700000001</v>
      </c>
      <c r="T42" s="12">
        <v>8</v>
      </c>
      <c r="U42" s="12">
        <v>33.714099500000003</v>
      </c>
      <c r="V42" s="12">
        <v>6.8071666999999998</v>
      </c>
      <c r="W42" s="12">
        <v>7.1929368</v>
      </c>
      <c r="X42" s="7" t="s">
        <v>107</v>
      </c>
      <c r="Y42" s="7" t="s">
        <v>107</v>
      </c>
      <c r="Z42" s="12">
        <v>-1.8823748</v>
      </c>
      <c r="AA42" s="12">
        <v>59.242879100000003</v>
      </c>
      <c r="AB42" s="12">
        <v>18.809365400000001</v>
      </c>
      <c r="AC42" s="12">
        <v>25.739951699999999</v>
      </c>
      <c r="AD42" s="12">
        <v>47.7404431</v>
      </c>
      <c r="AE42" s="12">
        <v>51.532639400000001</v>
      </c>
      <c r="AF42" s="12">
        <v>116.3050214</v>
      </c>
      <c r="AG42" s="7" t="s">
        <v>107</v>
      </c>
    </row>
    <row r="43" spans="1:33" s="11" customFormat="1" outlineLevel="1" x14ac:dyDescent="0.3">
      <c r="A43" s="11" t="s">
        <v>49</v>
      </c>
      <c r="B43" s="12">
        <v>3.1476855000000001</v>
      </c>
      <c r="C43" s="12">
        <v>86.6</v>
      </c>
      <c r="D43" s="12">
        <v>2.0344042999999998</v>
      </c>
      <c r="E43" s="17">
        <v>4</v>
      </c>
      <c r="F43" s="13">
        <v>74.953333299999997</v>
      </c>
      <c r="G43" s="12">
        <v>28.595547</v>
      </c>
      <c r="H43" s="12">
        <v>20.504957000000001</v>
      </c>
      <c r="I43" s="12">
        <v>0.4168692</v>
      </c>
      <c r="J43" s="12">
        <v>4.4000019999999997</v>
      </c>
      <c r="K43" s="12">
        <v>13.1</v>
      </c>
      <c r="L43" s="12">
        <v>1.9</v>
      </c>
      <c r="M43" s="12">
        <v>17.8</v>
      </c>
      <c r="N43" s="12">
        <v>-4.9000000000000004</v>
      </c>
      <c r="O43" s="12">
        <v>17.2</v>
      </c>
      <c r="P43" s="7">
        <v>21561.1</v>
      </c>
      <c r="Q43" s="7">
        <v>1221.2</v>
      </c>
      <c r="R43" s="7">
        <v>5.4</v>
      </c>
      <c r="S43" s="12">
        <v>31.071717499999998</v>
      </c>
      <c r="T43" s="12">
        <v>8</v>
      </c>
      <c r="U43" s="12">
        <v>35.147820099999997</v>
      </c>
      <c r="V43" s="12">
        <v>6.9329000000000001</v>
      </c>
      <c r="W43" s="12">
        <v>6.7376765000000001</v>
      </c>
      <c r="X43" s="7" t="s">
        <v>107</v>
      </c>
      <c r="Y43" s="7" t="s">
        <v>107</v>
      </c>
      <c r="Z43" s="12">
        <v>-0.78963589999999995</v>
      </c>
      <c r="AA43" s="12">
        <v>55.317613399999999</v>
      </c>
      <c r="AB43" s="12">
        <v>15.3141053</v>
      </c>
      <c r="AC43" s="12">
        <v>32.076577999999998</v>
      </c>
      <c r="AD43" s="12">
        <v>44.348610499999999</v>
      </c>
      <c r="AE43" s="12">
        <v>47.056907299999999</v>
      </c>
      <c r="AF43" s="12">
        <v>102.02523100000001</v>
      </c>
      <c r="AG43" s="7" t="s">
        <v>107</v>
      </c>
    </row>
    <row r="44" spans="1:33" s="11" customFormat="1" outlineLevel="1" x14ac:dyDescent="0.3">
      <c r="A44" s="11" t="s">
        <v>50</v>
      </c>
      <c r="B44" s="12">
        <v>2.7223932</v>
      </c>
      <c r="C44" s="12">
        <v>87.72</v>
      </c>
      <c r="D44" s="12">
        <v>2.998043</v>
      </c>
      <c r="E44" s="17">
        <v>4</v>
      </c>
      <c r="F44" s="13">
        <v>88.56</v>
      </c>
      <c r="G44" s="12">
        <v>38.781312100000001</v>
      </c>
      <c r="H44" s="12">
        <v>29.782000799999999</v>
      </c>
      <c r="I44" s="12">
        <v>-6.2794637</v>
      </c>
      <c r="J44" s="12">
        <v>6.9000045999999999</v>
      </c>
      <c r="K44" s="12">
        <v>18.8</v>
      </c>
      <c r="L44" s="12">
        <v>2.2000000000000002</v>
      </c>
      <c r="M44" s="12">
        <v>31.6</v>
      </c>
      <c r="N44" s="12">
        <v>1.1000000000000001</v>
      </c>
      <c r="O44" s="12">
        <v>29.7</v>
      </c>
      <c r="P44" s="7">
        <v>20400.7</v>
      </c>
      <c r="Q44" s="7">
        <v>1513.6</v>
      </c>
      <c r="R44" s="7">
        <v>6.9</v>
      </c>
      <c r="S44" s="12">
        <v>33.598152800000001</v>
      </c>
      <c r="T44" s="12">
        <v>8</v>
      </c>
      <c r="U44" s="12">
        <v>37.568522299999998</v>
      </c>
      <c r="V44" s="12">
        <v>7.3143666999999999</v>
      </c>
      <c r="W44" s="12">
        <v>5.9959118</v>
      </c>
      <c r="X44" s="7" t="s">
        <v>107</v>
      </c>
      <c r="Y44" s="7" t="s">
        <v>107</v>
      </c>
      <c r="Z44" s="12">
        <v>-7.6543282000000001</v>
      </c>
      <c r="AA44" s="12">
        <v>61.5949144</v>
      </c>
      <c r="AB44" s="12">
        <v>19.801473399999999</v>
      </c>
      <c r="AC44" s="12">
        <v>28.342400300000001</v>
      </c>
      <c r="AD44" s="12">
        <v>40.737052300000002</v>
      </c>
      <c r="AE44" s="12">
        <v>50.475840300000002</v>
      </c>
      <c r="AF44" s="12">
        <v>95.569481499999995</v>
      </c>
      <c r="AG44" s="7" t="s">
        <v>107</v>
      </c>
    </row>
    <row r="45" spans="1:33" s="11" customFormat="1" outlineLevel="1" x14ac:dyDescent="0.3">
      <c r="A45" s="11" t="s">
        <v>51</v>
      </c>
      <c r="B45" s="12">
        <v>1.9060995000000001</v>
      </c>
      <c r="C45" s="12">
        <v>88.42</v>
      </c>
      <c r="D45" s="12">
        <v>3.5484249000000001</v>
      </c>
      <c r="E45" s="17">
        <v>4</v>
      </c>
      <c r="F45" s="13">
        <v>96.936666700000004</v>
      </c>
      <c r="G45" s="12">
        <v>48.614757900000001</v>
      </c>
      <c r="H45" s="12">
        <v>40.241005999999999</v>
      </c>
      <c r="I45" s="12">
        <v>2.9614172999999999</v>
      </c>
      <c r="J45" s="12">
        <v>8.4999961000000006</v>
      </c>
      <c r="K45" s="12">
        <v>23.6</v>
      </c>
      <c r="L45" s="12">
        <v>-0.9</v>
      </c>
      <c r="M45" s="12">
        <v>19.7</v>
      </c>
      <c r="N45" s="12">
        <v>0.1</v>
      </c>
      <c r="O45" s="12">
        <v>19.3</v>
      </c>
      <c r="P45" s="7">
        <v>20715.2</v>
      </c>
      <c r="Q45" s="7">
        <v>1578.2</v>
      </c>
      <c r="R45" s="7">
        <v>7.1</v>
      </c>
      <c r="S45" s="12">
        <v>39.408708599999997</v>
      </c>
      <c r="T45" s="12">
        <v>10</v>
      </c>
      <c r="U45" s="12">
        <v>40.700876200000003</v>
      </c>
      <c r="V45" s="12">
        <v>7.5587333000000001</v>
      </c>
      <c r="W45" s="12">
        <v>4.6540881000000001</v>
      </c>
      <c r="X45" s="7" t="s">
        <v>107</v>
      </c>
      <c r="Y45" s="7" t="s">
        <v>107</v>
      </c>
      <c r="Z45" s="12">
        <v>-9.6669522000000008</v>
      </c>
      <c r="AA45" s="12">
        <v>67.432714000000004</v>
      </c>
      <c r="AB45" s="12">
        <v>16.9534992</v>
      </c>
      <c r="AC45" s="12">
        <v>27.2538768</v>
      </c>
      <c r="AD45" s="12">
        <v>46.232352599999999</v>
      </c>
      <c r="AE45" s="12">
        <v>57.872442700000001</v>
      </c>
      <c r="AF45" s="12">
        <v>96.842376599999994</v>
      </c>
      <c r="AG45" s="7" t="s">
        <v>107</v>
      </c>
    </row>
    <row r="46" spans="1:33" s="11" customFormat="1" outlineLevel="1" x14ac:dyDescent="0.3">
      <c r="A46" s="11" t="s">
        <v>52</v>
      </c>
      <c r="B46" s="12">
        <v>1.9101475000000001</v>
      </c>
      <c r="C46" s="12">
        <v>89.906666700000002</v>
      </c>
      <c r="D46" s="12">
        <v>3.9383430000000001</v>
      </c>
      <c r="E46" s="17">
        <v>4</v>
      </c>
      <c r="F46" s="13">
        <v>121.3966667</v>
      </c>
      <c r="G46" s="12">
        <v>41.479291000000003</v>
      </c>
      <c r="H46" s="12">
        <v>46.813444199999999</v>
      </c>
      <c r="I46" s="12">
        <v>0.37037189999999998</v>
      </c>
      <c r="J46" s="12">
        <v>6.2000079000000001</v>
      </c>
      <c r="K46" s="12">
        <v>12.6</v>
      </c>
      <c r="L46" s="12">
        <v>2.2000000000000002</v>
      </c>
      <c r="M46" s="12">
        <v>29.4</v>
      </c>
      <c r="N46" s="12">
        <v>13.8</v>
      </c>
      <c r="O46" s="12">
        <v>29.7</v>
      </c>
      <c r="P46" s="7">
        <v>21425.599999999999</v>
      </c>
      <c r="Q46" s="7">
        <v>1224.2</v>
      </c>
      <c r="R46" s="7">
        <v>5.4</v>
      </c>
      <c r="S46" s="12">
        <v>39.368188199999999</v>
      </c>
      <c r="T46" s="12">
        <v>12</v>
      </c>
      <c r="U46" s="12">
        <v>43.881060400000003</v>
      </c>
      <c r="V46" s="12">
        <v>7.7515726999999996</v>
      </c>
      <c r="W46" s="12">
        <v>2.8343023999999999</v>
      </c>
      <c r="X46" s="7" t="s">
        <v>107</v>
      </c>
      <c r="Y46" s="7" t="s">
        <v>107</v>
      </c>
      <c r="Z46" s="12">
        <v>-6.9822832000000004</v>
      </c>
      <c r="AA46" s="12">
        <v>58.949807800000002</v>
      </c>
      <c r="AB46" s="12">
        <v>18.223299300000001</v>
      </c>
      <c r="AC46" s="12">
        <v>30.944401800000001</v>
      </c>
      <c r="AD46" s="12">
        <v>49.416818800000001</v>
      </c>
      <c r="AE46" s="12">
        <v>57.5343278</v>
      </c>
      <c r="AF46" s="12">
        <v>77.653522800000005</v>
      </c>
      <c r="AG46" s="7" t="s">
        <v>107</v>
      </c>
    </row>
    <row r="47" spans="1:33" s="11" customFormat="1" outlineLevel="1" x14ac:dyDescent="0.3">
      <c r="A47" s="11" t="s">
        <v>53</v>
      </c>
      <c r="B47" s="12">
        <v>0.87131639999999999</v>
      </c>
      <c r="C47" s="12">
        <v>90.323333300000002</v>
      </c>
      <c r="D47" s="12">
        <v>4.2994611000000003</v>
      </c>
      <c r="E47" s="17">
        <v>4.25</v>
      </c>
      <c r="F47" s="13">
        <v>114.3966667</v>
      </c>
      <c r="G47" s="12">
        <v>36.254073599999998</v>
      </c>
      <c r="H47" s="12">
        <v>43.620181000000002</v>
      </c>
      <c r="I47" s="12">
        <v>1.9218200000000001</v>
      </c>
      <c r="J47" s="12">
        <v>4.2999953</v>
      </c>
      <c r="K47" s="12">
        <v>14.4</v>
      </c>
      <c r="L47" s="12">
        <v>-5.3</v>
      </c>
      <c r="M47" s="12">
        <v>12.7</v>
      </c>
      <c r="N47" s="12">
        <v>21</v>
      </c>
      <c r="O47" s="12">
        <v>34.799999999999997</v>
      </c>
      <c r="P47" s="7">
        <v>21611.3</v>
      </c>
      <c r="Q47" s="7">
        <v>1260.8</v>
      </c>
      <c r="R47" s="7">
        <v>5.5</v>
      </c>
      <c r="S47" s="12">
        <v>34.717219399999998</v>
      </c>
      <c r="T47" s="12">
        <v>12</v>
      </c>
      <c r="U47" s="12">
        <v>44.214051099999999</v>
      </c>
      <c r="V47" s="12">
        <v>7.3057333</v>
      </c>
      <c r="W47" s="12">
        <v>-0.62659549999999997</v>
      </c>
      <c r="X47" s="7" t="s">
        <v>107</v>
      </c>
      <c r="Y47" s="7" t="s">
        <v>107</v>
      </c>
      <c r="Z47" s="12">
        <v>-3.6537750999999998</v>
      </c>
      <c r="AA47" s="12">
        <v>56.003776500000001</v>
      </c>
      <c r="AB47" s="12">
        <v>14.266181</v>
      </c>
      <c r="AC47" s="12">
        <v>34.163378000000002</v>
      </c>
      <c r="AD47" s="12">
        <v>47.812089700000001</v>
      </c>
      <c r="AE47" s="12">
        <v>52.245424999999997</v>
      </c>
      <c r="AF47" s="12">
        <v>59.3536967</v>
      </c>
      <c r="AG47" s="7" t="s">
        <v>107</v>
      </c>
    </row>
    <row r="48" spans="1:33" s="11" customFormat="1" outlineLevel="1" x14ac:dyDescent="0.3">
      <c r="A48" s="11" t="s">
        <v>54</v>
      </c>
      <c r="B48" s="12">
        <v>-1.9881508000000001</v>
      </c>
      <c r="C48" s="12">
        <v>90.23</v>
      </c>
      <c r="D48" s="12">
        <v>2.8613770999999999</v>
      </c>
      <c r="E48" s="17">
        <v>3.1666666999999999</v>
      </c>
      <c r="F48" s="13">
        <v>54.66</v>
      </c>
      <c r="G48" s="12">
        <v>29.5320772</v>
      </c>
      <c r="H48" s="12">
        <v>16.982912899999999</v>
      </c>
      <c r="I48" s="12">
        <v>-10.6672282</v>
      </c>
      <c r="J48" s="12">
        <v>-7.8000017000000001</v>
      </c>
      <c r="K48" s="12">
        <v>4.7</v>
      </c>
      <c r="L48" s="12">
        <v>7.4</v>
      </c>
      <c r="M48" s="12">
        <v>-44.3</v>
      </c>
      <c r="N48" s="12">
        <v>-13.2</v>
      </c>
      <c r="O48" s="12">
        <v>-11.8</v>
      </c>
      <c r="P48" s="7">
        <v>20137.099999999999</v>
      </c>
      <c r="Q48" s="7">
        <v>1637.2</v>
      </c>
      <c r="R48" s="7">
        <v>7.5</v>
      </c>
      <c r="S48" s="12">
        <v>23.8697956</v>
      </c>
      <c r="T48" s="12">
        <v>12</v>
      </c>
      <c r="U48" s="12">
        <v>46.0536812</v>
      </c>
      <c r="V48" s="12">
        <v>8.2159560000000003</v>
      </c>
      <c r="W48" s="12">
        <v>-24.191129199999999</v>
      </c>
      <c r="X48" s="7" t="s">
        <v>107</v>
      </c>
      <c r="Y48" s="7" t="s">
        <v>107</v>
      </c>
      <c r="Z48" s="12">
        <v>-9.4396529000000005</v>
      </c>
      <c r="AA48" s="12">
        <v>68.275347800000006</v>
      </c>
      <c r="AB48" s="12">
        <v>22.224133900000002</v>
      </c>
      <c r="AC48" s="12">
        <v>18.5237984</v>
      </c>
      <c r="AD48" s="12">
        <v>44.047633699999999</v>
      </c>
      <c r="AE48" s="12">
        <v>53.070913900000001</v>
      </c>
      <c r="AF48" s="12">
        <v>74.883797400000006</v>
      </c>
      <c r="AG48" s="7" t="s">
        <v>107</v>
      </c>
    </row>
    <row r="49" spans="1:33" s="11" customFormat="1" outlineLevel="1" x14ac:dyDescent="0.3">
      <c r="A49" s="11" t="s">
        <v>55</v>
      </c>
      <c r="B49" s="12">
        <v>-5.4359460999999998</v>
      </c>
      <c r="C49" s="12">
        <v>89.88</v>
      </c>
      <c r="D49" s="12">
        <v>1.6512100999999999</v>
      </c>
      <c r="E49" s="17">
        <v>1.8333333000000001</v>
      </c>
      <c r="F49" s="13">
        <v>44.433333300000001</v>
      </c>
      <c r="G49" s="12">
        <v>17.4001421</v>
      </c>
      <c r="H49" s="12">
        <v>6.4920711000000004</v>
      </c>
      <c r="I49" s="12">
        <v>-3.9306300000000002E-2</v>
      </c>
      <c r="J49" s="12">
        <v>-19.600000000000001</v>
      </c>
      <c r="K49" s="12">
        <v>-14.5</v>
      </c>
      <c r="L49" s="12">
        <v>0.2</v>
      </c>
      <c r="M49" s="12">
        <v>-75.5</v>
      </c>
      <c r="N49" s="12">
        <v>-22.2</v>
      </c>
      <c r="O49" s="12">
        <v>-37.4</v>
      </c>
      <c r="P49" s="7">
        <v>20005.099999999999</v>
      </c>
      <c r="Q49" s="7">
        <v>2096.9</v>
      </c>
      <c r="R49" s="7">
        <v>9.5</v>
      </c>
      <c r="S49" s="12">
        <v>7.1885950999999997</v>
      </c>
      <c r="T49" s="12">
        <v>12</v>
      </c>
      <c r="U49" s="12">
        <v>48.995824800000001</v>
      </c>
      <c r="V49" s="12">
        <v>10.0648733</v>
      </c>
      <c r="W49" s="12">
        <v>-28.365384599999999</v>
      </c>
      <c r="X49" s="12">
        <v>-25.1642452</v>
      </c>
      <c r="Y49" s="12">
        <v>-36.585039799999997</v>
      </c>
      <c r="Z49" s="12">
        <v>-2.6110945999999999</v>
      </c>
      <c r="AA49" s="12">
        <v>70.3668239</v>
      </c>
      <c r="AB49" s="12">
        <v>20.850350200000001</v>
      </c>
      <c r="AC49" s="12">
        <v>11.902998500000001</v>
      </c>
      <c r="AD49" s="12">
        <v>46.021753400000001</v>
      </c>
      <c r="AE49" s="12">
        <v>49.141926099999999</v>
      </c>
      <c r="AF49" s="12">
        <v>45.055765800000003</v>
      </c>
      <c r="AG49" s="7" t="s">
        <v>107</v>
      </c>
    </row>
    <row r="50" spans="1:33" s="11" customFormat="1" outlineLevel="1" x14ac:dyDescent="0.3">
      <c r="A50" s="11" t="s">
        <v>56</v>
      </c>
      <c r="B50" s="12">
        <v>-5.8020649999999998</v>
      </c>
      <c r="C50" s="12">
        <v>90.723333299999993</v>
      </c>
      <c r="D50" s="12">
        <v>0.90834930000000003</v>
      </c>
      <c r="E50" s="17">
        <v>1.0833333000000001</v>
      </c>
      <c r="F50" s="13">
        <v>58.696666700000002</v>
      </c>
      <c r="G50" s="12">
        <v>6.3049505999999997</v>
      </c>
      <c r="H50" s="12">
        <v>-12.548254</v>
      </c>
      <c r="I50" s="12">
        <v>-6.1559622999999997</v>
      </c>
      <c r="J50" s="12">
        <v>-17.299999199999998</v>
      </c>
      <c r="K50" s="12">
        <v>-14.5</v>
      </c>
      <c r="L50" s="12">
        <v>-1.6</v>
      </c>
      <c r="M50" s="12">
        <v>-74.099999999999994</v>
      </c>
      <c r="N50" s="12">
        <v>-34.1</v>
      </c>
      <c r="O50" s="12">
        <v>-52.3</v>
      </c>
      <c r="P50" s="7">
        <v>20348.5</v>
      </c>
      <c r="Q50" s="7">
        <v>1923.9</v>
      </c>
      <c r="R50" s="7">
        <v>8.6</v>
      </c>
      <c r="S50" s="12">
        <v>5.2588634000000001</v>
      </c>
      <c r="T50" s="12">
        <v>11</v>
      </c>
      <c r="U50" s="12">
        <v>50.493823800000001</v>
      </c>
      <c r="V50" s="12">
        <v>10.4116733</v>
      </c>
      <c r="W50" s="12">
        <v>-28.1507656</v>
      </c>
      <c r="X50" s="12">
        <v>-38.911096200000003</v>
      </c>
      <c r="Y50" s="12">
        <v>-47.048051100000002</v>
      </c>
      <c r="Z50" s="12">
        <v>-0.58645849999999999</v>
      </c>
      <c r="AA50" s="12">
        <v>65.095304600000006</v>
      </c>
      <c r="AB50" s="12">
        <v>22.732049499999999</v>
      </c>
      <c r="AC50" s="12">
        <v>12.8526924</v>
      </c>
      <c r="AD50" s="12">
        <v>44.5533225</v>
      </c>
      <c r="AE50" s="12">
        <v>45.233369000000003</v>
      </c>
      <c r="AF50" s="12">
        <v>28.225257899999999</v>
      </c>
      <c r="AG50" s="7" t="s">
        <v>107</v>
      </c>
    </row>
    <row r="51" spans="1:33" s="11" customFormat="1" outlineLevel="1" x14ac:dyDescent="0.3">
      <c r="A51" s="11" t="s">
        <v>57</v>
      </c>
      <c r="B51" s="12">
        <v>-4.1677857999999999</v>
      </c>
      <c r="C51" s="12">
        <v>90.663333300000005</v>
      </c>
      <c r="D51" s="12">
        <v>0.37642540000000002</v>
      </c>
      <c r="E51" s="17">
        <v>1</v>
      </c>
      <c r="F51" s="13">
        <v>68.2</v>
      </c>
      <c r="G51" s="12">
        <v>-1.3211302</v>
      </c>
      <c r="H51" s="12">
        <v>-21.6153774</v>
      </c>
      <c r="I51" s="12">
        <v>-4.5125166999999999</v>
      </c>
      <c r="J51" s="12">
        <v>-15.7000057</v>
      </c>
      <c r="K51" s="12">
        <v>-14.3</v>
      </c>
      <c r="L51" s="12">
        <v>-4.3</v>
      </c>
      <c r="M51" s="12">
        <v>-52.6</v>
      </c>
      <c r="N51" s="12">
        <v>-30.9</v>
      </c>
      <c r="O51" s="12">
        <v>-47.6</v>
      </c>
      <c r="P51" s="7">
        <v>20738.7</v>
      </c>
      <c r="Q51" s="7">
        <v>1762</v>
      </c>
      <c r="R51" s="7">
        <v>7.8</v>
      </c>
      <c r="S51" s="12">
        <v>3.0167055</v>
      </c>
      <c r="T51" s="12">
        <v>10.25</v>
      </c>
      <c r="U51" s="12">
        <v>50.963582500000001</v>
      </c>
      <c r="V51" s="12">
        <v>11.1828167</v>
      </c>
      <c r="W51" s="12">
        <v>-22.956562399999999</v>
      </c>
      <c r="X51" s="12">
        <v>-43.841092400000001</v>
      </c>
      <c r="Y51" s="12">
        <v>-48.246851300000003</v>
      </c>
      <c r="Z51" s="12">
        <v>-0.1592904</v>
      </c>
      <c r="AA51" s="12">
        <v>61.858285500000001</v>
      </c>
      <c r="AB51" s="12">
        <v>16.475434100000001</v>
      </c>
      <c r="AC51" s="12">
        <v>22.103745</v>
      </c>
      <c r="AD51" s="12">
        <v>45.928583400000001</v>
      </c>
      <c r="AE51" s="12">
        <v>46.366047999999999</v>
      </c>
      <c r="AF51" s="12">
        <v>18.1253204</v>
      </c>
      <c r="AG51" s="7" t="s">
        <v>107</v>
      </c>
    </row>
    <row r="52" spans="1:33" s="11" customFormat="1" outlineLevel="1" x14ac:dyDescent="0.3">
      <c r="A52" s="11" t="s">
        <v>58</v>
      </c>
      <c r="B52" s="12">
        <v>-1.8288317999999999</v>
      </c>
      <c r="C52" s="12">
        <v>91.146666699999997</v>
      </c>
      <c r="D52" s="12">
        <v>1.0159222999999999</v>
      </c>
      <c r="E52" s="17">
        <v>1</v>
      </c>
      <c r="F52" s="13">
        <v>74.63</v>
      </c>
      <c r="G52" s="12">
        <v>-14.3688629</v>
      </c>
      <c r="H52" s="12">
        <v>-2.3533005</v>
      </c>
      <c r="I52" s="12">
        <v>-4.8896533</v>
      </c>
      <c r="J52" s="12">
        <v>-6.7000042000000004</v>
      </c>
      <c r="K52" s="12">
        <v>-16.2</v>
      </c>
      <c r="L52" s="12">
        <v>-3.7</v>
      </c>
      <c r="M52" s="12">
        <v>-11.6</v>
      </c>
      <c r="N52" s="12">
        <v>6.9</v>
      </c>
      <c r="O52" s="12">
        <v>-11.1</v>
      </c>
      <c r="P52" s="7">
        <v>19673.7</v>
      </c>
      <c r="Q52" s="7">
        <v>2052.4</v>
      </c>
      <c r="R52" s="7">
        <v>9.4</v>
      </c>
      <c r="S52" s="12">
        <v>6.9185238</v>
      </c>
      <c r="T52" s="12">
        <v>10.25</v>
      </c>
      <c r="U52" s="12">
        <v>52.196898099999999</v>
      </c>
      <c r="V52" s="12">
        <v>11.812193300000001</v>
      </c>
      <c r="W52" s="12">
        <v>0.2261165</v>
      </c>
      <c r="X52" s="12">
        <v>-19.565511399999998</v>
      </c>
      <c r="Y52" s="12">
        <v>-29.837979000000001</v>
      </c>
      <c r="Z52" s="12">
        <v>-2.7055291000000001</v>
      </c>
      <c r="AA52" s="12">
        <v>62.173153499999998</v>
      </c>
      <c r="AB52" s="12">
        <v>21.042830500000001</v>
      </c>
      <c r="AC52" s="12">
        <v>19.4184096</v>
      </c>
      <c r="AD52" s="12">
        <v>48.562568300000002</v>
      </c>
      <c r="AE52" s="12">
        <v>51.196961999999999</v>
      </c>
      <c r="AF52" s="12">
        <v>-13.9903016</v>
      </c>
      <c r="AG52" s="7" t="s">
        <v>107</v>
      </c>
    </row>
    <row r="53" spans="1:33" s="11" customFormat="1" outlineLevel="1" x14ac:dyDescent="0.3">
      <c r="A53" s="11" t="s">
        <v>59</v>
      </c>
      <c r="B53" s="12">
        <v>1.1991562</v>
      </c>
      <c r="C53" s="12">
        <v>91.416666699999993</v>
      </c>
      <c r="D53" s="12">
        <v>1.709687</v>
      </c>
      <c r="E53" s="17">
        <v>1</v>
      </c>
      <c r="F53" s="13">
        <v>76.25</v>
      </c>
      <c r="G53" s="12">
        <v>8.7032395000000005</v>
      </c>
      <c r="H53" s="12">
        <v>2.1803246000000001</v>
      </c>
      <c r="I53" s="12">
        <v>-2.0097934999999998</v>
      </c>
      <c r="J53" s="12">
        <v>4.4999979999999997</v>
      </c>
      <c r="K53" s="12">
        <v>0.2</v>
      </c>
      <c r="L53" s="12">
        <v>3.8</v>
      </c>
      <c r="M53" s="12">
        <v>17.7</v>
      </c>
      <c r="N53" s="12">
        <v>0.4</v>
      </c>
      <c r="O53" s="12">
        <v>-6.2</v>
      </c>
      <c r="P53" s="7">
        <v>20088.400000000001</v>
      </c>
      <c r="Q53" s="7">
        <v>1983.8</v>
      </c>
      <c r="R53" s="7">
        <v>9</v>
      </c>
      <c r="S53" s="12">
        <v>17.2</v>
      </c>
      <c r="T53" s="12">
        <v>10.25</v>
      </c>
      <c r="U53" s="12">
        <v>54.4918434</v>
      </c>
      <c r="V53" s="12">
        <v>11.068247</v>
      </c>
      <c r="W53" s="12">
        <v>11.946308699999999</v>
      </c>
      <c r="X53" s="12">
        <v>15.0846509</v>
      </c>
      <c r="Y53" s="12">
        <v>10.0199365</v>
      </c>
      <c r="Z53" s="12">
        <v>-0.1323472</v>
      </c>
      <c r="AA53" s="12">
        <v>68.605432500000006</v>
      </c>
      <c r="AB53" s="12">
        <v>20.899183600000001</v>
      </c>
      <c r="AC53" s="12">
        <v>11.606822299999999</v>
      </c>
      <c r="AD53" s="12">
        <v>51.593291800000003</v>
      </c>
      <c r="AE53" s="12">
        <v>52.718536899999997</v>
      </c>
      <c r="AF53" s="12">
        <v>-13.898671800000001</v>
      </c>
      <c r="AG53" s="7" t="s">
        <v>107</v>
      </c>
    </row>
    <row r="54" spans="1:33" s="11" customFormat="1" outlineLevel="1" x14ac:dyDescent="0.3">
      <c r="A54" s="11" t="s">
        <v>60</v>
      </c>
      <c r="B54" s="12">
        <v>2.6157658000000001</v>
      </c>
      <c r="C54" s="12">
        <v>92.57</v>
      </c>
      <c r="D54" s="12">
        <v>2.0354926</v>
      </c>
      <c r="E54" s="17">
        <v>1</v>
      </c>
      <c r="F54" s="13">
        <v>78.510000000000005</v>
      </c>
      <c r="G54" s="12">
        <v>25.554799500000001</v>
      </c>
      <c r="H54" s="12">
        <v>19.3450007</v>
      </c>
      <c r="I54" s="12">
        <v>-8.0280736000000008</v>
      </c>
      <c r="J54" s="12">
        <v>5.3999955000000002</v>
      </c>
      <c r="K54" s="12">
        <v>6.8</v>
      </c>
      <c r="L54" s="12">
        <v>-4</v>
      </c>
      <c r="M54" s="12">
        <v>30.6</v>
      </c>
      <c r="N54" s="12">
        <v>13.2</v>
      </c>
      <c r="O54" s="12">
        <v>17.2</v>
      </c>
      <c r="P54" s="7">
        <v>20338.8</v>
      </c>
      <c r="Q54" s="7">
        <v>1754.4</v>
      </c>
      <c r="R54" s="7">
        <v>7.9</v>
      </c>
      <c r="S54" s="12">
        <v>20</v>
      </c>
      <c r="T54" s="12">
        <v>9.5</v>
      </c>
      <c r="U54" s="12">
        <v>54.701280599999997</v>
      </c>
      <c r="V54" s="12">
        <v>10.100587300000001</v>
      </c>
      <c r="W54" s="12">
        <v>15.3442623</v>
      </c>
      <c r="X54" s="12">
        <v>44.127687399999999</v>
      </c>
      <c r="Y54" s="12">
        <v>38.274681000000001</v>
      </c>
      <c r="Z54" s="12">
        <v>1.5674824999999999</v>
      </c>
      <c r="AA54" s="12">
        <v>63.322479800000004</v>
      </c>
      <c r="AB54" s="12">
        <v>20.815255100000002</v>
      </c>
      <c r="AC54" s="12">
        <v>14.572703799999999</v>
      </c>
      <c r="AD54" s="12">
        <v>52.405415300000001</v>
      </c>
      <c r="AE54" s="12">
        <v>51.1158541</v>
      </c>
      <c r="AF54" s="12">
        <v>-13.133613</v>
      </c>
      <c r="AG54" s="7" t="s">
        <v>107</v>
      </c>
    </row>
    <row r="55" spans="1:33" s="11" customFormat="1" outlineLevel="1" x14ac:dyDescent="0.3">
      <c r="A55" s="11" t="s">
        <v>61</v>
      </c>
      <c r="B55" s="12">
        <v>2.4618717000000001</v>
      </c>
      <c r="C55" s="12">
        <v>92.583333300000007</v>
      </c>
      <c r="D55" s="12">
        <v>2.1177248999999998</v>
      </c>
      <c r="E55" s="17">
        <v>1</v>
      </c>
      <c r="F55" s="13">
        <v>76.819999999999993</v>
      </c>
      <c r="G55" s="12">
        <v>23.105381300000001</v>
      </c>
      <c r="H55" s="12">
        <v>9.6897567999999996</v>
      </c>
      <c r="I55" s="12">
        <v>-7.4602906000000004</v>
      </c>
      <c r="J55" s="12">
        <v>3.2999984000000002</v>
      </c>
      <c r="K55" s="12">
        <v>7.8</v>
      </c>
      <c r="L55" s="12">
        <v>5.8</v>
      </c>
      <c r="M55" s="12">
        <v>13.9</v>
      </c>
      <c r="N55" s="12">
        <v>2</v>
      </c>
      <c r="O55" s="12">
        <v>20.2</v>
      </c>
      <c r="P55" s="7">
        <v>20776.400000000001</v>
      </c>
      <c r="Q55" s="7">
        <v>1583.8</v>
      </c>
      <c r="R55" s="7">
        <v>7.08</v>
      </c>
      <c r="S55" s="12">
        <v>21.1</v>
      </c>
      <c r="T55" s="12">
        <v>7.75</v>
      </c>
      <c r="U55" s="12">
        <v>55.302880299999998</v>
      </c>
      <c r="V55" s="12">
        <v>10.1768877</v>
      </c>
      <c r="W55" s="12">
        <v>10.1849045</v>
      </c>
      <c r="X55" s="12">
        <v>37.5548565</v>
      </c>
      <c r="Y55" s="12">
        <v>46.644121800000001</v>
      </c>
      <c r="Z55" s="12">
        <v>-2.5780558999999998</v>
      </c>
      <c r="AA55" s="12">
        <v>60.560462800000003</v>
      </c>
      <c r="AB55" s="12">
        <v>16.583513400000001</v>
      </c>
      <c r="AC55" s="12">
        <v>26.354435299999999</v>
      </c>
      <c r="AD55" s="12">
        <v>48.319507700000003</v>
      </c>
      <c r="AE55" s="12">
        <v>51.8179193</v>
      </c>
      <c r="AF55" s="12">
        <v>-13.3064027</v>
      </c>
      <c r="AG55" s="7" t="s">
        <v>107</v>
      </c>
    </row>
    <row r="56" spans="1:33" s="11" customFormat="1" outlineLevel="1" x14ac:dyDescent="0.3">
      <c r="A56" s="11" t="s">
        <v>62</v>
      </c>
      <c r="B56" s="12">
        <v>2.3931737000000002</v>
      </c>
      <c r="C56" s="12">
        <v>93.383333300000004</v>
      </c>
      <c r="D56" s="12">
        <v>2.4539203000000001</v>
      </c>
      <c r="E56" s="17">
        <v>1</v>
      </c>
      <c r="F56" s="13">
        <v>86.466666700000005</v>
      </c>
      <c r="G56" s="12">
        <v>28.440536999999999</v>
      </c>
      <c r="H56" s="12">
        <v>27.275048600000002</v>
      </c>
      <c r="I56" s="12">
        <v>-5.6077233</v>
      </c>
      <c r="J56" s="12">
        <v>3.7000074000000001</v>
      </c>
      <c r="K56" s="12">
        <v>12.8</v>
      </c>
      <c r="L56" s="12">
        <v>10</v>
      </c>
      <c r="M56" s="12">
        <v>3.3</v>
      </c>
      <c r="N56" s="12">
        <v>0.9</v>
      </c>
      <c r="O56" s="12">
        <v>13.2</v>
      </c>
      <c r="P56" s="7">
        <v>19860.400000000001</v>
      </c>
      <c r="Q56" s="7">
        <v>1820.4</v>
      </c>
      <c r="R56" s="7">
        <v>8.4</v>
      </c>
      <c r="S56" s="12">
        <v>21.4</v>
      </c>
      <c r="T56" s="12">
        <v>7.75</v>
      </c>
      <c r="U56" s="12">
        <v>57.132088600000003</v>
      </c>
      <c r="V56" s="12">
        <v>10.785999</v>
      </c>
      <c r="W56" s="12">
        <v>11.421319799999999</v>
      </c>
      <c r="X56" s="12">
        <v>34.444519700000001</v>
      </c>
      <c r="Y56" s="12">
        <v>46.001516000000002</v>
      </c>
      <c r="Z56" s="12">
        <v>-6.4658002000000003</v>
      </c>
      <c r="AA56" s="12">
        <v>65.156633400000004</v>
      </c>
      <c r="AB56" s="12">
        <v>23.1331238</v>
      </c>
      <c r="AC56" s="12">
        <v>18.839292100000002</v>
      </c>
      <c r="AD56" s="12">
        <v>51.1406609</v>
      </c>
      <c r="AE56" s="12">
        <v>58.269710199999999</v>
      </c>
      <c r="AF56" s="12">
        <v>-13.144198400000001</v>
      </c>
      <c r="AG56" s="7" t="s">
        <v>107</v>
      </c>
    </row>
    <row r="57" spans="1:33" s="11" customFormat="1" outlineLevel="1" x14ac:dyDescent="0.3">
      <c r="A57" s="11" t="s">
        <v>63</v>
      </c>
      <c r="B57" s="12">
        <v>3.2110127999999998</v>
      </c>
      <c r="C57" s="12">
        <v>94.073333300000002</v>
      </c>
      <c r="D57" s="12">
        <v>2.9061075000000001</v>
      </c>
      <c r="E57" s="17">
        <v>1</v>
      </c>
      <c r="F57" s="13">
        <v>104.96</v>
      </c>
      <c r="G57" s="12">
        <v>19.0710123</v>
      </c>
      <c r="H57" s="12">
        <v>25.754545100000001</v>
      </c>
      <c r="I57" s="12">
        <v>-0.27642600000000001</v>
      </c>
      <c r="J57" s="12">
        <v>5.0999894000000001</v>
      </c>
      <c r="K57" s="12">
        <v>13.2</v>
      </c>
      <c r="L57" s="12">
        <v>2</v>
      </c>
      <c r="M57" s="12">
        <v>43.2</v>
      </c>
      <c r="N57" s="12">
        <v>19.399999999999999</v>
      </c>
      <c r="O57" s="12">
        <v>38.1</v>
      </c>
      <c r="P57" s="7">
        <v>20108.2</v>
      </c>
      <c r="Q57" s="7">
        <v>1924.9</v>
      </c>
      <c r="R57" s="7">
        <v>8.6999999999999993</v>
      </c>
      <c r="S57" s="12">
        <v>19.832775900000001</v>
      </c>
      <c r="T57" s="12">
        <v>7.75</v>
      </c>
      <c r="U57" s="12">
        <v>58.689914700000003</v>
      </c>
      <c r="V57" s="12">
        <v>10.849167</v>
      </c>
      <c r="W57" s="12">
        <v>9.4424460000000003</v>
      </c>
      <c r="X57" s="12">
        <v>41.0306134</v>
      </c>
      <c r="Y57" s="12">
        <v>55.186984299999999</v>
      </c>
      <c r="Z57" s="12">
        <v>-4.9330995</v>
      </c>
      <c r="AA57" s="12">
        <v>71.453186500000001</v>
      </c>
      <c r="AB57" s="12">
        <v>19.966470300000001</v>
      </c>
      <c r="AC57" s="12">
        <v>15.7795267</v>
      </c>
      <c r="AD57" s="12">
        <v>60.751235999999999</v>
      </c>
      <c r="AE57" s="12">
        <v>67.950419499999995</v>
      </c>
      <c r="AF57" s="12">
        <v>-9.4762138999999994</v>
      </c>
      <c r="AG57" s="7" t="s">
        <v>107</v>
      </c>
    </row>
    <row r="58" spans="1:33" s="11" customFormat="1" outlineLevel="1" x14ac:dyDescent="0.3">
      <c r="A58" s="11" t="s">
        <v>64</v>
      </c>
      <c r="B58" s="12">
        <v>2.1036085</v>
      </c>
      <c r="C58" s="12">
        <v>95.516666700000002</v>
      </c>
      <c r="D58" s="12">
        <v>3.1831767000000002</v>
      </c>
      <c r="E58" s="17">
        <v>1.25</v>
      </c>
      <c r="F58" s="13">
        <v>117.36</v>
      </c>
      <c r="G58" s="12">
        <v>5.7634373999999999</v>
      </c>
      <c r="H58" s="12">
        <v>19.591925</v>
      </c>
      <c r="I58" s="12">
        <v>-3.5364700999999998</v>
      </c>
      <c r="J58" s="12">
        <v>3.9000094000000001</v>
      </c>
      <c r="K58" s="12">
        <v>14.2</v>
      </c>
      <c r="L58" s="12">
        <v>2.9</v>
      </c>
      <c r="M58" s="12">
        <v>22.3</v>
      </c>
      <c r="N58" s="12">
        <v>4.9000000000000004</v>
      </c>
      <c r="O58" s="12">
        <v>23.3</v>
      </c>
      <c r="P58" s="7">
        <v>20387.2</v>
      </c>
      <c r="Q58" s="7">
        <v>1696.1</v>
      </c>
      <c r="R58" s="7">
        <v>7.7</v>
      </c>
      <c r="S58" s="12">
        <v>16.958539099999999</v>
      </c>
      <c r="T58" s="12">
        <v>7.75</v>
      </c>
      <c r="U58" s="12">
        <v>60.585172</v>
      </c>
      <c r="V58" s="12">
        <v>11.476883300000001</v>
      </c>
      <c r="W58" s="12">
        <v>7.3905627999999997</v>
      </c>
      <c r="X58" s="12">
        <v>15.560965899999999</v>
      </c>
      <c r="Y58" s="12">
        <v>26.048969499999998</v>
      </c>
      <c r="Z58" s="12">
        <v>-4.3542301999999999</v>
      </c>
      <c r="AA58" s="12">
        <v>66.549311599999996</v>
      </c>
      <c r="AB58" s="12">
        <v>19.4159899</v>
      </c>
      <c r="AC58" s="12">
        <v>17.4611442</v>
      </c>
      <c r="AD58" s="12">
        <v>57.753470800000002</v>
      </c>
      <c r="AE58" s="12">
        <v>61.179916499999997</v>
      </c>
      <c r="AF58" s="12">
        <v>-5.7945281</v>
      </c>
      <c r="AG58" s="7" t="s">
        <v>107</v>
      </c>
    </row>
    <row r="59" spans="1:33" s="11" customFormat="1" outlineLevel="1" x14ac:dyDescent="0.3">
      <c r="A59" s="11" t="s">
        <v>65</v>
      </c>
      <c r="B59" s="12">
        <v>1.8176159000000001</v>
      </c>
      <c r="C59" s="12">
        <v>95.433333300000001</v>
      </c>
      <c r="D59" s="12">
        <v>3.0783078000000001</v>
      </c>
      <c r="E59" s="17">
        <v>1.5</v>
      </c>
      <c r="F59" s="13">
        <v>113.34</v>
      </c>
      <c r="G59" s="12">
        <v>8.4466815999999998</v>
      </c>
      <c r="H59" s="12">
        <v>55.526788699999997</v>
      </c>
      <c r="I59" s="12">
        <v>2.3293078999999999</v>
      </c>
      <c r="J59" s="12">
        <v>6.4999944999999997</v>
      </c>
      <c r="K59" s="12">
        <v>16.100000000000001</v>
      </c>
      <c r="L59" s="12">
        <v>-9.4</v>
      </c>
      <c r="M59" s="12">
        <v>18.899999999999999</v>
      </c>
      <c r="N59" s="12">
        <v>0.3</v>
      </c>
      <c r="O59" s="12">
        <v>12.5</v>
      </c>
      <c r="P59" s="7">
        <v>20782.900000000001</v>
      </c>
      <c r="Q59" s="7">
        <v>1530.9</v>
      </c>
      <c r="R59" s="7">
        <v>6.9</v>
      </c>
      <c r="S59" s="12">
        <v>16.923956499999999</v>
      </c>
      <c r="T59" s="12">
        <v>7.75</v>
      </c>
      <c r="U59" s="12">
        <v>59.975287000000002</v>
      </c>
      <c r="V59" s="12">
        <v>11.275167</v>
      </c>
      <c r="W59" s="12">
        <v>9.2159560000000003</v>
      </c>
      <c r="X59" s="12">
        <v>13.8638449</v>
      </c>
      <c r="Y59" s="12">
        <v>18.250860299999999</v>
      </c>
      <c r="Z59" s="12">
        <v>-5.5872533000000004</v>
      </c>
      <c r="AA59" s="12">
        <v>62.804136100000001</v>
      </c>
      <c r="AB59" s="12">
        <v>13.776506299999999</v>
      </c>
      <c r="AC59" s="12">
        <v>28.965599300000001</v>
      </c>
      <c r="AD59" s="12">
        <v>49.823967500000002</v>
      </c>
      <c r="AE59" s="12">
        <v>55.370209099999997</v>
      </c>
      <c r="AF59" s="12">
        <v>-5.1634574000000004</v>
      </c>
      <c r="AG59" s="7" t="s">
        <v>107</v>
      </c>
    </row>
    <row r="60" spans="1:33" s="11" customFormat="1" outlineLevel="1" x14ac:dyDescent="0.3">
      <c r="A60" s="11" t="s">
        <v>66</v>
      </c>
      <c r="B60" s="12">
        <v>0.47384009999999999</v>
      </c>
      <c r="C60" s="12">
        <v>96.41</v>
      </c>
      <c r="D60" s="12">
        <v>3.2411208999999999</v>
      </c>
      <c r="E60" s="17">
        <v>1.25</v>
      </c>
      <c r="F60" s="13">
        <v>109.3966667</v>
      </c>
      <c r="G60" s="12">
        <v>13.1216651</v>
      </c>
      <c r="H60" s="12">
        <v>12.6495742</v>
      </c>
      <c r="I60" s="12">
        <v>-5.4903633000000003</v>
      </c>
      <c r="J60" s="12">
        <v>5.0000052999999998</v>
      </c>
      <c r="K60" s="12">
        <v>18.5</v>
      </c>
      <c r="L60" s="12">
        <v>-6.6</v>
      </c>
      <c r="M60" s="12">
        <v>0.2</v>
      </c>
      <c r="N60" s="12">
        <v>-4.0999999999999996</v>
      </c>
      <c r="O60" s="12">
        <v>5.2</v>
      </c>
      <c r="P60" s="7">
        <v>20018.5</v>
      </c>
      <c r="Q60" s="7">
        <v>1778.9</v>
      </c>
      <c r="R60" s="7">
        <v>8.1999999999999993</v>
      </c>
      <c r="S60" s="12">
        <v>16.5115005</v>
      </c>
      <c r="T60" s="12">
        <v>7.75</v>
      </c>
      <c r="U60" s="12">
        <v>60.015002899999999</v>
      </c>
      <c r="V60" s="12">
        <v>10.765796</v>
      </c>
      <c r="W60" s="12">
        <v>5.6947608000000001</v>
      </c>
      <c r="X60" s="12">
        <v>19.7840983</v>
      </c>
      <c r="Y60" s="12">
        <v>22.765937300000001</v>
      </c>
      <c r="Z60" s="12">
        <v>-9.5339328000000005</v>
      </c>
      <c r="AA60" s="12">
        <v>69.372890699999999</v>
      </c>
      <c r="AB60" s="12">
        <v>20.532131100000001</v>
      </c>
      <c r="AC60" s="12">
        <v>18.684828</v>
      </c>
      <c r="AD60" s="12">
        <v>51.580357399999997</v>
      </c>
      <c r="AE60" s="12">
        <v>60.170207099999999</v>
      </c>
      <c r="AF60" s="12">
        <v>-3.9679288000000001</v>
      </c>
      <c r="AG60" s="7" t="s">
        <v>107</v>
      </c>
    </row>
    <row r="61" spans="1:33" s="11" customFormat="1" outlineLevel="1" x14ac:dyDescent="0.3">
      <c r="A61" s="11" t="s">
        <v>67</v>
      </c>
      <c r="B61" s="12">
        <v>3.7986600000000002E-2</v>
      </c>
      <c r="C61" s="12">
        <v>96.803333300000006</v>
      </c>
      <c r="D61" s="12">
        <v>2.9019914</v>
      </c>
      <c r="E61" s="17">
        <v>1</v>
      </c>
      <c r="F61" s="13">
        <v>118.49</v>
      </c>
      <c r="G61" s="12">
        <v>16.637423399999999</v>
      </c>
      <c r="H61" s="12">
        <v>16.778369300000001</v>
      </c>
      <c r="I61" s="12">
        <v>-0.24302309999999999</v>
      </c>
      <c r="J61" s="12">
        <v>2.5000027999999999</v>
      </c>
      <c r="K61" s="12">
        <v>7.8</v>
      </c>
      <c r="L61" s="12">
        <v>3.3</v>
      </c>
      <c r="M61" s="12">
        <v>-7.3</v>
      </c>
      <c r="N61" s="12">
        <v>-7.3</v>
      </c>
      <c r="O61" s="12">
        <v>-3</v>
      </c>
      <c r="P61" s="7">
        <v>20040.3</v>
      </c>
      <c r="Q61" s="7">
        <v>1845</v>
      </c>
      <c r="R61" s="7">
        <v>8.4</v>
      </c>
      <c r="S61" s="12">
        <v>17.8342171</v>
      </c>
      <c r="T61" s="12">
        <v>7.5</v>
      </c>
      <c r="U61" s="12">
        <v>60.375873800000001</v>
      </c>
      <c r="V61" s="12">
        <v>10.459266700000001</v>
      </c>
      <c r="W61" s="12">
        <v>1.7803342</v>
      </c>
      <c r="X61" s="12">
        <v>10.730329599999999</v>
      </c>
      <c r="Y61" s="12">
        <v>10.4658067</v>
      </c>
      <c r="Z61" s="12">
        <v>-5.2173696999999999</v>
      </c>
      <c r="AA61" s="12">
        <v>70.773726999999994</v>
      </c>
      <c r="AB61" s="12">
        <v>20.6941761</v>
      </c>
      <c r="AC61" s="12">
        <v>15.211305100000001</v>
      </c>
      <c r="AD61" s="12">
        <v>56.826360399999999</v>
      </c>
      <c r="AE61" s="12">
        <v>63.505568599999997</v>
      </c>
      <c r="AF61" s="12">
        <v>-6.1477975000000002</v>
      </c>
      <c r="AG61" s="7" t="s">
        <v>107</v>
      </c>
    </row>
    <row r="62" spans="1:33" s="11" customFormat="1" outlineLevel="1" x14ac:dyDescent="0.3">
      <c r="A62" s="11" t="s">
        <v>68</v>
      </c>
      <c r="B62" s="12">
        <v>-0.91019320000000004</v>
      </c>
      <c r="C62" s="12">
        <v>97.993333300000003</v>
      </c>
      <c r="D62" s="12">
        <v>2.5929156999999998</v>
      </c>
      <c r="E62" s="17">
        <v>1</v>
      </c>
      <c r="F62" s="13">
        <v>108.41666669999999</v>
      </c>
      <c r="G62" s="12">
        <v>14.193906200000001</v>
      </c>
      <c r="H62" s="12">
        <v>17.9723823</v>
      </c>
      <c r="I62" s="12">
        <v>-2.5962649999999998</v>
      </c>
      <c r="J62" s="12">
        <v>3.1000030999999999</v>
      </c>
      <c r="K62" s="12">
        <v>12.3</v>
      </c>
      <c r="L62" s="12">
        <v>4.8</v>
      </c>
      <c r="M62" s="12">
        <v>23.3</v>
      </c>
      <c r="N62" s="12">
        <v>-8.1</v>
      </c>
      <c r="O62" s="12">
        <v>9</v>
      </c>
      <c r="P62" s="7">
        <v>20540.900000000001</v>
      </c>
      <c r="Q62" s="7">
        <v>1575.6</v>
      </c>
      <c r="R62" s="7">
        <v>7.1</v>
      </c>
      <c r="S62" s="12">
        <v>16.022523700000001</v>
      </c>
      <c r="T62" s="12">
        <v>7.5</v>
      </c>
      <c r="U62" s="12">
        <v>60.3553134</v>
      </c>
      <c r="V62" s="12">
        <v>10.2627617</v>
      </c>
      <c r="W62" s="12">
        <v>1.2969824999999999</v>
      </c>
      <c r="X62" s="12">
        <v>15.9640506</v>
      </c>
      <c r="Y62" s="12">
        <v>29.6664952</v>
      </c>
      <c r="Z62" s="12">
        <v>-8.4897855999999994</v>
      </c>
      <c r="AA62" s="12">
        <v>67.414228300000005</v>
      </c>
      <c r="AB62" s="12">
        <v>20.340844400000002</v>
      </c>
      <c r="AC62" s="12">
        <v>21.674208400000001</v>
      </c>
      <c r="AD62" s="12">
        <v>52.298457300000003</v>
      </c>
      <c r="AE62" s="12">
        <v>61.727738500000001</v>
      </c>
      <c r="AF62" s="12">
        <v>-8.9985329000000007</v>
      </c>
      <c r="AG62" s="7" t="s">
        <v>107</v>
      </c>
    </row>
    <row r="63" spans="1:33" s="11" customFormat="1" outlineLevel="1" x14ac:dyDescent="0.3">
      <c r="A63" s="11" t="s">
        <v>69</v>
      </c>
      <c r="B63" s="12">
        <v>-1.0352741000000001</v>
      </c>
      <c r="C63" s="12">
        <v>97.9566667</v>
      </c>
      <c r="D63" s="12">
        <v>2.6440796999999998</v>
      </c>
      <c r="E63" s="17">
        <v>0.75</v>
      </c>
      <c r="F63" s="13">
        <v>109.61333329999999</v>
      </c>
      <c r="G63" s="12">
        <v>20.263701699999999</v>
      </c>
      <c r="H63" s="12">
        <v>0.18528040000000001</v>
      </c>
      <c r="I63" s="12">
        <v>-2.9597418000000002</v>
      </c>
      <c r="J63" s="12">
        <v>-1.3000053</v>
      </c>
      <c r="K63" s="12">
        <v>11</v>
      </c>
      <c r="L63" s="12">
        <v>9.9</v>
      </c>
      <c r="M63" s="12">
        <v>-18</v>
      </c>
      <c r="N63" s="12">
        <v>-3.8</v>
      </c>
      <c r="O63" s="12">
        <v>4.3</v>
      </c>
      <c r="P63" s="7">
        <v>20856.099999999999</v>
      </c>
      <c r="Q63" s="7">
        <v>1469.4</v>
      </c>
      <c r="R63" s="7">
        <v>6.6</v>
      </c>
      <c r="S63" s="12">
        <v>13.5452323</v>
      </c>
      <c r="T63" s="12">
        <v>7.5</v>
      </c>
      <c r="U63" s="12">
        <v>59.953568599999997</v>
      </c>
      <c r="V63" s="12">
        <v>9.9889293000000006</v>
      </c>
      <c r="W63" s="12">
        <v>-1.6876574</v>
      </c>
      <c r="X63" s="12">
        <v>18.546612400000001</v>
      </c>
      <c r="Y63" s="12">
        <v>20.6142176</v>
      </c>
      <c r="Z63" s="12">
        <v>-8.1056390999999994</v>
      </c>
      <c r="AA63" s="12">
        <v>66.657588500000003</v>
      </c>
      <c r="AB63" s="12">
        <v>16.115854299999999</v>
      </c>
      <c r="AC63" s="12">
        <v>23.6564555</v>
      </c>
      <c r="AD63" s="12">
        <v>48.547967300000003</v>
      </c>
      <c r="AE63" s="12">
        <v>54.977865600000001</v>
      </c>
      <c r="AF63" s="12">
        <v>-8.8412565000000001</v>
      </c>
      <c r="AG63" s="7" t="s">
        <v>107</v>
      </c>
    </row>
    <row r="64" spans="1:33" s="11" customFormat="1" outlineLevel="1" x14ac:dyDescent="0.3">
      <c r="A64" s="11" t="s">
        <v>70</v>
      </c>
      <c r="B64" s="12">
        <v>-0.98067590000000004</v>
      </c>
      <c r="C64" s="12">
        <v>98.773333300000004</v>
      </c>
      <c r="D64" s="12">
        <v>2.4513362999999999</v>
      </c>
      <c r="E64" s="17">
        <v>0.75</v>
      </c>
      <c r="F64" s="13">
        <v>110.08666669999999</v>
      </c>
      <c r="G64" s="12">
        <v>19.269447599999999</v>
      </c>
      <c r="H64" s="12">
        <v>14.153503300000001</v>
      </c>
      <c r="I64" s="12">
        <v>-7.7430243000000001</v>
      </c>
      <c r="J64" s="12">
        <v>-2.3000009000000001</v>
      </c>
      <c r="K64" s="12">
        <v>5.5</v>
      </c>
      <c r="L64" s="12">
        <v>1.5</v>
      </c>
      <c r="M64" s="12">
        <v>-13.6</v>
      </c>
      <c r="N64" s="12">
        <v>-9.6</v>
      </c>
      <c r="O64" s="12">
        <v>-2.6</v>
      </c>
      <c r="P64" s="7">
        <v>19979.900000000001</v>
      </c>
      <c r="Q64" s="7">
        <v>1738.8</v>
      </c>
      <c r="R64" s="7">
        <v>8.0060040425992405</v>
      </c>
      <c r="S64" s="12">
        <v>12.632197400000001</v>
      </c>
      <c r="T64" s="12">
        <v>7.5</v>
      </c>
      <c r="U64" s="12">
        <v>59.933390699999997</v>
      </c>
      <c r="V64" s="12">
        <v>10.371643000000001</v>
      </c>
      <c r="W64" s="12">
        <v>-3.5680076999999999</v>
      </c>
      <c r="X64" s="12">
        <v>3.7024933</v>
      </c>
      <c r="Y64" s="12">
        <v>6.7398771000000002</v>
      </c>
      <c r="Z64" s="12">
        <v>-10.018266199999999</v>
      </c>
      <c r="AA64" s="12">
        <v>70.9603477</v>
      </c>
      <c r="AB64" s="12">
        <v>21.351520799999999</v>
      </c>
      <c r="AC64" s="12">
        <v>17.416972399999999</v>
      </c>
      <c r="AD64" s="12">
        <v>47.7768832</v>
      </c>
      <c r="AE64" s="12">
        <v>57.505724000000001</v>
      </c>
      <c r="AF64" s="12">
        <v>-6.7560390000000003</v>
      </c>
      <c r="AG64" s="7" t="s">
        <v>107</v>
      </c>
    </row>
    <row r="65" spans="1:33" s="11" customFormat="1" outlineLevel="1" x14ac:dyDescent="0.3">
      <c r="A65" s="11" t="s">
        <v>71</v>
      </c>
      <c r="B65" s="12">
        <v>-1.6415721999999999</v>
      </c>
      <c r="C65" s="12">
        <v>98.726666699999996</v>
      </c>
      <c r="D65" s="12">
        <v>1.9868463000000001</v>
      </c>
      <c r="E65" s="17">
        <v>0.75</v>
      </c>
      <c r="F65" s="13">
        <v>112.4933333</v>
      </c>
      <c r="G65" s="12">
        <v>13.355793999999999</v>
      </c>
      <c r="H65" s="12">
        <v>8.4107485999999998</v>
      </c>
      <c r="I65" s="12">
        <v>-1.8763536999999999</v>
      </c>
      <c r="J65" s="12">
        <v>-1.2000105000000001</v>
      </c>
      <c r="K65" s="12">
        <v>6.5</v>
      </c>
      <c r="L65" s="12">
        <v>1.1000000000000001</v>
      </c>
      <c r="M65" s="12">
        <v>-15.9</v>
      </c>
      <c r="N65" s="12">
        <v>-9</v>
      </c>
      <c r="O65" s="12">
        <v>-2.4</v>
      </c>
      <c r="P65" s="7">
        <v>20084.5</v>
      </c>
      <c r="Q65" s="7">
        <v>1755.9</v>
      </c>
      <c r="R65" s="7">
        <v>8</v>
      </c>
      <c r="S65" s="12">
        <v>9.6162956000000008</v>
      </c>
      <c r="T65" s="12">
        <v>7.5</v>
      </c>
      <c r="U65" s="12">
        <v>60.073155200000002</v>
      </c>
      <c r="V65" s="12">
        <v>10.553824000000001</v>
      </c>
      <c r="W65" s="12">
        <v>-4.5209903999999996</v>
      </c>
      <c r="X65" s="12">
        <v>-4.5018675000000004</v>
      </c>
      <c r="Y65" s="12">
        <v>-0.2739007</v>
      </c>
      <c r="Z65" s="12">
        <v>-8.4716340999999993</v>
      </c>
      <c r="AA65" s="12">
        <v>74.463785700000003</v>
      </c>
      <c r="AB65" s="12">
        <v>21.438665499999999</v>
      </c>
      <c r="AC65" s="12">
        <v>12.603346699999999</v>
      </c>
      <c r="AD65" s="12">
        <v>52.3736727</v>
      </c>
      <c r="AE65" s="12">
        <v>60.879470699999999</v>
      </c>
      <c r="AF65" s="12">
        <v>-3.2798085000000001</v>
      </c>
      <c r="AG65" s="7" t="s">
        <v>107</v>
      </c>
    </row>
    <row r="66" spans="1:33" s="11" customFormat="1" outlineLevel="1" x14ac:dyDescent="0.3">
      <c r="A66" s="11" t="s">
        <v>72</v>
      </c>
      <c r="B66" s="12">
        <v>-0.1331087</v>
      </c>
      <c r="C66" s="12">
        <v>99.533333299999995</v>
      </c>
      <c r="D66" s="12">
        <v>1.5715355</v>
      </c>
      <c r="E66" s="17">
        <v>0.58333330000000005</v>
      </c>
      <c r="F66" s="13">
        <v>102.5766667</v>
      </c>
      <c r="G66" s="12">
        <v>6.1330938000000002</v>
      </c>
      <c r="H66" s="12">
        <v>-5.456296</v>
      </c>
      <c r="I66" s="12">
        <v>-6.3327526000000001</v>
      </c>
      <c r="J66" s="12">
        <v>-1.3000004000000001</v>
      </c>
      <c r="K66" s="12">
        <v>9.5</v>
      </c>
      <c r="L66" s="12">
        <v>-2.2999999999999998</v>
      </c>
      <c r="M66" s="12">
        <v>-53.1</v>
      </c>
      <c r="N66" s="12">
        <v>-14.3</v>
      </c>
      <c r="O66" s="12">
        <v>-18.399999999999999</v>
      </c>
      <c r="P66" s="7">
        <v>20675.3</v>
      </c>
      <c r="Q66" s="7">
        <v>1529.9</v>
      </c>
      <c r="R66" s="7">
        <v>6.9</v>
      </c>
      <c r="S66" s="12">
        <v>8.8241782000000004</v>
      </c>
      <c r="T66" s="12">
        <v>7</v>
      </c>
      <c r="U66" s="12">
        <v>60.0931529</v>
      </c>
      <c r="V66" s="12">
        <v>10.4361807</v>
      </c>
      <c r="W66" s="12">
        <v>-5.5134569999999998</v>
      </c>
      <c r="X66" s="12">
        <v>-10.496821600000001</v>
      </c>
      <c r="Y66" s="12">
        <v>-16.464161399999998</v>
      </c>
      <c r="Z66" s="12">
        <v>-5.1328180999999997</v>
      </c>
      <c r="AA66" s="12">
        <v>74.327313899999993</v>
      </c>
      <c r="AB66" s="12">
        <v>20.8305361</v>
      </c>
      <c r="AC66" s="12">
        <v>9.7327385</v>
      </c>
      <c r="AD66" s="12">
        <v>46.940301699999999</v>
      </c>
      <c r="AE66" s="12">
        <v>51.830890199999999</v>
      </c>
      <c r="AF66" s="12">
        <v>0.1563494</v>
      </c>
      <c r="AG66" s="7" t="s">
        <v>107</v>
      </c>
    </row>
    <row r="67" spans="1:33" s="11" customFormat="1" outlineLevel="1" x14ac:dyDescent="0.3">
      <c r="A67" s="11" t="s">
        <v>73</v>
      </c>
      <c r="B67" s="12">
        <v>0.53477319999999995</v>
      </c>
      <c r="C67" s="12">
        <v>99.423333299999996</v>
      </c>
      <c r="D67" s="12">
        <v>1.4972605999999999</v>
      </c>
      <c r="E67" s="17">
        <v>0.5</v>
      </c>
      <c r="F67" s="13">
        <v>110.27</v>
      </c>
      <c r="G67" s="12">
        <v>-6.7610299999999998E-2</v>
      </c>
      <c r="H67" s="12">
        <v>5.1759655999999996</v>
      </c>
      <c r="I67" s="12">
        <v>-1.4661630000000001</v>
      </c>
      <c r="J67" s="12">
        <v>-1.2000036000000001</v>
      </c>
      <c r="K67" s="12">
        <v>8.4</v>
      </c>
      <c r="L67" s="12">
        <v>-3.3</v>
      </c>
      <c r="M67" s="12">
        <v>-11.6</v>
      </c>
      <c r="N67" s="12">
        <v>-7.9</v>
      </c>
      <c r="O67" s="12">
        <v>-0.7</v>
      </c>
      <c r="P67" s="7">
        <v>20864.099999999999</v>
      </c>
      <c r="Q67" s="7">
        <v>1374.1</v>
      </c>
      <c r="R67" s="7">
        <v>6.2</v>
      </c>
      <c r="S67" s="12">
        <v>7.6012059000000001</v>
      </c>
      <c r="T67" s="12">
        <v>6.5</v>
      </c>
      <c r="U67" s="12">
        <v>59.772809799999997</v>
      </c>
      <c r="V67" s="12">
        <v>10.584066</v>
      </c>
      <c r="W67" s="12">
        <v>-4.5093516999999999</v>
      </c>
      <c r="X67" s="12">
        <v>-10.3893193</v>
      </c>
      <c r="Y67" s="12">
        <v>-1.9418987000000001</v>
      </c>
      <c r="Z67" s="12">
        <v>-12.185988399999999</v>
      </c>
      <c r="AA67" s="12">
        <v>71.841583299999996</v>
      </c>
      <c r="AB67" s="12">
        <v>15.9875966</v>
      </c>
      <c r="AC67" s="12">
        <v>22.929286000000001</v>
      </c>
      <c r="AD67" s="12">
        <v>45.4555127</v>
      </c>
      <c r="AE67" s="12">
        <v>56.213978599999997</v>
      </c>
      <c r="AF67" s="12">
        <v>2.2251932000000001</v>
      </c>
      <c r="AG67" s="7" t="s">
        <v>107</v>
      </c>
    </row>
    <row r="68" spans="1:33" s="11" customFormat="1" outlineLevel="1" x14ac:dyDescent="0.3">
      <c r="A68" s="11" t="s">
        <v>74</v>
      </c>
      <c r="B68" s="12">
        <v>0.83200640000000003</v>
      </c>
      <c r="C68" s="12">
        <v>99.72</v>
      </c>
      <c r="D68" s="12">
        <v>0.95842340000000004</v>
      </c>
      <c r="E68" s="17">
        <v>0.3333333</v>
      </c>
      <c r="F68" s="13">
        <v>109.21</v>
      </c>
      <c r="G68" s="12">
        <v>-6.6382937999999996</v>
      </c>
      <c r="H68" s="12">
        <v>-8.3634322000000001</v>
      </c>
      <c r="I68" s="12">
        <v>-7.3616349999999997</v>
      </c>
      <c r="J68" s="12">
        <v>3.2999936000000001</v>
      </c>
      <c r="K68" s="12">
        <v>6.8</v>
      </c>
      <c r="L68" s="12">
        <v>-5.0999999999999996</v>
      </c>
      <c r="M68" s="12">
        <v>3.1</v>
      </c>
      <c r="N68" s="12">
        <v>-4.0999999999999996</v>
      </c>
      <c r="O68" s="12">
        <v>-1.8</v>
      </c>
      <c r="P68" s="7">
        <v>19992.5</v>
      </c>
      <c r="Q68" s="7">
        <v>1646.1</v>
      </c>
      <c r="R68" s="7">
        <v>7.6</v>
      </c>
      <c r="S68" s="12">
        <v>6.1032864</v>
      </c>
      <c r="T68" s="12">
        <v>6.5</v>
      </c>
      <c r="U68" s="12">
        <v>60.051029999999997</v>
      </c>
      <c r="V68" s="12">
        <v>10.874518699999999</v>
      </c>
      <c r="W68" s="12">
        <v>-2.8060591000000001</v>
      </c>
      <c r="X68" s="12">
        <v>-8.6962369000000006</v>
      </c>
      <c r="Y68" s="12">
        <v>-7.2216703999999998</v>
      </c>
      <c r="Z68" s="12">
        <v>-9.9301872000000007</v>
      </c>
      <c r="AA68" s="12">
        <v>73.469927900000002</v>
      </c>
      <c r="AB68" s="12">
        <v>19.8112344</v>
      </c>
      <c r="AC68" s="12">
        <v>16.184323500000001</v>
      </c>
      <c r="AD68" s="12">
        <v>44.060141799999997</v>
      </c>
      <c r="AE68" s="12">
        <v>53.525627499999999</v>
      </c>
      <c r="AF68" s="12">
        <v>3.1444003</v>
      </c>
      <c r="AG68" s="7" t="s">
        <v>107</v>
      </c>
    </row>
    <row r="69" spans="1:33" s="11" customFormat="1" outlineLevel="1" x14ac:dyDescent="0.3">
      <c r="A69" s="11" t="s">
        <v>75</v>
      </c>
      <c r="B69" s="12">
        <v>1.8456245</v>
      </c>
      <c r="C69" s="12">
        <v>99.49</v>
      </c>
      <c r="D69" s="12">
        <v>0.77317840000000004</v>
      </c>
      <c r="E69" s="17">
        <v>0.25</v>
      </c>
      <c r="F69" s="13">
        <v>108.16666669999999</v>
      </c>
      <c r="G69" s="12">
        <v>-0.77030759999999998</v>
      </c>
      <c r="H69" s="12">
        <v>4.9698022999999996</v>
      </c>
      <c r="I69" s="12">
        <v>0.15679779999999999</v>
      </c>
      <c r="J69" s="12">
        <v>-0.99997899999999995</v>
      </c>
      <c r="K69" s="12">
        <v>3.3</v>
      </c>
      <c r="L69" s="12">
        <v>-5.9</v>
      </c>
      <c r="M69" s="12">
        <v>-40.9</v>
      </c>
      <c r="N69" s="12">
        <v>-5.0999999999999996</v>
      </c>
      <c r="O69" s="12">
        <v>-11.8</v>
      </c>
      <c r="P69" s="7">
        <v>18372.599999999999</v>
      </c>
      <c r="Q69" s="7">
        <v>1806</v>
      </c>
      <c r="R69" s="7">
        <v>9</v>
      </c>
      <c r="S69" s="12">
        <v>5.1750216</v>
      </c>
      <c r="T69" s="12">
        <v>6.5</v>
      </c>
      <c r="U69" s="12">
        <v>61.098817500000003</v>
      </c>
      <c r="V69" s="12">
        <v>12.1366333</v>
      </c>
      <c r="W69" s="12">
        <v>-4.3968432999999996</v>
      </c>
      <c r="X69" s="12">
        <v>-13.4449179</v>
      </c>
      <c r="Y69" s="12">
        <v>-20.745995600000001</v>
      </c>
      <c r="Z69" s="12">
        <v>-3.5462430999999999</v>
      </c>
      <c r="AA69" s="12">
        <v>77.231346900000005</v>
      </c>
      <c r="AB69" s="12">
        <v>18.878843799999999</v>
      </c>
      <c r="AC69" s="12">
        <v>7.4053738999999998</v>
      </c>
      <c r="AD69" s="12">
        <v>47.873021899999998</v>
      </c>
      <c r="AE69" s="12">
        <v>51.388586500000002</v>
      </c>
      <c r="AF69" s="12">
        <v>13.0353721</v>
      </c>
      <c r="AG69" s="7" t="s">
        <v>107</v>
      </c>
    </row>
    <row r="70" spans="1:33" s="11" customFormat="1" outlineLevel="1" x14ac:dyDescent="0.3">
      <c r="A70" s="11" t="s">
        <v>76</v>
      </c>
      <c r="B70" s="12">
        <v>1.1953549000000001</v>
      </c>
      <c r="C70" s="12">
        <v>100.22333329999999</v>
      </c>
      <c r="D70" s="12">
        <v>0.69323509999999999</v>
      </c>
      <c r="E70" s="17">
        <v>0.21666669999999999</v>
      </c>
      <c r="F70" s="13">
        <v>109.7</v>
      </c>
      <c r="G70" s="12">
        <v>5.5715580999999998</v>
      </c>
      <c r="H70" s="12">
        <v>7.8063856999999999</v>
      </c>
      <c r="I70" s="12">
        <v>-5.5632584999999999</v>
      </c>
      <c r="J70" s="12">
        <v>-4.3000255999999997</v>
      </c>
      <c r="K70" s="12">
        <v>-7.8</v>
      </c>
      <c r="L70" s="12">
        <v>5.2</v>
      </c>
      <c r="M70" s="12">
        <v>-30.6</v>
      </c>
      <c r="N70" s="12">
        <v>-2.2999999999999998</v>
      </c>
      <c r="O70" s="12">
        <v>-10.9</v>
      </c>
      <c r="P70" s="7">
        <v>18599.2</v>
      </c>
      <c r="Q70" s="7">
        <v>1654.2</v>
      </c>
      <c r="R70" s="7">
        <v>8.1999999999999993</v>
      </c>
      <c r="S70" s="12">
        <v>5.5</v>
      </c>
      <c r="T70" s="12">
        <v>9.5</v>
      </c>
      <c r="U70" s="12">
        <v>66.008053799999999</v>
      </c>
      <c r="V70" s="12">
        <v>16.041366700000001</v>
      </c>
      <c r="W70" s="12">
        <v>-7.8816372000000001</v>
      </c>
      <c r="X70" s="12">
        <v>-17.331031100000001</v>
      </c>
      <c r="Y70" s="12">
        <v>-22.2710759</v>
      </c>
      <c r="Z70" s="12">
        <v>-2.3212123</v>
      </c>
      <c r="AA70" s="12">
        <v>71.651529400000001</v>
      </c>
      <c r="AB70" s="12">
        <v>20.524280099999999</v>
      </c>
      <c r="AC70" s="12">
        <v>10.0933338</v>
      </c>
      <c r="AD70" s="12">
        <v>52.835971600000001</v>
      </c>
      <c r="AE70" s="12">
        <v>55.105114899999997</v>
      </c>
      <c r="AF70" s="12">
        <v>7.9852553999999998</v>
      </c>
      <c r="AG70" s="7" t="s">
        <v>107</v>
      </c>
    </row>
    <row r="71" spans="1:33" s="11" customFormat="1" outlineLevel="1" x14ac:dyDescent="0.3">
      <c r="A71" s="11" t="s">
        <v>77</v>
      </c>
      <c r="B71" s="12">
        <v>1.5779679</v>
      </c>
      <c r="C71" s="12">
        <v>99.91</v>
      </c>
      <c r="D71" s="12">
        <v>0.48948940000000002</v>
      </c>
      <c r="E71" s="17">
        <v>0.1166667</v>
      </c>
      <c r="F71" s="13">
        <v>101.8233333</v>
      </c>
      <c r="G71" s="12">
        <v>0.32750190000000001</v>
      </c>
      <c r="H71" s="12">
        <v>-5.1691042999999999</v>
      </c>
      <c r="I71" s="12">
        <v>-2.7510466</v>
      </c>
      <c r="J71" s="12">
        <v>-5.2999920999999999</v>
      </c>
      <c r="K71" s="12">
        <v>-13.9</v>
      </c>
      <c r="L71" s="12">
        <v>0.1</v>
      </c>
      <c r="M71" s="12">
        <v>-21.8</v>
      </c>
      <c r="N71" s="12">
        <v>-16.8</v>
      </c>
      <c r="O71" s="12">
        <v>-32.299999999999997</v>
      </c>
      <c r="P71" s="7">
        <v>18050</v>
      </c>
      <c r="Q71" s="7">
        <v>1884.3</v>
      </c>
      <c r="R71" s="7">
        <v>9.5</v>
      </c>
      <c r="S71" s="12">
        <v>3.4</v>
      </c>
      <c r="T71" s="12">
        <v>12.5</v>
      </c>
      <c r="U71" s="12">
        <v>68.552035900000007</v>
      </c>
      <c r="V71" s="12">
        <v>16.672871199999999</v>
      </c>
      <c r="W71" s="12">
        <v>-16.9036759</v>
      </c>
      <c r="X71" s="12">
        <v>-24.8421989</v>
      </c>
      <c r="Y71" s="12">
        <v>-36.091498100000003</v>
      </c>
      <c r="Z71" s="12">
        <v>-3.3061707</v>
      </c>
      <c r="AA71" s="12">
        <v>64.987422699999996</v>
      </c>
      <c r="AB71" s="12">
        <v>14.7783307</v>
      </c>
      <c r="AC71" s="12">
        <v>22.963566700000001</v>
      </c>
      <c r="AD71" s="12">
        <v>46.526257999999999</v>
      </c>
      <c r="AE71" s="12">
        <v>49.255578100000001</v>
      </c>
      <c r="AF71" s="12">
        <v>7.5174950000000003</v>
      </c>
      <c r="AG71" s="7" t="s">
        <v>107</v>
      </c>
    </row>
    <row r="72" spans="1:33" s="11" customFormat="1" outlineLevel="1" x14ac:dyDescent="0.3">
      <c r="A72" s="11" t="s">
        <v>78</v>
      </c>
      <c r="B72" s="12">
        <v>1.7505474000000001</v>
      </c>
      <c r="C72" s="12">
        <v>99.97</v>
      </c>
      <c r="D72" s="12">
        <v>0.25070199999999998</v>
      </c>
      <c r="E72" s="17">
        <v>0.05</v>
      </c>
      <c r="F72" s="13">
        <v>76.4033333</v>
      </c>
      <c r="G72" s="12">
        <v>10.3244574</v>
      </c>
      <c r="H72" s="12">
        <v>4.9349783</v>
      </c>
      <c r="I72" s="12">
        <v>-8.7525244000000004</v>
      </c>
      <c r="J72" s="12">
        <v>-14.4000241</v>
      </c>
      <c r="K72" s="12">
        <v>-12.2</v>
      </c>
      <c r="L72" s="12">
        <v>4.5</v>
      </c>
      <c r="M72" s="12">
        <v>-49</v>
      </c>
      <c r="N72" s="12">
        <v>-31.1</v>
      </c>
      <c r="O72" s="12">
        <v>-29.6</v>
      </c>
      <c r="P72" s="7">
        <v>17271.400000000001</v>
      </c>
      <c r="Q72" s="7">
        <v>2045.9</v>
      </c>
      <c r="R72" s="7">
        <v>10.6</v>
      </c>
      <c r="S72" s="12">
        <v>8.1999999999999993</v>
      </c>
      <c r="T72" s="12">
        <v>14</v>
      </c>
      <c r="U72" s="12">
        <v>73.368876799999995</v>
      </c>
      <c r="V72" s="12">
        <v>18.014399999999998</v>
      </c>
      <c r="W72" s="12">
        <v>-14.7930505</v>
      </c>
      <c r="X72" s="12">
        <v>-23.961487900000002</v>
      </c>
      <c r="Y72" s="12">
        <v>-31.298057</v>
      </c>
      <c r="Z72" s="12">
        <v>-4.5475354000000001</v>
      </c>
      <c r="AA72" s="12">
        <v>73.523682500000007</v>
      </c>
      <c r="AB72" s="12">
        <v>20.7548815</v>
      </c>
      <c r="AC72" s="12">
        <v>11.042999699999999</v>
      </c>
      <c r="AD72" s="12">
        <v>47.510528000000001</v>
      </c>
      <c r="AE72" s="12">
        <v>52.832091699999999</v>
      </c>
      <c r="AF72" s="12">
        <v>9.1386211999999993</v>
      </c>
      <c r="AG72" s="7" t="s">
        <v>107</v>
      </c>
    </row>
    <row r="73" spans="1:33" s="11" customFormat="1" outlineLevel="1" x14ac:dyDescent="0.3">
      <c r="A73" s="11" t="s">
        <v>79</v>
      </c>
      <c r="B73" s="12">
        <v>2.0633189000000001</v>
      </c>
      <c r="C73" s="12">
        <v>99.203333299999997</v>
      </c>
      <c r="D73" s="12">
        <v>-0.28813620000000001</v>
      </c>
      <c r="E73" s="17">
        <v>0.05</v>
      </c>
      <c r="F73" s="13">
        <v>53.9166667</v>
      </c>
      <c r="G73" s="12">
        <v>13.054913000000001</v>
      </c>
      <c r="H73" s="12">
        <v>25.004077200000001</v>
      </c>
      <c r="I73" s="12">
        <v>3.7154346999999999</v>
      </c>
      <c r="J73" s="12">
        <v>-16</v>
      </c>
      <c r="K73" s="12">
        <v>-20.3</v>
      </c>
      <c r="L73" s="12">
        <v>0.9</v>
      </c>
      <c r="M73" s="12">
        <v>7.2</v>
      </c>
      <c r="N73" s="12">
        <v>-21.9</v>
      </c>
      <c r="O73" s="12">
        <v>-17.100000000000001</v>
      </c>
      <c r="P73" s="7">
        <v>16254.6</v>
      </c>
      <c r="Q73" s="7">
        <v>1731.5</v>
      </c>
      <c r="R73" s="7">
        <v>9.6</v>
      </c>
      <c r="S73" s="12">
        <v>11.8</v>
      </c>
      <c r="T73" s="12">
        <v>30</v>
      </c>
      <c r="U73" s="12">
        <v>83.303750600000001</v>
      </c>
      <c r="V73" s="12">
        <v>23.885197099999999</v>
      </c>
      <c r="W73" s="12">
        <v>-16.774764099999999</v>
      </c>
      <c r="X73" s="12">
        <v>-16.317488600000001</v>
      </c>
      <c r="Y73" s="12">
        <v>-17.680050699999999</v>
      </c>
      <c r="Z73" s="12">
        <v>20.636950200000001</v>
      </c>
      <c r="AA73" s="12">
        <v>73.780755400000004</v>
      </c>
      <c r="AB73" s="12">
        <v>18.715341599999999</v>
      </c>
      <c r="AC73" s="12">
        <v>11.2223431</v>
      </c>
      <c r="AD73" s="12">
        <v>66.451590600000003</v>
      </c>
      <c r="AE73" s="12">
        <v>70.170030699999998</v>
      </c>
      <c r="AF73" s="12">
        <v>17.099388600000001</v>
      </c>
      <c r="AG73" s="12">
        <v>76.657836099999997</v>
      </c>
    </row>
    <row r="74" spans="1:33" s="11" customFormat="1" outlineLevel="1" x14ac:dyDescent="0.3">
      <c r="A74" s="11" t="s">
        <v>80</v>
      </c>
      <c r="B74" s="12">
        <v>2.2703967</v>
      </c>
      <c r="C74" s="12">
        <v>100.5233333</v>
      </c>
      <c r="D74" s="12">
        <v>0.29933149999999997</v>
      </c>
      <c r="E74" s="17">
        <v>0.05</v>
      </c>
      <c r="F74" s="13">
        <v>61.693333299999999</v>
      </c>
      <c r="G74" s="12">
        <v>19.839348000000001</v>
      </c>
      <c r="H74" s="12">
        <v>41.024237100000001</v>
      </c>
      <c r="I74" s="12">
        <v>-0.37202629999999998</v>
      </c>
      <c r="J74" s="12">
        <v>-14.5</v>
      </c>
      <c r="K74" s="12">
        <v>-27</v>
      </c>
      <c r="L74" s="12">
        <v>-5.6</v>
      </c>
      <c r="M74" s="12">
        <v>3.2</v>
      </c>
      <c r="N74" s="12">
        <v>-18</v>
      </c>
      <c r="O74" s="12">
        <v>-27</v>
      </c>
      <c r="P74" s="7">
        <v>16560.400000000001</v>
      </c>
      <c r="Q74" s="7">
        <v>1603.1</v>
      </c>
      <c r="R74" s="7">
        <v>8.8000000000000007</v>
      </c>
      <c r="S74" s="12">
        <v>17.925560600000001</v>
      </c>
      <c r="T74" s="12">
        <v>30</v>
      </c>
      <c r="U74" s="12">
        <v>104.8929728</v>
      </c>
      <c r="V74" s="12">
        <v>23.876926999999998</v>
      </c>
      <c r="W74" s="12">
        <v>-15.8210747</v>
      </c>
      <c r="X74" s="12">
        <v>-16.665679000000001</v>
      </c>
      <c r="Y74" s="12">
        <v>-18.436038100000001</v>
      </c>
      <c r="Z74" s="12">
        <v>-6.6034103999999996</v>
      </c>
      <c r="AA74" s="12">
        <v>69.360323100000002</v>
      </c>
      <c r="AB74" s="12">
        <v>20.020800699999999</v>
      </c>
      <c r="AC74" s="12">
        <v>11.759631300000001</v>
      </c>
      <c r="AD74" s="12">
        <v>54.877111499999998</v>
      </c>
      <c r="AE74" s="12">
        <v>56.017866699999999</v>
      </c>
      <c r="AF74" s="12">
        <v>-0.91483300000000001</v>
      </c>
      <c r="AG74" s="12">
        <v>72.325435100000007</v>
      </c>
    </row>
    <row r="75" spans="1:33" s="11" customFormat="1" outlineLevel="1" x14ac:dyDescent="0.3">
      <c r="A75" s="11" t="s">
        <v>81</v>
      </c>
      <c r="B75" s="12">
        <v>2.2457793000000001</v>
      </c>
      <c r="C75" s="12">
        <v>100.1533333</v>
      </c>
      <c r="D75" s="12">
        <v>0.24355250000000001</v>
      </c>
      <c r="E75" s="17">
        <v>0.05</v>
      </c>
      <c r="F75" s="13">
        <v>50.233333299999998</v>
      </c>
      <c r="G75" s="12">
        <v>23.165323699999998</v>
      </c>
      <c r="H75" s="12">
        <v>55.458441899999997</v>
      </c>
      <c r="I75" s="12">
        <v>3.5693839999999999</v>
      </c>
      <c r="J75" s="12">
        <v>-7</v>
      </c>
      <c r="K75" s="12">
        <v>-19</v>
      </c>
      <c r="L75" s="12">
        <v>-0.8</v>
      </c>
      <c r="M75" s="12">
        <v>10.3</v>
      </c>
      <c r="N75" s="12">
        <v>-6.8</v>
      </c>
      <c r="O75" s="12">
        <v>-11.5</v>
      </c>
      <c r="P75" s="7">
        <v>16733.599999999999</v>
      </c>
      <c r="Q75" s="7">
        <v>1578.2</v>
      </c>
      <c r="R75" s="7">
        <v>8.6</v>
      </c>
      <c r="S75" s="12">
        <v>24.545918400000001</v>
      </c>
      <c r="T75" s="12">
        <v>22</v>
      </c>
      <c r="U75" s="12">
        <v>105.11036609999999</v>
      </c>
      <c r="V75" s="12">
        <v>24.1360283</v>
      </c>
      <c r="W75" s="12">
        <v>-9.1701645999999997</v>
      </c>
      <c r="X75" s="12">
        <v>-10.1359029</v>
      </c>
      <c r="Y75" s="12">
        <v>-11.1110524</v>
      </c>
      <c r="Z75" s="12">
        <v>2.4059675</v>
      </c>
      <c r="AA75" s="12">
        <v>62.577579700000001</v>
      </c>
      <c r="AB75" s="12">
        <v>13.988433799999999</v>
      </c>
      <c r="AC75" s="12">
        <v>25.652340299999999</v>
      </c>
      <c r="AD75" s="12">
        <v>47.019825500000003</v>
      </c>
      <c r="AE75" s="12">
        <v>49.2381794</v>
      </c>
      <c r="AF75" s="12">
        <v>-16.496312400000001</v>
      </c>
      <c r="AG75" s="12">
        <v>76.510884300000001</v>
      </c>
    </row>
    <row r="76" spans="1:33" s="11" customFormat="1" outlineLevel="1" x14ac:dyDescent="0.3">
      <c r="A76" s="11" t="s">
        <v>82</v>
      </c>
      <c r="B76" s="12">
        <v>2.5478125</v>
      </c>
      <c r="C76" s="12">
        <v>100.1233333</v>
      </c>
      <c r="D76" s="12">
        <v>0.1533793</v>
      </c>
      <c r="E76" s="17">
        <v>0.05</v>
      </c>
      <c r="F76" s="13">
        <v>43.57</v>
      </c>
      <c r="G76" s="12">
        <v>52.978054700000001</v>
      </c>
      <c r="H76" s="12">
        <v>50.094168699999997</v>
      </c>
      <c r="I76" s="12">
        <v>-10.7681191</v>
      </c>
      <c r="J76" s="12">
        <v>-2.4</v>
      </c>
      <c r="K76" s="12">
        <v>-13.6</v>
      </c>
      <c r="L76" s="12">
        <v>11.1</v>
      </c>
      <c r="M76" s="12">
        <v>26</v>
      </c>
      <c r="N76" s="12">
        <v>-3.5</v>
      </c>
      <c r="O76" s="12">
        <v>-10.5</v>
      </c>
      <c r="P76" s="7">
        <v>16224.2</v>
      </c>
      <c r="Q76" s="7">
        <v>1706</v>
      </c>
      <c r="R76" s="7">
        <v>9.5146735675006493</v>
      </c>
      <c r="S76" s="12">
        <v>28.991406600000001</v>
      </c>
      <c r="T76" s="12">
        <v>22</v>
      </c>
      <c r="U76" s="12">
        <v>106.6929106</v>
      </c>
      <c r="V76" s="12">
        <v>25.016691000000002</v>
      </c>
      <c r="W76" s="12">
        <v>-6.9265368</v>
      </c>
      <c r="X76" s="12">
        <v>-5.4821206</v>
      </c>
      <c r="Y76" s="12">
        <v>-8.8581786999999998</v>
      </c>
      <c r="Z76" s="12">
        <v>8.3018902000000008</v>
      </c>
      <c r="AA76" s="12">
        <v>67.6435575</v>
      </c>
      <c r="AB76" s="12">
        <v>22.959508599999999</v>
      </c>
      <c r="AC76" s="12">
        <v>12.8200991</v>
      </c>
      <c r="AD76" s="12">
        <v>47.354548999999999</v>
      </c>
      <c r="AE76" s="12">
        <v>50.777714199999998</v>
      </c>
      <c r="AF76" s="12">
        <v>-17.208200900000001</v>
      </c>
      <c r="AG76" s="12">
        <v>79.061871400000001</v>
      </c>
    </row>
    <row r="77" spans="1:33" s="11" customFormat="1" outlineLevel="1" x14ac:dyDescent="0.3">
      <c r="A77" s="11" t="s">
        <v>83</v>
      </c>
      <c r="B77" s="12">
        <v>1.9366078</v>
      </c>
      <c r="C77" s="12">
        <v>99.246666700000006</v>
      </c>
      <c r="D77" s="12">
        <v>4.3681400000000002E-2</v>
      </c>
      <c r="E77" s="17">
        <v>3.3333300000000003E-2</v>
      </c>
      <c r="F77" s="13">
        <v>33.696666700000002</v>
      </c>
      <c r="G77" s="12">
        <v>26.3449068</v>
      </c>
      <c r="H77" s="12">
        <v>16.520050999999999</v>
      </c>
      <c r="I77" s="12">
        <v>0.84981700000000004</v>
      </c>
      <c r="J77" s="12">
        <v>0.3</v>
      </c>
      <c r="K77" s="12">
        <v>-1.5</v>
      </c>
      <c r="L77" s="12">
        <v>1.3</v>
      </c>
      <c r="M77" s="12">
        <v>14.8</v>
      </c>
      <c r="N77" s="12">
        <v>-4.2</v>
      </c>
      <c r="O77" s="12">
        <v>-2.9</v>
      </c>
      <c r="P77" s="7">
        <v>16054.8</v>
      </c>
      <c r="Q77" s="7">
        <v>1767.4</v>
      </c>
      <c r="R77" s="7">
        <v>9.9</v>
      </c>
      <c r="S77" s="12">
        <v>26.627705200000001</v>
      </c>
      <c r="T77" s="12">
        <v>22</v>
      </c>
      <c r="U77" s="12">
        <v>108.93535780000001</v>
      </c>
      <c r="V77" s="12">
        <v>28.299099999999999</v>
      </c>
      <c r="W77" s="12">
        <v>3.7548707000000001</v>
      </c>
      <c r="X77" s="12">
        <v>-14.785519799999999</v>
      </c>
      <c r="Y77" s="12">
        <v>-4.7495130000000003</v>
      </c>
      <c r="Z77" s="12">
        <v>-1.0035626</v>
      </c>
      <c r="AA77" s="12">
        <v>77.1404663</v>
      </c>
      <c r="AB77" s="12">
        <v>19.060922699999999</v>
      </c>
      <c r="AC77" s="12">
        <v>13.789210600000001</v>
      </c>
      <c r="AD77" s="12">
        <v>55.404372500000001</v>
      </c>
      <c r="AE77" s="12">
        <v>65.394972100000004</v>
      </c>
      <c r="AF77" s="12">
        <v>-29.0731021</v>
      </c>
      <c r="AG77" s="12">
        <v>71.703251499999993</v>
      </c>
    </row>
    <row r="78" spans="1:33" s="11" customFormat="1" outlineLevel="1" x14ac:dyDescent="0.3">
      <c r="A78" s="11" t="s">
        <v>84</v>
      </c>
      <c r="B78" s="12">
        <v>2.4666936000000002</v>
      </c>
      <c r="C78" s="12">
        <v>100.42</v>
      </c>
      <c r="D78" s="12">
        <v>-0.10279530000000001</v>
      </c>
      <c r="E78" s="17">
        <v>0</v>
      </c>
      <c r="F78" s="13">
        <v>45.523333299999997</v>
      </c>
      <c r="G78" s="12">
        <v>19.436766800000001</v>
      </c>
      <c r="H78" s="12">
        <v>11.1542444</v>
      </c>
      <c r="I78" s="12">
        <v>-2.8278275000000002</v>
      </c>
      <c r="J78" s="12">
        <v>1.8</v>
      </c>
      <c r="K78" s="12">
        <v>4.4000000000000004</v>
      </c>
      <c r="L78" s="12">
        <v>-2.2999999999999998</v>
      </c>
      <c r="M78" s="12">
        <v>25.2</v>
      </c>
      <c r="N78" s="12">
        <v>-6.8</v>
      </c>
      <c r="O78" s="12">
        <v>0.3</v>
      </c>
      <c r="P78" s="7">
        <v>16423.8</v>
      </c>
      <c r="Q78" s="7">
        <v>1615.6</v>
      </c>
      <c r="R78" s="7">
        <v>9</v>
      </c>
      <c r="S78" s="12">
        <v>23.314315400000002</v>
      </c>
      <c r="T78" s="12">
        <v>16.5</v>
      </c>
      <c r="U78" s="12">
        <v>113.3459457</v>
      </c>
      <c r="V78" s="12">
        <v>28.554099999999998</v>
      </c>
      <c r="W78" s="12">
        <v>1.1055634000000001</v>
      </c>
      <c r="X78" s="12">
        <v>-5.3985913999999999</v>
      </c>
      <c r="Y78" s="12">
        <v>-2.684806</v>
      </c>
      <c r="Z78" s="12">
        <v>-1.1365008999999999</v>
      </c>
      <c r="AA78" s="12">
        <v>68.538233099999999</v>
      </c>
      <c r="AB78" s="12">
        <v>19.524884199999999</v>
      </c>
      <c r="AC78" s="12">
        <v>14.587241799999999</v>
      </c>
      <c r="AD78" s="12">
        <v>52.929712700000003</v>
      </c>
      <c r="AE78" s="12">
        <v>55.580071699999998</v>
      </c>
      <c r="AF78" s="12">
        <v>-18.529417800000001</v>
      </c>
      <c r="AG78" s="12">
        <v>69.938604799999993</v>
      </c>
    </row>
    <row r="79" spans="1:33" s="11" customFormat="1" outlineLevel="1" x14ac:dyDescent="0.3">
      <c r="A79" s="11" t="s">
        <v>85</v>
      </c>
      <c r="B79" s="12">
        <v>1.6225508</v>
      </c>
      <c r="C79" s="12">
        <v>100.42</v>
      </c>
      <c r="D79" s="12">
        <v>0.26625840000000001</v>
      </c>
      <c r="E79" s="17">
        <v>0</v>
      </c>
      <c r="F79" s="13">
        <v>45.786666699999998</v>
      </c>
      <c r="G79" s="12">
        <v>38.334713299999997</v>
      </c>
      <c r="H79" s="12">
        <v>9.7362567999999996</v>
      </c>
      <c r="I79" s="12">
        <v>-3.0401544999999999</v>
      </c>
      <c r="J79" s="12">
        <v>2.6</v>
      </c>
      <c r="K79" s="12">
        <v>5.0999999999999996</v>
      </c>
      <c r="L79" s="12">
        <v>1.3</v>
      </c>
      <c r="M79" s="12">
        <v>43.9</v>
      </c>
      <c r="N79" s="12">
        <v>-4.7</v>
      </c>
      <c r="O79" s="12">
        <v>18.100000000000001</v>
      </c>
      <c r="P79" s="7">
        <v>16524.3</v>
      </c>
      <c r="Q79" s="7">
        <v>1603.6</v>
      </c>
      <c r="R79" s="7">
        <v>8.8000000000000007</v>
      </c>
      <c r="S79" s="12">
        <v>23.1582112</v>
      </c>
      <c r="T79" s="12">
        <v>15</v>
      </c>
      <c r="U79" s="12">
        <v>113.5696568</v>
      </c>
      <c r="V79" s="12">
        <v>28.358466700000001</v>
      </c>
      <c r="W79" s="12">
        <v>3.9104158999999998</v>
      </c>
      <c r="X79" s="12">
        <v>-4.3379238999999998</v>
      </c>
      <c r="Y79" s="12">
        <v>9.1368284000000006</v>
      </c>
      <c r="Z79" s="12">
        <v>-4.6956226000000001</v>
      </c>
      <c r="AA79" s="12">
        <v>61.973978899999999</v>
      </c>
      <c r="AB79" s="12">
        <v>14.407645499999999</v>
      </c>
      <c r="AC79" s="12">
        <v>32.306361099999997</v>
      </c>
      <c r="AD79" s="12">
        <v>44.627347100000001</v>
      </c>
      <c r="AE79" s="12">
        <v>53.315332699999999</v>
      </c>
      <c r="AF79" s="12">
        <v>-5.5005670999999996</v>
      </c>
      <c r="AG79" s="12">
        <v>74.539217699999995</v>
      </c>
    </row>
    <row r="80" spans="1:33" s="11" customFormat="1" outlineLevel="1" x14ac:dyDescent="0.3">
      <c r="A80" s="11" t="s">
        <v>86</v>
      </c>
      <c r="B80" s="12">
        <v>1.866331</v>
      </c>
      <c r="C80" s="12">
        <v>100.89333329999999</v>
      </c>
      <c r="D80" s="12">
        <v>0.7690515</v>
      </c>
      <c r="E80" s="17">
        <v>0</v>
      </c>
      <c r="F80" s="13">
        <v>49.186666700000004</v>
      </c>
      <c r="G80" s="12">
        <v>13.4228199</v>
      </c>
      <c r="H80" s="12">
        <v>39.9294273</v>
      </c>
      <c r="I80" s="12">
        <v>-3.1983283999999998</v>
      </c>
      <c r="J80" s="12">
        <v>4.5</v>
      </c>
      <c r="K80" s="12">
        <v>2.7</v>
      </c>
      <c r="L80" s="12">
        <v>-1.6</v>
      </c>
      <c r="M80" s="12">
        <v>69.8</v>
      </c>
      <c r="N80" s="12">
        <v>9.6999999999999993</v>
      </c>
      <c r="O80" s="12">
        <v>20.3</v>
      </c>
      <c r="P80" s="7">
        <v>16104.7</v>
      </c>
      <c r="Q80" s="7">
        <v>1726.2</v>
      </c>
      <c r="R80" s="7">
        <v>9.6999999999999993</v>
      </c>
      <c r="S80" s="12">
        <v>20.834502100000002</v>
      </c>
      <c r="T80" s="12">
        <v>14</v>
      </c>
      <c r="U80" s="12">
        <v>119.80131489999999</v>
      </c>
      <c r="V80" s="12">
        <v>27.956099999999999</v>
      </c>
      <c r="W80" s="12">
        <v>6.7976805000000002</v>
      </c>
      <c r="X80" s="12">
        <v>9.2721932999999996</v>
      </c>
      <c r="Y80" s="12">
        <v>16.014094499999999</v>
      </c>
      <c r="Z80" s="12">
        <v>-0.73410750000000002</v>
      </c>
      <c r="AA80" s="12">
        <v>62.814561099999999</v>
      </c>
      <c r="AB80" s="12">
        <v>21.5250266</v>
      </c>
      <c r="AC80" s="12">
        <v>22.1813997</v>
      </c>
      <c r="AD80" s="12">
        <v>47.101168600000001</v>
      </c>
      <c r="AE80" s="12">
        <v>53.622155900000003</v>
      </c>
      <c r="AF80" s="12">
        <v>-6.5967174000000002</v>
      </c>
      <c r="AG80" s="12">
        <v>80.901966000000002</v>
      </c>
    </row>
    <row r="81" spans="1:33" s="11" customFormat="1" outlineLevel="1" x14ac:dyDescent="0.3">
      <c r="A81" s="11" t="s">
        <v>87</v>
      </c>
      <c r="B81" s="12">
        <v>3.0351661999999999</v>
      </c>
      <c r="C81" s="12">
        <v>101</v>
      </c>
      <c r="D81" s="12">
        <v>1.766642</v>
      </c>
      <c r="E81" s="17">
        <v>0</v>
      </c>
      <c r="F81" s="13">
        <v>53.68</v>
      </c>
      <c r="G81" s="12">
        <v>35.671218400000001</v>
      </c>
      <c r="H81" s="12">
        <v>34.910010900000003</v>
      </c>
      <c r="I81" s="12">
        <v>0.67683959999999999</v>
      </c>
      <c r="J81" s="12">
        <v>2.5000000999999998</v>
      </c>
      <c r="K81" s="12">
        <v>5.8000002000000004</v>
      </c>
      <c r="L81" s="12">
        <v>10.199999999999999</v>
      </c>
      <c r="M81" s="12">
        <v>5.2000006000000001</v>
      </c>
      <c r="N81" s="12">
        <v>5.1999998999999999</v>
      </c>
      <c r="O81" s="12">
        <v>11.7000001</v>
      </c>
      <c r="P81" s="7">
        <v>15885.8</v>
      </c>
      <c r="Q81" s="7">
        <v>1786.9</v>
      </c>
      <c r="R81" s="7">
        <v>10.1</v>
      </c>
      <c r="S81" s="12">
        <v>36.792384800000001</v>
      </c>
      <c r="T81" s="12">
        <v>14</v>
      </c>
      <c r="U81" s="12">
        <v>124.12372019999999</v>
      </c>
      <c r="V81" s="12">
        <v>28.808900000000001</v>
      </c>
      <c r="W81" s="12">
        <v>0.51212020000000003</v>
      </c>
      <c r="X81" s="12">
        <v>33.603414200000003</v>
      </c>
      <c r="Y81" s="12">
        <v>25.512619399999998</v>
      </c>
      <c r="Z81" s="12">
        <v>-4.5407517999999998</v>
      </c>
      <c r="AA81" s="12">
        <v>72.008652100000006</v>
      </c>
      <c r="AB81" s="12">
        <v>22.7706944</v>
      </c>
      <c r="AC81" s="12">
        <v>11.531097600000001</v>
      </c>
      <c r="AD81" s="12">
        <v>57.978082499999999</v>
      </c>
      <c r="AE81" s="12">
        <v>64.288526700000006</v>
      </c>
      <c r="AF81" s="12">
        <v>-8.8941911000000005</v>
      </c>
      <c r="AG81" s="12">
        <v>65.471401999999998</v>
      </c>
    </row>
    <row r="82" spans="1:33" s="11" customFormat="1" outlineLevel="1" x14ac:dyDescent="0.3">
      <c r="A82" s="11" t="s">
        <v>88</v>
      </c>
      <c r="B82" s="12">
        <v>2.3084487</v>
      </c>
      <c r="C82" s="12">
        <v>102.11333329999999</v>
      </c>
      <c r="D82" s="12">
        <v>1.6862509999999999</v>
      </c>
      <c r="E82" s="17">
        <v>0</v>
      </c>
      <c r="F82" s="13">
        <v>49.67</v>
      </c>
      <c r="G82" s="12">
        <v>18.8941965</v>
      </c>
      <c r="H82" s="12">
        <v>56.463794</v>
      </c>
      <c r="I82" s="12">
        <v>7.2461076000000002</v>
      </c>
      <c r="J82" s="12">
        <v>2.5</v>
      </c>
      <c r="K82" s="12">
        <v>12.2</v>
      </c>
      <c r="L82" s="12">
        <v>-2.3999997</v>
      </c>
      <c r="M82" s="12">
        <v>15.6000002</v>
      </c>
      <c r="N82" s="12">
        <v>1.3999999000000001</v>
      </c>
      <c r="O82" s="12">
        <v>15.6</v>
      </c>
      <c r="P82" s="7">
        <v>16356</v>
      </c>
      <c r="Q82" s="7">
        <v>1632.5</v>
      </c>
      <c r="R82" s="7">
        <v>9.1</v>
      </c>
      <c r="S82" s="12">
        <v>37.085962100000003</v>
      </c>
      <c r="T82" s="12">
        <v>12.5</v>
      </c>
      <c r="U82" s="12">
        <v>128.940843</v>
      </c>
      <c r="V82" s="12">
        <v>29.0629667</v>
      </c>
      <c r="W82" s="12">
        <v>2.1164021000000002</v>
      </c>
      <c r="X82" s="12">
        <v>18.5436519</v>
      </c>
      <c r="Y82" s="12">
        <v>28.3122781</v>
      </c>
      <c r="Z82" s="12">
        <v>-0.94410609999999995</v>
      </c>
      <c r="AA82" s="12">
        <v>71.623360899999994</v>
      </c>
      <c r="AB82" s="12">
        <v>20.929931499999999</v>
      </c>
      <c r="AC82" s="12">
        <v>14.4808048</v>
      </c>
      <c r="AD82" s="12">
        <v>51.493511300000002</v>
      </c>
      <c r="AE82" s="12">
        <v>58.527608499999999</v>
      </c>
      <c r="AF82" s="12">
        <v>-3.7358007</v>
      </c>
      <c r="AG82" s="12">
        <v>65.671640499999995</v>
      </c>
    </row>
    <row r="83" spans="1:33" s="11" customFormat="1" outlineLevel="1" x14ac:dyDescent="0.3">
      <c r="A83" s="11" t="s">
        <v>89</v>
      </c>
      <c r="B83" s="12">
        <v>3.0333996999999999</v>
      </c>
      <c r="C83" s="12">
        <v>102.1166667</v>
      </c>
      <c r="D83" s="12">
        <v>1.6895705000000001</v>
      </c>
      <c r="E83" s="17">
        <v>0</v>
      </c>
      <c r="F83" s="13">
        <v>52.11</v>
      </c>
      <c r="G83" s="12">
        <v>24.028562999999998</v>
      </c>
      <c r="H83" s="12">
        <v>32.000936699999997</v>
      </c>
      <c r="I83" s="12">
        <v>-1.2606401</v>
      </c>
      <c r="J83" s="12">
        <v>2.3000001000000001</v>
      </c>
      <c r="K83" s="12">
        <v>7.5999999000000003</v>
      </c>
      <c r="L83" s="12">
        <v>9.7000001000000005</v>
      </c>
      <c r="M83" s="12">
        <v>-4.9000000000000004</v>
      </c>
      <c r="N83" s="12">
        <v>6.9</v>
      </c>
      <c r="O83" s="12">
        <v>9.7000001000000005</v>
      </c>
      <c r="P83" s="7">
        <v>16428.7</v>
      </c>
      <c r="Q83" s="7">
        <v>1611.3</v>
      </c>
      <c r="R83" s="7">
        <v>8.9</v>
      </c>
      <c r="S83" s="12">
        <v>36.8394628</v>
      </c>
      <c r="T83" s="12">
        <v>12.5</v>
      </c>
      <c r="U83" s="12">
        <v>131.91337540000001</v>
      </c>
      <c r="V83" s="12">
        <v>30.385300000000001</v>
      </c>
      <c r="W83" s="12">
        <v>1.5395141000000001</v>
      </c>
      <c r="X83" s="12">
        <v>9.7672933999999998</v>
      </c>
      <c r="Y83" s="12">
        <v>10.3574178</v>
      </c>
      <c r="Z83" s="12">
        <v>-3.4927001999999998</v>
      </c>
      <c r="AA83" s="12">
        <v>62.2668058</v>
      </c>
      <c r="AB83" s="12">
        <v>17.072357400000001</v>
      </c>
      <c r="AC83" s="12">
        <v>29.161148699999998</v>
      </c>
      <c r="AD83" s="12">
        <v>42.2688451</v>
      </c>
      <c r="AE83" s="12">
        <v>50.769157</v>
      </c>
      <c r="AF83" s="12">
        <v>0.37499189999999999</v>
      </c>
      <c r="AG83" s="12">
        <v>68.537556600000002</v>
      </c>
    </row>
    <row r="84" spans="1:33" s="11" customFormat="1" outlineLevel="1" x14ac:dyDescent="0.3">
      <c r="A84" s="11" t="s">
        <v>90</v>
      </c>
      <c r="B84" s="12">
        <v>2.9900169999999999</v>
      </c>
      <c r="C84" s="12">
        <v>102.6233333</v>
      </c>
      <c r="D84" s="12">
        <v>1.7146821999999999</v>
      </c>
      <c r="E84" s="17">
        <v>0</v>
      </c>
      <c r="F84" s="13">
        <v>61.53</v>
      </c>
      <c r="G84" s="12">
        <v>28.082643900000001</v>
      </c>
      <c r="H84" s="12">
        <v>7.0640919999999996</v>
      </c>
      <c r="I84" s="12">
        <v>-9.3950410000000009</v>
      </c>
      <c r="J84" s="12">
        <v>2.2000001</v>
      </c>
      <c r="K84" s="12">
        <v>12.2000001</v>
      </c>
      <c r="L84" s="12">
        <v>4.2</v>
      </c>
      <c r="M84" s="12">
        <v>5</v>
      </c>
      <c r="N84" s="12">
        <v>1.9999998999999999</v>
      </c>
      <c r="O84" s="12">
        <v>15</v>
      </c>
      <c r="P84" s="7">
        <v>15955.1</v>
      </c>
      <c r="Q84" s="7">
        <v>1761.3</v>
      </c>
      <c r="R84" s="7">
        <v>9.94</v>
      </c>
      <c r="S84" s="12">
        <v>37.153966699999998</v>
      </c>
      <c r="T84" s="12">
        <v>14.5</v>
      </c>
      <c r="U84" s="12">
        <v>136.48578670000001</v>
      </c>
      <c r="V84" s="12">
        <v>31.759466700000001</v>
      </c>
      <c r="W84" s="12">
        <v>0.4223228</v>
      </c>
      <c r="X84" s="12">
        <v>2.6719355</v>
      </c>
      <c r="Y84" s="12">
        <v>7.7064266999999997</v>
      </c>
      <c r="Z84" s="12">
        <v>-3.3837956999999999</v>
      </c>
      <c r="AA84" s="12">
        <v>65.114215700000003</v>
      </c>
      <c r="AB84" s="12">
        <v>22.4910405</v>
      </c>
      <c r="AC84" s="12">
        <v>21.049673899999998</v>
      </c>
      <c r="AD84" s="12">
        <v>44.550456199999999</v>
      </c>
      <c r="AE84" s="12">
        <v>53.205386300000001</v>
      </c>
      <c r="AF84" s="12">
        <v>6.6421102000000003</v>
      </c>
      <c r="AG84" s="12">
        <v>71.839232600000003</v>
      </c>
    </row>
    <row r="85" spans="1:33" s="11" customFormat="1" outlineLevel="1" x14ac:dyDescent="0.3">
      <c r="A85" s="11" t="s">
        <v>91</v>
      </c>
      <c r="B85" s="12">
        <v>2.2828298</v>
      </c>
      <c r="C85" s="12">
        <v>102.5466667</v>
      </c>
      <c r="D85" s="12">
        <v>1.5313532000000001</v>
      </c>
      <c r="E85" s="17">
        <v>0</v>
      </c>
      <c r="F85" s="13">
        <v>66.806666699999994</v>
      </c>
      <c r="G85" s="12">
        <v>16.331611800000001</v>
      </c>
      <c r="H85" s="12">
        <v>12.8624051</v>
      </c>
      <c r="I85" s="12">
        <v>-0.42341400000000001</v>
      </c>
      <c r="J85" s="12">
        <v>3.7</v>
      </c>
      <c r="K85" s="12">
        <v>8.3000000000000007</v>
      </c>
      <c r="L85" s="12">
        <v>-0.60000030000000004</v>
      </c>
      <c r="M85" s="12">
        <v>-13.2000005</v>
      </c>
      <c r="N85" s="12">
        <v>-2.0000000999999998</v>
      </c>
      <c r="O85" s="12">
        <v>0.70000010000000001</v>
      </c>
      <c r="P85" s="7">
        <v>16034.9</v>
      </c>
      <c r="Q85" s="7">
        <v>1712.8</v>
      </c>
      <c r="R85" s="7">
        <v>9.6999999999999993</v>
      </c>
      <c r="S85" s="12">
        <v>26.106594999999999</v>
      </c>
      <c r="T85" s="12">
        <v>17</v>
      </c>
      <c r="U85" s="12">
        <v>141.2247121</v>
      </c>
      <c r="V85" s="12">
        <v>33.564266699999997</v>
      </c>
      <c r="W85" s="12">
        <v>4.4497282</v>
      </c>
      <c r="X85" s="12">
        <v>-5.2802730999999996</v>
      </c>
      <c r="Y85" s="12">
        <v>-2.9301013999999999</v>
      </c>
      <c r="Z85" s="12">
        <v>-7.5702208999999998</v>
      </c>
      <c r="AA85" s="12">
        <v>75.763197500000004</v>
      </c>
      <c r="AB85" s="12">
        <v>22.454722199999999</v>
      </c>
      <c r="AC85" s="12">
        <v>9.0930847999999997</v>
      </c>
      <c r="AD85" s="12">
        <v>53.618186700000003</v>
      </c>
      <c r="AE85" s="12">
        <v>60.929191199999998</v>
      </c>
      <c r="AF85" s="12">
        <v>11.1627904</v>
      </c>
      <c r="AG85" s="12">
        <v>57.6857665</v>
      </c>
    </row>
    <row r="86" spans="1:33" s="11" customFormat="1" outlineLevel="1" x14ac:dyDescent="0.3">
      <c r="A86" s="11" t="s">
        <v>92</v>
      </c>
      <c r="B86" s="12">
        <v>2.5023559999999998</v>
      </c>
      <c r="C86" s="12">
        <v>104.0133333</v>
      </c>
      <c r="D86" s="12">
        <v>1.8606777000000001</v>
      </c>
      <c r="E86" s="17">
        <v>0</v>
      </c>
      <c r="F86" s="13">
        <v>74.5</v>
      </c>
      <c r="G86" s="12">
        <v>34.198148799999998</v>
      </c>
      <c r="H86" s="12">
        <v>15.6333479</v>
      </c>
      <c r="I86" s="12">
        <v>1.6613494</v>
      </c>
      <c r="J86" s="12">
        <v>4</v>
      </c>
      <c r="K86" s="12">
        <v>7.1999998999999999</v>
      </c>
      <c r="L86" s="12">
        <v>13.0999996</v>
      </c>
      <c r="M86" s="12">
        <v>-13.3999997</v>
      </c>
      <c r="N86" s="12">
        <v>0.89999980000000002</v>
      </c>
      <c r="O86" s="12">
        <v>3.4999999000000002</v>
      </c>
      <c r="P86" s="7">
        <v>16531.5</v>
      </c>
      <c r="Q86" s="7">
        <v>1488</v>
      </c>
      <c r="R86" s="7">
        <v>8.3000000000000007</v>
      </c>
      <c r="S86" s="12">
        <v>26.303993500000001</v>
      </c>
      <c r="T86" s="12">
        <v>17</v>
      </c>
      <c r="U86" s="12">
        <v>143.82068050000001</v>
      </c>
      <c r="V86" s="12">
        <v>31.2705333</v>
      </c>
      <c r="W86" s="12">
        <v>3.7305698999999999</v>
      </c>
      <c r="X86" s="12">
        <v>4.4427063999999996</v>
      </c>
      <c r="Y86" s="12">
        <v>4.2916150999999996</v>
      </c>
      <c r="Z86" s="12">
        <v>-0.91792899999999999</v>
      </c>
      <c r="AA86" s="12">
        <v>71.479421900000006</v>
      </c>
      <c r="AB86" s="12">
        <v>23.382530500000001</v>
      </c>
      <c r="AC86" s="12">
        <v>11.544217</v>
      </c>
      <c r="AD86" s="12">
        <v>47.467337000000001</v>
      </c>
      <c r="AE86" s="12">
        <v>53.873506399999997</v>
      </c>
      <c r="AF86" s="12">
        <v>15.0880671</v>
      </c>
      <c r="AG86" s="12">
        <v>56.131064199999997</v>
      </c>
    </row>
    <row r="87" spans="1:33" s="11" customFormat="1" outlineLevel="1" x14ac:dyDescent="0.3">
      <c r="A87" s="11" t="s">
        <v>93</v>
      </c>
      <c r="B87" s="12">
        <v>1.7229988000000001</v>
      </c>
      <c r="C87" s="12">
        <v>104.3666667</v>
      </c>
      <c r="D87" s="12">
        <v>2.2033621999999999</v>
      </c>
      <c r="E87" s="17">
        <v>0</v>
      </c>
      <c r="F87" s="13">
        <v>75.223333299999993</v>
      </c>
      <c r="G87" s="12">
        <v>11.7264523</v>
      </c>
      <c r="H87" s="12">
        <v>18.176256800000001</v>
      </c>
      <c r="I87" s="12">
        <v>0.40948879999999999</v>
      </c>
      <c r="J87" s="12">
        <v>2.7</v>
      </c>
      <c r="K87" s="12">
        <v>12.1</v>
      </c>
      <c r="L87" s="12">
        <v>-7.3000005999999997</v>
      </c>
      <c r="M87" s="12">
        <v>6.4999998999999997</v>
      </c>
      <c r="N87" s="12">
        <v>-4.2999999000000004</v>
      </c>
      <c r="O87" s="12">
        <v>4.2</v>
      </c>
      <c r="P87" s="7">
        <v>16659.099999999999</v>
      </c>
      <c r="Q87" s="7">
        <v>1447.1</v>
      </c>
      <c r="R87" s="7">
        <v>8</v>
      </c>
      <c r="S87" s="12">
        <v>24.6967988</v>
      </c>
      <c r="T87" s="12">
        <v>18</v>
      </c>
      <c r="U87" s="12">
        <v>143.718424</v>
      </c>
      <c r="V87" s="12">
        <v>31.8248</v>
      </c>
      <c r="W87" s="12">
        <v>2.1563343000000001</v>
      </c>
      <c r="X87" s="12">
        <v>8.6093845000000009</v>
      </c>
      <c r="Y87" s="12">
        <v>16.6315007</v>
      </c>
      <c r="Z87" s="12">
        <v>-5.7041351999999996</v>
      </c>
      <c r="AA87" s="12">
        <v>65.010334499999999</v>
      </c>
      <c r="AB87" s="12">
        <v>16.005983499999999</v>
      </c>
      <c r="AC87" s="12">
        <v>30.664262000000001</v>
      </c>
      <c r="AD87" s="12">
        <v>40.303077799999997</v>
      </c>
      <c r="AE87" s="12">
        <v>51.983657800000003</v>
      </c>
      <c r="AF87" s="12">
        <v>23.754166000000001</v>
      </c>
      <c r="AG87" s="12">
        <v>59.347648</v>
      </c>
    </row>
    <row r="88" spans="1:33" s="11" customFormat="1" outlineLevel="1" x14ac:dyDescent="0.3">
      <c r="A88" s="11" t="s">
        <v>94</v>
      </c>
      <c r="B88" s="12">
        <v>1.7730376000000001</v>
      </c>
      <c r="C88" s="12">
        <v>104.64</v>
      </c>
      <c r="D88" s="12">
        <v>1.9651152000000001</v>
      </c>
      <c r="E88" s="17">
        <v>0</v>
      </c>
      <c r="F88" s="13">
        <v>67.713333300000002</v>
      </c>
      <c r="G88" s="12">
        <v>13.877890799999999</v>
      </c>
      <c r="H88" s="12">
        <v>18.609956700000001</v>
      </c>
      <c r="I88" s="12">
        <v>-7.8448301000000003</v>
      </c>
      <c r="J88" s="12">
        <v>3.7</v>
      </c>
      <c r="K88" s="12">
        <v>9.1999999999999993</v>
      </c>
      <c r="L88" s="12">
        <v>-4.0999999999999996</v>
      </c>
      <c r="M88" s="12">
        <v>-4.4999997</v>
      </c>
      <c r="N88" s="12">
        <v>0.39999990000000002</v>
      </c>
      <c r="O88" s="12">
        <v>2.5999998999999998</v>
      </c>
      <c r="P88" s="7">
        <v>16218.1</v>
      </c>
      <c r="Q88" s="7">
        <v>1666.5</v>
      </c>
      <c r="R88" s="7">
        <v>9.3180725316753001</v>
      </c>
      <c r="S88" s="12">
        <v>22.5037448</v>
      </c>
      <c r="T88" s="12">
        <v>18</v>
      </c>
      <c r="U88" s="12">
        <v>149.78290809999999</v>
      </c>
      <c r="V88" s="12">
        <v>31.9120667</v>
      </c>
      <c r="W88" s="12">
        <v>1.8924601000000001</v>
      </c>
      <c r="X88" s="12">
        <v>11.8932065</v>
      </c>
      <c r="Y88" s="12">
        <v>12.8041249</v>
      </c>
      <c r="Z88" s="12">
        <v>-5.6379640000000002</v>
      </c>
      <c r="AA88" s="12">
        <v>67.570117100000004</v>
      </c>
      <c r="AB88" s="12">
        <v>22.141601399999999</v>
      </c>
      <c r="AC88" s="12">
        <v>18.9675987</v>
      </c>
      <c r="AD88" s="12">
        <v>42.547034500000002</v>
      </c>
      <c r="AE88" s="12">
        <v>51.226351700000002</v>
      </c>
      <c r="AF88" s="12">
        <v>15.455080499999999</v>
      </c>
      <c r="AG88" s="12">
        <v>60.905552399999998</v>
      </c>
    </row>
    <row r="89" spans="1:33" s="11" customFormat="1" outlineLevel="1" x14ac:dyDescent="0.3">
      <c r="A89" s="11" t="s">
        <v>95</v>
      </c>
      <c r="B89" s="12">
        <v>1.9308453999999999</v>
      </c>
      <c r="C89" s="12">
        <v>104.17</v>
      </c>
      <c r="D89" s="12">
        <v>1.5830191</v>
      </c>
      <c r="E89" s="17">
        <v>0</v>
      </c>
      <c r="F89" s="13">
        <v>63.17</v>
      </c>
      <c r="G89" s="12">
        <v>12.6679868</v>
      </c>
      <c r="H89" s="12">
        <v>10.4213013</v>
      </c>
      <c r="I89" s="12">
        <v>-1.0926262</v>
      </c>
      <c r="J89" s="12">
        <v>3.1</v>
      </c>
      <c r="K89" s="12">
        <v>11.099999800000001</v>
      </c>
      <c r="L89" s="12">
        <v>-17.399999699999999</v>
      </c>
      <c r="M89" s="12">
        <v>-12.399999299999999</v>
      </c>
      <c r="N89" s="12">
        <v>7.2000000999999996</v>
      </c>
      <c r="O89" s="12">
        <v>6.2000000999999996</v>
      </c>
      <c r="P89" s="7">
        <v>16261.8</v>
      </c>
      <c r="Q89" s="7">
        <v>1645.8</v>
      </c>
      <c r="R89" s="7">
        <v>9.1999999999999993</v>
      </c>
      <c r="S89" s="12">
        <v>20.764586699999999</v>
      </c>
      <c r="T89" s="12">
        <v>18</v>
      </c>
      <c r="U89" s="12">
        <v>153.75665319999999</v>
      </c>
      <c r="V89" s="12">
        <v>31.023433300000001</v>
      </c>
      <c r="W89" s="12">
        <v>-6.5040600000000004E-2</v>
      </c>
      <c r="X89" s="12">
        <v>17.8457005</v>
      </c>
      <c r="Y89" s="12">
        <v>16.5086385</v>
      </c>
      <c r="Z89" s="12">
        <v>-1.9077360000000001</v>
      </c>
      <c r="AA89" s="12">
        <v>80.467581899999999</v>
      </c>
      <c r="AB89" s="12">
        <v>19.681929199999999</v>
      </c>
      <c r="AC89" s="12">
        <v>6.0598337000000004</v>
      </c>
      <c r="AD89" s="12">
        <v>50.293534399999999</v>
      </c>
      <c r="AE89" s="12">
        <v>56.502879200000002</v>
      </c>
      <c r="AF89" s="12">
        <v>15.3161945</v>
      </c>
      <c r="AG89" s="12">
        <v>53.983269100000001</v>
      </c>
    </row>
    <row r="90" spans="1:33" s="11" customFormat="1" outlineLevel="1" x14ac:dyDescent="0.3">
      <c r="A90" s="11" t="s">
        <v>96</v>
      </c>
      <c r="B90" s="12">
        <v>1.5959346999999999</v>
      </c>
      <c r="C90" s="12">
        <v>105.7566667</v>
      </c>
      <c r="D90" s="12">
        <v>1.6760672000000001</v>
      </c>
      <c r="E90" s="17">
        <v>0</v>
      </c>
      <c r="F90" s="13">
        <v>68.923333299999996</v>
      </c>
      <c r="G90" s="12">
        <v>10.749040000000001</v>
      </c>
      <c r="H90" s="12">
        <v>15.4947286</v>
      </c>
      <c r="I90" s="12">
        <v>3.2193909000000001</v>
      </c>
      <c r="J90" s="12">
        <v>4.8</v>
      </c>
      <c r="K90" s="12">
        <v>12.9</v>
      </c>
      <c r="L90" s="12">
        <v>-13.8999997</v>
      </c>
      <c r="M90" s="12">
        <v>14.6000005</v>
      </c>
      <c r="N90" s="12">
        <v>4.3999999000000001</v>
      </c>
      <c r="O90" s="12">
        <v>9.4</v>
      </c>
      <c r="P90" s="7">
        <v>16709.400000000001</v>
      </c>
      <c r="Q90" s="7">
        <v>1411</v>
      </c>
      <c r="R90" s="7">
        <v>7.8</v>
      </c>
      <c r="S90" s="12">
        <v>18.7710352</v>
      </c>
      <c r="T90" s="12">
        <v>17.5</v>
      </c>
      <c r="U90" s="12">
        <v>156.9495478</v>
      </c>
      <c r="V90" s="12">
        <v>29.836366699999999</v>
      </c>
      <c r="W90" s="12">
        <v>2.7306028000000002</v>
      </c>
      <c r="X90" s="12">
        <v>12.460365400000001</v>
      </c>
      <c r="Y90" s="12">
        <v>17.737564599999999</v>
      </c>
      <c r="Z90" s="12">
        <v>-3.6293131000000001</v>
      </c>
      <c r="AA90" s="12">
        <v>76.186191600000001</v>
      </c>
      <c r="AB90" s="12">
        <v>20.3956421</v>
      </c>
      <c r="AC90" s="12">
        <v>11.745074000000001</v>
      </c>
      <c r="AD90" s="12">
        <v>44.241194499999999</v>
      </c>
      <c r="AE90" s="12">
        <v>52.568102199999998</v>
      </c>
      <c r="AF90" s="12">
        <v>13.472050899999999</v>
      </c>
      <c r="AG90" s="12">
        <v>52.879771099999999</v>
      </c>
    </row>
    <row r="91" spans="1:33" s="11" customFormat="1" outlineLevel="1" x14ac:dyDescent="0.3">
      <c r="A91" s="11" t="s">
        <v>97</v>
      </c>
      <c r="B91" s="12">
        <v>2.3612953000000001</v>
      </c>
      <c r="C91" s="12">
        <v>105.74</v>
      </c>
      <c r="D91" s="12">
        <v>1.3158734999999999</v>
      </c>
      <c r="E91" s="17">
        <v>0</v>
      </c>
      <c r="F91" s="13">
        <v>61.93</v>
      </c>
      <c r="G91" s="12">
        <v>11.922139</v>
      </c>
      <c r="H91" s="12">
        <v>6.103421</v>
      </c>
      <c r="I91" s="12">
        <v>-1.1063148</v>
      </c>
      <c r="J91" s="12">
        <v>3.8</v>
      </c>
      <c r="K91" s="12">
        <v>9.4</v>
      </c>
      <c r="L91" s="12">
        <v>-7.5</v>
      </c>
      <c r="M91" s="12">
        <v>-11.3000001</v>
      </c>
      <c r="N91" s="12">
        <v>13.400000199999999</v>
      </c>
      <c r="O91" s="12">
        <v>6.8</v>
      </c>
      <c r="P91" s="7">
        <v>16911.599999999999</v>
      </c>
      <c r="Q91" s="7">
        <v>1328.6</v>
      </c>
      <c r="R91" s="7">
        <v>7.3</v>
      </c>
      <c r="S91" s="12">
        <v>18.411932199999999</v>
      </c>
      <c r="T91" s="12">
        <v>16.5</v>
      </c>
      <c r="U91" s="12">
        <v>155.8995367</v>
      </c>
      <c r="V91" s="12">
        <v>28.0920667</v>
      </c>
      <c r="W91" s="12">
        <v>1.055409</v>
      </c>
      <c r="X91" s="12">
        <v>16.4873908</v>
      </c>
      <c r="Y91" s="12">
        <v>13.375419600000001</v>
      </c>
      <c r="Z91" s="12">
        <v>-8.4742338999999998</v>
      </c>
      <c r="AA91" s="12">
        <v>68.960539999999995</v>
      </c>
      <c r="AB91" s="12">
        <v>15.1052824</v>
      </c>
      <c r="AC91" s="12">
        <v>25.400957900000002</v>
      </c>
      <c r="AD91" s="12">
        <v>37.072220100000003</v>
      </c>
      <c r="AE91" s="12">
        <v>46.539000399999999</v>
      </c>
      <c r="AF91" s="12">
        <v>4.3168030000000002</v>
      </c>
      <c r="AG91" s="12">
        <v>50.235655899999998</v>
      </c>
    </row>
    <row r="92" spans="1:33" s="11" customFormat="1" outlineLevel="1" x14ac:dyDescent="0.3">
      <c r="A92" s="11" t="s">
        <v>98</v>
      </c>
      <c r="B92" s="12">
        <v>1.3592039</v>
      </c>
      <c r="C92" s="12">
        <v>106.0066667</v>
      </c>
      <c r="D92" s="12">
        <v>1.3060653</v>
      </c>
      <c r="E92" s="17">
        <v>0</v>
      </c>
      <c r="F92" s="13">
        <v>63.41</v>
      </c>
      <c r="G92" s="12">
        <v>6.4163962000000003</v>
      </c>
      <c r="H92" s="12">
        <v>3.8459656999999998</v>
      </c>
      <c r="I92" s="12">
        <v>-8.6291159999999998</v>
      </c>
      <c r="J92" s="12">
        <v>1.2999999</v>
      </c>
      <c r="K92" s="12">
        <v>10.5999999</v>
      </c>
      <c r="L92" s="12">
        <v>-14.6999999</v>
      </c>
      <c r="M92" s="12">
        <v>-17.8999998</v>
      </c>
      <c r="N92" s="12">
        <v>3.7</v>
      </c>
      <c r="O92" s="12">
        <v>1.8999999000000001</v>
      </c>
      <c r="P92" s="7">
        <v>16430.400000000001</v>
      </c>
      <c r="Q92" s="7">
        <v>1565.4</v>
      </c>
      <c r="R92" s="7">
        <v>8.6999999999999993</v>
      </c>
      <c r="S92" s="12">
        <v>16.2990207</v>
      </c>
      <c r="T92" s="12">
        <v>13.5</v>
      </c>
      <c r="U92" s="12">
        <v>157.56397659999999</v>
      </c>
      <c r="V92" s="12">
        <v>26.855466700000001</v>
      </c>
      <c r="W92" s="12">
        <v>-5.1002359000000004</v>
      </c>
      <c r="X92" s="12">
        <v>7.1641075000000001</v>
      </c>
      <c r="Y92" s="12">
        <v>8.0709967999999996</v>
      </c>
      <c r="Z92" s="12">
        <v>3.1701502000000001</v>
      </c>
      <c r="AA92" s="12">
        <v>73.785172299999999</v>
      </c>
      <c r="AB92" s="12">
        <v>20.435471400000001</v>
      </c>
      <c r="AC92" s="12">
        <v>13.530277099999999</v>
      </c>
      <c r="AD92" s="12">
        <v>36.188577899999999</v>
      </c>
      <c r="AE92" s="12">
        <v>43.939498800000003</v>
      </c>
      <c r="AF92" s="12">
        <v>5.6753783999999996</v>
      </c>
      <c r="AG92" s="12">
        <v>50.243812400000003</v>
      </c>
    </row>
    <row r="93" spans="1:33" s="11" customFormat="1" outlineLevel="1" x14ac:dyDescent="0.3">
      <c r="A93" s="11" t="s">
        <v>99</v>
      </c>
      <c r="B93" s="12">
        <v>-2.2061226999999999</v>
      </c>
      <c r="C93" s="12">
        <v>105.74666670000001</v>
      </c>
      <c r="D93" s="12">
        <v>1.5135516</v>
      </c>
      <c r="E93" s="17">
        <v>0</v>
      </c>
      <c r="F93" s="13">
        <v>50.44</v>
      </c>
      <c r="G93" s="12">
        <v>5.0212496</v>
      </c>
      <c r="H93" s="12">
        <v>2.1239398999999999</v>
      </c>
      <c r="I93" s="12">
        <v>-2.0236016000000001</v>
      </c>
      <c r="J93" s="12">
        <v>-0.89999989999999996</v>
      </c>
      <c r="K93" s="12">
        <v>9.4</v>
      </c>
      <c r="L93" s="12">
        <v>-8.6999999999999993</v>
      </c>
      <c r="M93" s="12">
        <v>-93.090477100000001</v>
      </c>
      <c r="N93" s="12">
        <v>0.7</v>
      </c>
      <c r="O93" s="12">
        <v>-0.3</v>
      </c>
      <c r="P93" s="7">
        <v>16490</v>
      </c>
      <c r="Q93" s="7">
        <v>1548.9</v>
      </c>
      <c r="R93" s="7">
        <v>8.6</v>
      </c>
      <c r="S93" s="12">
        <v>14.302058000000001</v>
      </c>
      <c r="T93" s="12">
        <v>10</v>
      </c>
      <c r="U93" s="12">
        <v>157.82490039999999</v>
      </c>
      <c r="V93" s="12">
        <v>27.598800000000001</v>
      </c>
      <c r="W93" s="12">
        <v>-4.2954768000000003</v>
      </c>
      <c r="X93" s="12">
        <v>4.1679757000000004</v>
      </c>
      <c r="Y93" s="12">
        <v>-0.27415879999999998</v>
      </c>
      <c r="Z93" s="12">
        <v>5.9775936999999999</v>
      </c>
      <c r="AA93" s="12">
        <v>85.807331000000005</v>
      </c>
      <c r="AB93" s="12">
        <v>18.463447200000001</v>
      </c>
      <c r="AC93" s="12">
        <v>-0.90713699999999997</v>
      </c>
      <c r="AD93" s="12">
        <v>44.521239700000002</v>
      </c>
      <c r="AE93" s="12">
        <v>47.884880899999999</v>
      </c>
      <c r="AF93" s="12">
        <v>8.6865164999999998</v>
      </c>
      <c r="AG93" s="12">
        <v>53.423451200000002</v>
      </c>
    </row>
    <row r="94" spans="1:33" s="11" customFormat="1" outlineLevel="1" x14ac:dyDescent="0.3">
      <c r="A94" s="11" t="s">
        <v>100</v>
      </c>
      <c r="B94" s="12">
        <v>-13.380244299999999</v>
      </c>
      <c r="C94" s="12">
        <v>106.50333329999999</v>
      </c>
      <c r="D94" s="12">
        <v>0.70602319999999996</v>
      </c>
      <c r="E94" s="17">
        <v>0</v>
      </c>
      <c r="F94" s="13">
        <v>29.343333300000001</v>
      </c>
      <c r="G94" s="12">
        <v>6.3153477000000002</v>
      </c>
      <c r="H94" s="12">
        <v>1.4381457</v>
      </c>
      <c r="I94" s="12">
        <v>1.5878585000000001</v>
      </c>
      <c r="J94" s="12">
        <v>-10.999999900000001</v>
      </c>
      <c r="K94" s="12">
        <v>-9.3000000000000007</v>
      </c>
      <c r="L94" s="12">
        <v>-0.5</v>
      </c>
      <c r="M94" s="12">
        <v>-75.770205399999995</v>
      </c>
      <c r="N94" s="12">
        <v>-9.3000000000000007</v>
      </c>
      <c r="O94" s="12">
        <v>-19</v>
      </c>
      <c r="P94" s="7">
        <v>15621.4</v>
      </c>
      <c r="Q94" s="7">
        <v>1712.3</v>
      </c>
      <c r="R94" s="7">
        <v>9.9</v>
      </c>
      <c r="S94" s="12">
        <v>4.0225470000000003</v>
      </c>
      <c r="T94" s="12">
        <v>6</v>
      </c>
      <c r="U94" s="12">
        <v>160.2002645</v>
      </c>
      <c r="V94" s="12">
        <v>29.6074333</v>
      </c>
      <c r="W94" s="12">
        <v>-10.8265803</v>
      </c>
      <c r="X94" s="12">
        <v>-13.000684400000001</v>
      </c>
      <c r="Y94" s="12">
        <v>-31.285803300000001</v>
      </c>
      <c r="Z94" s="12">
        <v>6.1023988999999998</v>
      </c>
      <c r="AA94" s="12">
        <v>74.204047799999998</v>
      </c>
      <c r="AB94" s="12">
        <v>22.002770699999999</v>
      </c>
      <c r="AC94" s="12">
        <v>1.3032988000000001</v>
      </c>
      <c r="AD94" s="12">
        <v>40.474542599999999</v>
      </c>
      <c r="AE94" s="12">
        <v>37.984659999999998</v>
      </c>
      <c r="AF94" s="12">
        <v>4.7948993</v>
      </c>
      <c r="AG94" s="12">
        <v>53.746485700000001</v>
      </c>
    </row>
    <row r="95" spans="1:33" s="11" customFormat="1" outlineLevel="1" x14ac:dyDescent="0.3">
      <c r="A95" s="11" t="s">
        <v>101</v>
      </c>
      <c r="B95" s="12">
        <v>-3.6984297000000002</v>
      </c>
      <c r="C95" s="12">
        <v>106.27</v>
      </c>
      <c r="D95" s="12">
        <v>0.50122940000000005</v>
      </c>
      <c r="E95" s="17">
        <v>0</v>
      </c>
      <c r="F95" s="13">
        <v>42.963333300000002</v>
      </c>
      <c r="G95" s="12">
        <v>18.440678699999999</v>
      </c>
      <c r="H95" s="12">
        <v>5.0889129000000004</v>
      </c>
      <c r="I95" s="12">
        <v>-4.7412909000000001</v>
      </c>
      <c r="J95" s="12">
        <v>-3.3</v>
      </c>
      <c r="K95" s="12">
        <v>2.1</v>
      </c>
      <c r="L95" s="12">
        <v>-2</v>
      </c>
      <c r="M95" s="12">
        <v>-21.4</v>
      </c>
      <c r="N95" s="12">
        <v>-5.0999999999999996</v>
      </c>
      <c r="O95" s="12">
        <v>-8.1</v>
      </c>
      <c r="P95" s="7">
        <v>15890.7</v>
      </c>
      <c r="Q95" s="7">
        <v>1669</v>
      </c>
      <c r="R95" s="7">
        <v>9.5</v>
      </c>
      <c r="S95" s="12">
        <v>9.4863812000000003</v>
      </c>
      <c r="T95" s="12">
        <v>6</v>
      </c>
      <c r="U95" s="12">
        <v>159.6629384</v>
      </c>
      <c r="V95" s="12">
        <v>32.251033300000003</v>
      </c>
      <c r="W95" s="12">
        <v>-3.4595300999999998</v>
      </c>
      <c r="X95" s="12">
        <v>-13.145634100000001</v>
      </c>
      <c r="Y95" s="12">
        <v>-25.795316799999998</v>
      </c>
      <c r="Z95" s="12">
        <v>1.3035753999999999</v>
      </c>
      <c r="AA95" s="12">
        <v>67.817337300000005</v>
      </c>
      <c r="AB95" s="12">
        <v>15.463131000000001</v>
      </c>
      <c r="AC95" s="12">
        <v>19.260804400000001</v>
      </c>
      <c r="AD95" s="12">
        <v>35.038994500000001</v>
      </c>
      <c r="AE95" s="12">
        <v>37.580267200000002</v>
      </c>
      <c r="AF95" s="12">
        <v>4.4092213999999998</v>
      </c>
      <c r="AG95" s="12">
        <v>55.5520596</v>
      </c>
    </row>
    <row r="96" spans="1:33" s="11" customFormat="1" outlineLevel="1" x14ac:dyDescent="0.3">
      <c r="A96" s="11" t="s">
        <v>102</v>
      </c>
      <c r="B96" s="12">
        <v>-3.2236577</v>
      </c>
      <c r="C96" s="12">
        <v>106.2833333</v>
      </c>
      <c r="D96" s="12">
        <v>0.26098979999999999</v>
      </c>
      <c r="E96" s="17">
        <v>0</v>
      </c>
      <c r="F96" s="13">
        <v>44.29</v>
      </c>
      <c r="G96" s="12">
        <v>29.713054899999999</v>
      </c>
      <c r="H96" s="12">
        <v>17.677448500000001</v>
      </c>
      <c r="I96" s="12">
        <v>-12.623378900000001</v>
      </c>
      <c r="J96" s="12">
        <v>-0.10000009999999999</v>
      </c>
      <c r="K96" s="12">
        <v>4.4000000000000004</v>
      </c>
      <c r="L96" s="12">
        <v>6.2</v>
      </c>
      <c r="M96" s="12">
        <v>-13.7</v>
      </c>
      <c r="N96" s="12">
        <v>-9.5</v>
      </c>
      <c r="O96" s="12">
        <v>0.3</v>
      </c>
      <c r="P96" s="7">
        <v>15659.1</v>
      </c>
      <c r="Q96" s="7">
        <v>1766.8</v>
      </c>
      <c r="R96" s="7">
        <v>10.1</v>
      </c>
      <c r="S96" s="12">
        <v>13.867916599999999</v>
      </c>
      <c r="T96" s="12">
        <v>6</v>
      </c>
      <c r="U96" s="12">
        <v>163.58104700000001</v>
      </c>
      <c r="V96" s="12">
        <v>33.694099999999999</v>
      </c>
      <c r="W96" s="12">
        <v>0.43491770000000002</v>
      </c>
      <c r="X96" s="12">
        <v>-3.0774902000000002</v>
      </c>
      <c r="Y96" s="12">
        <v>-15.7555487</v>
      </c>
      <c r="Z96" s="12">
        <v>1.4429898000000001</v>
      </c>
      <c r="AA96" s="12">
        <v>69.362578400000004</v>
      </c>
      <c r="AB96" s="12">
        <v>21.4519254</v>
      </c>
      <c r="AC96" s="12">
        <v>11.253974400000001</v>
      </c>
      <c r="AD96" s="12">
        <v>37.364611199999999</v>
      </c>
      <c r="AE96" s="12">
        <v>39.4330894</v>
      </c>
      <c r="AF96" s="12">
        <v>-2.8438682000000002</v>
      </c>
      <c r="AG96" s="12">
        <v>60.442112999999999</v>
      </c>
    </row>
    <row r="97" spans="1:33" s="11" customFormat="1" outlineLevel="1" x14ac:dyDescent="0.3">
      <c r="A97" s="11" t="s">
        <v>103</v>
      </c>
      <c r="B97" s="12">
        <v>-0.1765746</v>
      </c>
      <c r="C97" s="12">
        <v>107.21</v>
      </c>
      <c r="D97" s="12">
        <v>1.3838102999999999</v>
      </c>
      <c r="E97" s="17">
        <v>0</v>
      </c>
      <c r="F97" s="13">
        <v>60.82</v>
      </c>
      <c r="G97" s="12">
        <v>13.1358146</v>
      </c>
      <c r="H97" s="12">
        <v>17.888781699999999</v>
      </c>
      <c r="I97" s="12">
        <v>-0.61927109999999996</v>
      </c>
      <c r="J97" s="12">
        <v>-2.3000001000000001</v>
      </c>
      <c r="K97" s="12">
        <v>3.9</v>
      </c>
      <c r="L97" s="12">
        <v>6</v>
      </c>
      <c r="M97" s="12">
        <v>498.10888249999999</v>
      </c>
      <c r="N97" s="12">
        <v>-15.3</v>
      </c>
      <c r="O97" s="12">
        <v>6</v>
      </c>
      <c r="P97" s="7">
        <v>15422.8</v>
      </c>
      <c r="Q97" s="7">
        <v>1806</v>
      </c>
      <c r="R97" s="7">
        <v>10.5</v>
      </c>
      <c r="S97" s="12">
        <v>16.590233000000001</v>
      </c>
      <c r="T97" s="12">
        <v>6.5</v>
      </c>
      <c r="U97" s="12">
        <v>169.48712180000001</v>
      </c>
      <c r="V97" s="12">
        <v>33.756466699999997</v>
      </c>
      <c r="W97" s="12">
        <v>-1.5980958999999999</v>
      </c>
      <c r="X97" s="12">
        <v>-2.1800410000000001</v>
      </c>
      <c r="Y97" s="12">
        <v>-4.6068734999999998</v>
      </c>
      <c r="Z97" s="12">
        <v>-1.3466164</v>
      </c>
      <c r="AA97" s="12">
        <v>82.854326999999998</v>
      </c>
      <c r="AB97" s="12">
        <v>18.7362155</v>
      </c>
      <c r="AC97" s="12">
        <v>0.59124359999999998</v>
      </c>
      <c r="AD97" s="12">
        <v>44.813697900000001</v>
      </c>
      <c r="AE97" s="12">
        <v>46.995483999999998</v>
      </c>
      <c r="AF97" s="12">
        <v>-4.8591211000000003</v>
      </c>
      <c r="AG97" s="12">
        <v>46.128171999999999</v>
      </c>
    </row>
    <row r="98" spans="1:33" s="11" customFormat="1" outlineLevel="1" x14ac:dyDescent="0.3">
      <c r="A98" s="11" t="s">
        <v>104</v>
      </c>
      <c r="B98" s="12">
        <v>14.630134099999999</v>
      </c>
      <c r="C98" s="12">
        <v>108.82</v>
      </c>
      <c r="D98" s="12">
        <v>2.1752058000000001</v>
      </c>
      <c r="E98" s="17">
        <v>0</v>
      </c>
      <c r="F98" s="13">
        <v>68.833333300000007</v>
      </c>
      <c r="G98" s="12">
        <v>20.874837200000002</v>
      </c>
      <c r="H98" s="12">
        <v>14.1456765</v>
      </c>
      <c r="I98" s="12">
        <v>-0.6956213</v>
      </c>
      <c r="J98" s="12">
        <v>6.1999998999999999</v>
      </c>
      <c r="K98" s="12">
        <v>17</v>
      </c>
      <c r="L98" s="12">
        <v>2.2999999999999998</v>
      </c>
      <c r="M98" s="12">
        <v>139.69999999999999</v>
      </c>
      <c r="N98" s="12">
        <v>-3.6</v>
      </c>
      <c r="O98" s="12">
        <v>23.9</v>
      </c>
      <c r="P98" s="7">
        <v>15754.8</v>
      </c>
      <c r="Q98" s="7">
        <v>1619.6</v>
      </c>
      <c r="R98" s="7">
        <v>9.3000000000000007</v>
      </c>
      <c r="S98" s="12">
        <v>27.0509944</v>
      </c>
      <c r="T98" s="12">
        <v>7.5</v>
      </c>
      <c r="U98" s="12">
        <v>174.78292389999999</v>
      </c>
      <c r="V98" s="12">
        <v>33.230133299999999</v>
      </c>
      <c r="W98" s="12">
        <v>7.4518357999999996</v>
      </c>
      <c r="X98" s="12">
        <v>32.832095299999999</v>
      </c>
      <c r="Y98" s="12">
        <v>37.126252000000001</v>
      </c>
      <c r="Z98" s="12">
        <v>0.75610049999999995</v>
      </c>
      <c r="AA98" s="12">
        <v>74.694115699999998</v>
      </c>
      <c r="AB98" s="12">
        <v>20.572776999999999</v>
      </c>
      <c r="AC98" s="12">
        <v>3.3231554999999999</v>
      </c>
      <c r="AD98" s="12">
        <v>44.909372300000001</v>
      </c>
      <c r="AE98" s="12">
        <v>43.499420600000001</v>
      </c>
      <c r="AF98" s="12">
        <v>4.1004129000000002</v>
      </c>
      <c r="AG98" s="12">
        <v>46.1300071</v>
      </c>
    </row>
    <row r="99" spans="1:33" s="11" customFormat="1" outlineLevel="1" x14ac:dyDescent="0.3">
      <c r="A99" s="11" t="s">
        <v>105</v>
      </c>
      <c r="B99" s="12">
        <v>4.8925850000000004</v>
      </c>
      <c r="C99" s="12">
        <v>109.55666669999999</v>
      </c>
      <c r="D99" s="12">
        <v>3.0927511999999999</v>
      </c>
      <c r="E99" s="17">
        <v>0</v>
      </c>
      <c r="F99" s="13">
        <v>73.47</v>
      </c>
      <c r="G99" s="12">
        <v>7.2653262999999999</v>
      </c>
      <c r="H99" s="12">
        <v>31.010740699999999</v>
      </c>
      <c r="I99" s="12">
        <v>1.1276079000000001</v>
      </c>
      <c r="J99" s="12">
        <v>2.9</v>
      </c>
      <c r="K99" s="12">
        <v>7.2</v>
      </c>
      <c r="L99" s="12">
        <v>-1</v>
      </c>
      <c r="M99" s="12">
        <v>37.9</v>
      </c>
      <c r="N99" s="12">
        <v>-6.1</v>
      </c>
      <c r="O99" s="12">
        <v>13.5</v>
      </c>
      <c r="P99" s="7">
        <v>15965.6</v>
      </c>
      <c r="Q99" s="7">
        <v>1615</v>
      </c>
      <c r="R99" s="7">
        <v>9.3000000000000007</v>
      </c>
      <c r="S99" s="12">
        <v>20.801741400000001</v>
      </c>
      <c r="T99" s="12">
        <v>8.5</v>
      </c>
      <c r="U99" s="12">
        <v>176.41073589999999</v>
      </c>
      <c r="V99" s="12">
        <v>31.736166699999998</v>
      </c>
      <c r="W99" s="12">
        <v>1.1832319</v>
      </c>
      <c r="X99" s="12">
        <v>46.445799899999997</v>
      </c>
      <c r="Y99" s="12">
        <v>40.4567409</v>
      </c>
      <c r="Z99" s="12">
        <v>-2.4296498999999998</v>
      </c>
      <c r="AA99" s="12">
        <v>63.636207400000004</v>
      </c>
      <c r="AB99" s="12">
        <v>13.813022</v>
      </c>
      <c r="AC99" s="12">
        <v>23.682119700000001</v>
      </c>
      <c r="AD99" s="12">
        <v>39.136642299999998</v>
      </c>
      <c r="AE99" s="12">
        <v>40.267991500000001</v>
      </c>
      <c r="AF99" s="12">
        <v>8.3378917000000001</v>
      </c>
      <c r="AG99" s="12">
        <v>44.865301799999997</v>
      </c>
    </row>
    <row r="100" spans="1:33" s="11" customFormat="1" outlineLevel="1" x14ac:dyDescent="0.3">
      <c r="A100" s="11" t="s">
        <v>106</v>
      </c>
      <c r="B100" s="12">
        <v>5.3916862999999999</v>
      </c>
      <c r="C100" s="12">
        <v>111.5333333</v>
      </c>
      <c r="D100" s="12">
        <v>4.9396268000000001</v>
      </c>
      <c r="E100" s="17">
        <v>0</v>
      </c>
      <c r="F100" s="13">
        <v>79.586666699999995</v>
      </c>
      <c r="G100" s="12">
        <v>18.9959025</v>
      </c>
      <c r="H100" s="12">
        <v>20.630908300000002</v>
      </c>
      <c r="I100" s="12">
        <v>-10.964071300000001</v>
      </c>
      <c r="J100" s="12">
        <v>6.3000001000000001</v>
      </c>
      <c r="K100" s="12">
        <v>1.9</v>
      </c>
      <c r="L100" s="12">
        <v>-2.6</v>
      </c>
      <c r="M100" s="12">
        <v>122</v>
      </c>
      <c r="N100" s="12">
        <v>-9.1999999999999993</v>
      </c>
      <c r="O100" s="12">
        <v>15.1</v>
      </c>
      <c r="P100" s="7">
        <v>15296.6</v>
      </c>
      <c r="Q100" s="7">
        <v>1805.8</v>
      </c>
      <c r="R100" s="7">
        <v>10.6</v>
      </c>
      <c r="S100" s="12">
        <v>19.4075655</v>
      </c>
      <c r="T100" s="12">
        <v>9</v>
      </c>
      <c r="U100" s="12">
        <v>180.61516950000001</v>
      </c>
      <c r="V100" s="12">
        <v>30.5132333</v>
      </c>
      <c r="W100" s="12">
        <v>1.0825857999999999</v>
      </c>
      <c r="X100" s="12">
        <v>43.761188900000001</v>
      </c>
      <c r="Y100" s="12">
        <v>46.714308000000003</v>
      </c>
      <c r="Z100" s="12">
        <v>-3.6099713000000002</v>
      </c>
      <c r="AA100" s="12">
        <v>62.008825199999997</v>
      </c>
      <c r="AB100" s="12">
        <v>18.654677</v>
      </c>
      <c r="AC100" s="12">
        <v>22.178013100000001</v>
      </c>
      <c r="AD100" s="12">
        <v>36.742514100000001</v>
      </c>
      <c r="AE100" s="12">
        <v>39.584029399999999</v>
      </c>
      <c r="AF100" s="12">
        <v>23.205991300000001</v>
      </c>
      <c r="AG100" s="12">
        <v>49.020991199999997</v>
      </c>
    </row>
    <row r="101" spans="1:33" s="11" customFormat="1" outlineLevel="1" x14ac:dyDescent="0.3">
      <c r="A101" s="11" t="s">
        <v>108</v>
      </c>
      <c r="B101" s="12">
        <v>5.7284746999999996</v>
      </c>
      <c r="C101" s="12">
        <v>114.2266667</v>
      </c>
      <c r="D101" s="12">
        <v>6.5447875</v>
      </c>
      <c r="E101" s="17">
        <v>0</v>
      </c>
      <c r="F101" s="12">
        <v>100.2966667</v>
      </c>
      <c r="G101" s="12">
        <v>33.410601499999999</v>
      </c>
      <c r="H101" s="12">
        <v>26.4924304</v>
      </c>
      <c r="I101" s="12">
        <v>-2.8734293000000002</v>
      </c>
      <c r="J101" s="12">
        <v>-14.9</v>
      </c>
      <c r="K101" s="12">
        <v>-9.5</v>
      </c>
      <c r="L101" s="12">
        <v>4.0999999999999996</v>
      </c>
      <c r="M101" s="12">
        <v>-39.920475199999998</v>
      </c>
      <c r="N101" s="12">
        <v>-22</v>
      </c>
      <c r="O101" s="12">
        <v>-3.2</v>
      </c>
      <c r="P101" s="7" t="s">
        <v>107</v>
      </c>
      <c r="Q101" s="7" t="s">
        <v>107</v>
      </c>
      <c r="R101" s="7" t="s">
        <v>107</v>
      </c>
      <c r="S101" s="12">
        <v>13.9261556</v>
      </c>
      <c r="T101" s="12">
        <v>10</v>
      </c>
      <c r="U101" s="12">
        <v>188.95131979999999</v>
      </c>
      <c r="V101" s="12">
        <v>32.278566699999999</v>
      </c>
      <c r="W101" s="12">
        <v>-21.078092699999999</v>
      </c>
      <c r="X101" s="12">
        <v>13.6484176</v>
      </c>
      <c r="Y101" s="12">
        <v>17.604318599999999</v>
      </c>
      <c r="Z101" s="12">
        <v>5.2845516000000003</v>
      </c>
      <c r="AA101" s="12">
        <v>81.480070999999995</v>
      </c>
      <c r="AB101" s="12">
        <v>23.5024424</v>
      </c>
      <c r="AC101" s="12">
        <v>-0.93283329999999998</v>
      </c>
      <c r="AD101" s="12">
        <v>45.040933600000002</v>
      </c>
      <c r="AE101" s="12">
        <v>49.0906138</v>
      </c>
      <c r="AF101" s="12">
        <v>22.985510300000001</v>
      </c>
      <c r="AG101" s="12">
        <v>54.058393700000003</v>
      </c>
    </row>
    <row r="102" spans="1:33" s="11" customFormat="1" outlineLevel="1" x14ac:dyDescent="0.3">
      <c r="A102" s="11" t="s">
        <v>109</v>
      </c>
      <c r="B102" s="12">
        <v>4.2015890999999996</v>
      </c>
      <c r="C102" s="12">
        <v>118.4333333</v>
      </c>
      <c r="D102" s="12">
        <v>8.8341604</v>
      </c>
      <c r="E102" s="17">
        <v>0</v>
      </c>
      <c r="F102" s="12">
        <v>113.5433333</v>
      </c>
      <c r="G102" s="12">
        <v>63.152358999999997</v>
      </c>
      <c r="H102" s="12">
        <v>-8.2822382000000001</v>
      </c>
      <c r="I102" s="12">
        <v>-30.939229699999999</v>
      </c>
      <c r="J102" s="12">
        <v>-36.9</v>
      </c>
      <c r="K102" s="12">
        <v>-34.6</v>
      </c>
      <c r="L102" s="12">
        <v>14.3</v>
      </c>
      <c r="M102" s="12">
        <v>-20.2</v>
      </c>
      <c r="N102" s="12">
        <v>-58.3</v>
      </c>
      <c r="O102" s="12">
        <v>-23.6</v>
      </c>
      <c r="P102" s="7" t="s">
        <v>107</v>
      </c>
      <c r="Q102" s="7" t="s">
        <v>107</v>
      </c>
      <c r="R102" s="7" t="s">
        <v>107</v>
      </c>
      <c r="S102" s="12">
        <v>-0.45199030000000001</v>
      </c>
      <c r="T102" s="12">
        <v>25</v>
      </c>
      <c r="U102" s="12">
        <v>207.37789839999999</v>
      </c>
      <c r="V102" s="12">
        <v>31.201899999999998</v>
      </c>
      <c r="W102" s="12">
        <v>-42.591339699999999</v>
      </c>
      <c r="X102" s="12">
        <v>-31.473757800000001</v>
      </c>
      <c r="Y102" s="12">
        <v>12.123860199999999</v>
      </c>
      <c r="Z102" s="12">
        <v>2.2847466999999999</v>
      </c>
      <c r="AA102" s="12">
        <v>68.278418099999996</v>
      </c>
      <c r="AB102" s="12">
        <v>46.011942599999998</v>
      </c>
      <c r="AC102" s="12">
        <v>5.1442376999999997</v>
      </c>
      <c r="AD102" s="12">
        <v>33.031913000000003</v>
      </c>
      <c r="AE102" s="12">
        <v>52.466511400000002</v>
      </c>
      <c r="AF102" s="12">
        <v>9.6003942999999996</v>
      </c>
      <c r="AG102" s="12">
        <v>58.852491899999997</v>
      </c>
    </row>
    <row r="103" spans="1:33" s="11" customFormat="1" outlineLevel="1" x14ac:dyDescent="0.3">
      <c r="A103" s="11" t="s">
        <v>110</v>
      </c>
      <c r="B103" s="12">
        <v>2.5907767000000002</v>
      </c>
      <c r="C103" s="12">
        <v>120.83</v>
      </c>
      <c r="D103" s="12">
        <v>10.289956500000001</v>
      </c>
      <c r="E103" s="17">
        <v>0.75</v>
      </c>
      <c r="F103" s="12">
        <v>100.7133333</v>
      </c>
      <c r="G103" s="12">
        <v>93.722346599999995</v>
      </c>
      <c r="H103" s="12">
        <v>72.121078999999995</v>
      </c>
      <c r="I103" s="12">
        <v>-4.0290616000000004</v>
      </c>
      <c r="J103" s="12">
        <v>-30.6</v>
      </c>
      <c r="K103" s="12">
        <v>-31.6</v>
      </c>
      <c r="L103" s="12">
        <v>35</v>
      </c>
      <c r="M103" s="12">
        <v>-29.4</v>
      </c>
      <c r="N103" s="12">
        <v>-46.4</v>
      </c>
      <c r="O103" s="12">
        <v>-23.3</v>
      </c>
      <c r="P103" s="7" t="s">
        <v>107</v>
      </c>
      <c r="Q103" s="7" t="s">
        <v>107</v>
      </c>
      <c r="R103" s="7" t="s">
        <v>107</v>
      </c>
      <c r="S103" s="12">
        <v>2.9975038000000001</v>
      </c>
      <c r="T103" s="12">
        <v>25</v>
      </c>
      <c r="U103" s="12">
        <v>217.91861660000001</v>
      </c>
      <c r="V103" s="12">
        <v>35.196433300000002</v>
      </c>
      <c r="W103" s="12">
        <v>-40.227196800000002</v>
      </c>
      <c r="X103" s="12">
        <v>-27.577640800000001</v>
      </c>
      <c r="Y103" s="12">
        <v>9.9642095000000008</v>
      </c>
      <c r="Z103" s="12">
        <v>12.175623999999999</v>
      </c>
      <c r="AA103" s="12">
        <v>58.367536200000004</v>
      </c>
      <c r="AB103" s="12">
        <v>38.048683500000003</v>
      </c>
      <c r="AC103" s="12">
        <v>22.021382899999999</v>
      </c>
      <c r="AD103" s="12">
        <v>32.680810600000001</v>
      </c>
      <c r="AE103" s="12">
        <v>51.118413199999999</v>
      </c>
      <c r="AF103" s="12">
        <v>0.93876040000000005</v>
      </c>
      <c r="AG103" s="12">
        <v>68.498607199999995</v>
      </c>
    </row>
    <row r="104" spans="1:33" s="11" customFormat="1" outlineLevel="1" x14ac:dyDescent="0.3">
      <c r="A104" s="11" t="s">
        <v>111</v>
      </c>
      <c r="B104" s="12">
        <v>1.4006327999999999</v>
      </c>
      <c r="C104" s="12">
        <v>123.8</v>
      </c>
      <c r="D104" s="12">
        <v>10.9982068</v>
      </c>
      <c r="E104" s="17">
        <v>1.9166666999999999</v>
      </c>
      <c r="F104" s="12">
        <v>88.556666699999994</v>
      </c>
      <c r="G104" s="12">
        <v>63.027696300000002</v>
      </c>
      <c r="H104" s="12">
        <v>36.632896500000001</v>
      </c>
      <c r="I104" s="12">
        <v>-26.9238967</v>
      </c>
      <c r="J104" s="12">
        <v>-31.4</v>
      </c>
      <c r="K104" s="12">
        <v>-29.8</v>
      </c>
      <c r="L104" s="12">
        <v>18.7</v>
      </c>
      <c r="M104" s="12">
        <v>-40.4</v>
      </c>
      <c r="N104" s="12">
        <v>-41.6</v>
      </c>
      <c r="O104" s="12">
        <v>-21.8</v>
      </c>
      <c r="P104" s="7" t="s">
        <v>107</v>
      </c>
      <c r="Q104" s="7" t="s">
        <v>107</v>
      </c>
      <c r="R104" s="7" t="s">
        <v>107</v>
      </c>
      <c r="S104" s="12">
        <v>7.9757878</v>
      </c>
      <c r="T104" s="12">
        <v>25</v>
      </c>
      <c r="U104" s="12">
        <v>228.58884889999999</v>
      </c>
      <c r="V104" s="12">
        <v>37.251166699999999</v>
      </c>
      <c r="W104" s="12">
        <v>-42.074663399999999</v>
      </c>
      <c r="X104" s="12">
        <v>-30.2791782</v>
      </c>
      <c r="Y104" s="12">
        <v>7.3894394999999999</v>
      </c>
      <c r="Z104" s="12">
        <v>0.24975710000000001</v>
      </c>
      <c r="AA104" s="12">
        <v>60.820132600000001</v>
      </c>
      <c r="AB104" s="12">
        <v>43.365441699999998</v>
      </c>
      <c r="AC104" s="12">
        <v>18.018059000000001</v>
      </c>
      <c r="AD104" s="12">
        <v>33.037702500000002</v>
      </c>
      <c r="AE104" s="12">
        <v>55.241335800000002</v>
      </c>
      <c r="AF104" s="12">
        <v>-13.082470000000001</v>
      </c>
      <c r="AG104" s="12">
        <v>77.788917299999994</v>
      </c>
    </row>
    <row r="105" spans="1:33" s="11" customFormat="1" outlineLevel="1" x14ac:dyDescent="0.3">
      <c r="A105" s="11" t="s">
        <v>112</v>
      </c>
      <c r="B105" s="12">
        <v>1.3448477999999999</v>
      </c>
      <c r="C105" s="12">
        <v>124.9666667</v>
      </c>
      <c r="D105" s="12">
        <v>9.4023579000000002</v>
      </c>
      <c r="E105" s="17">
        <v>3</v>
      </c>
      <c r="F105" s="12">
        <v>81.173333299999996</v>
      </c>
      <c r="G105" s="12">
        <v>79.686791700000001</v>
      </c>
      <c r="H105" s="12">
        <v>49.994312600000001</v>
      </c>
      <c r="I105" s="7" t="s">
        <v>107</v>
      </c>
      <c r="J105" s="12">
        <v>-10.5</v>
      </c>
      <c r="K105" s="7" t="s">
        <v>107</v>
      </c>
      <c r="L105" s="7" t="s">
        <v>107</v>
      </c>
      <c r="M105" s="7" t="s">
        <v>107</v>
      </c>
      <c r="N105" s="7" t="s">
        <v>107</v>
      </c>
      <c r="O105" s="7" t="s">
        <v>107</v>
      </c>
      <c r="P105" s="7" t="s">
        <v>107</v>
      </c>
      <c r="Q105" s="7" t="s">
        <v>107</v>
      </c>
      <c r="R105" s="7" t="s">
        <v>107</v>
      </c>
      <c r="S105" s="12">
        <v>5.5828718999999998</v>
      </c>
      <c r="T105" s="12">
        <v>25</v>
      </c>
      <c r="U105" s="12">
        <v>234.27776510000001</v>
      </c>
      <c r="V105" s="12">
        <v>39.224533299999997</v>
      </c>
      <c r="W105" s="12">
        <v>-17.600700499999999</v>
      </c>
      <c r="X105" s="12">
        <v>-16.6150722</v>
      </c>
      <c r="Y105" s="12">
        <v>30.1612598</v>
      </c>
      <c r="Z105" s="7" t="s">
        <v>107</v>
      </c>
      <c r="AA105" s="7" t="s">
        <v>107</v>
      </c>
      <c r="AB105" s="7" t="s">
        <v>107</v>
      </c>
      <c r="AC105" s="7" t="s">
        <v>107</v>
      </c>
      <c r="AD105" s="7" t="s">
        <v>107</v>
      </c>
      <c r="AE105" s="7" t="s">
        <v>107</v>
      </c>
      <c r="AF105" s="12">
        <v>-17.405415300000001</v>
      </c>
      <c r="AG105" s="19">
        <v>70.294189399999993</v>
      </c>
    </row>
    <row r="106" spans="1:33" s="11" customFormat="1" outlineLevel="1" x14ac:dyDescent="0.3">
      <c r="A106" s="11" t="s">
        <v>113</v>
      </c>
      <c r="B106" s="12">
        <v>0.20197219999999999</v>
      </c>
      <c r="C106" s="12">
        <v>126.9766667</v>
      </c>
      <c r="D106" s="12">
        <v>7.2136222999999999</v>
      </c>
      <c r="E106" s="17">
        <v>3.75</v>
      </c>
      <c r="F106" s="12">
        <v>78.316666699999999</v>
      </c>
      <c r="G106" s="12">
        <v>58.665123299999998</v>
      </c>
      <c r="H106" s="12">
        <v>128.02579230000001</v>
      </c>
      <c r="I106" s="7" t="s">
        <v>107</v>
      </c>
      <c r="J106" s="12">
        <v>19.5</v>
      </c>
      <c r="K106" s="7" t="s">
        <v>107</v>
      </c>
      <c r="L106" s="7" t="s">
        <v>107</v>
      </c>
      <c r="M106" s="7" t="s">
        <v>107</v>
      </c>
      <c r="N106" s="7" t="s">
        <v>107</v>
      </c>
      <c r="O106" s="7" t="s">
        <v>107</v>
      </c>
      <c r="P106" s="7" t="s">
        <v>107</v>
      </c>
      <c r="Q106" s="7" t="s">
        <v>107</v>
      </c>
      <c r="R106" s="7" t="s">
        <v>107</v>
      </c>
      <c r="S106" s="12">
        <v>25.1649876</v>
      </c>
      <c r="T106" s="12">
        <v>25</v>
      </c>
      <c r="U106" s="12">
        <v>239.05892940000001</v>
      </c>
      <c r="V106" s="12">
        <v>39.820666699999997</v>
      </c>
      <c r="W106" s="12">
        <v>17.147908099999999</v>
      </c>
      <c r="X106" s="12">
        <v>6.0385784999999998</v>
      </c>
      <c r="Y106" s="12">
        <v>8.1299577999999997</v>
      </c>
      <c r="Z106" s="7" t="s">
        <v>107</v>
      </c>
      <c r="AA106" s="7" t="s">
        <v>107</v>
      </c>
      <c r="AB106" s="7" t="s">
        <v>107</v>
      </c>
      <c r="AC106" s="7" t="s">
        <v>107</v>
      </c>
      <c r="AD106" s="7" t="s">
        <v>107</v>
      </c>
      <c r="AE106" s="7" t="s">
        <v>107</v>
      </c>
      <c r="AF106" s="12">
        <v>-11.5353741</v>
      </c>
      <c r="AG106" s="19">
        <v>75.547040999999993</v>
      </c>
    </row>
    <row r="107" spans="1:33" s="11" customFormat="1" outlineLevel="1" x14ac:dyDescent="0.3">
      <c r="A107" s="11" t="s">
        <v>114</v>
      </c>
      <c r="B107" s="12">
        <v>-0.19771859999999999</v>
      </c>
      <c r="C107" s="12">
        <v>127.6866667</v>
      </c>
      <c r="D107" s="12">
        <v>5.6746392999999999</v>
      </c>
      <c r="E107" s="17">
        <v>4.25</v>
      </c>
      <c r="F107" s="12">
        <v>86.66</v>
      </c>
      <c r="G107" s="12">
        <v>42.894087599999999</v>
      </c>
      <c r="H107" s="12">
        <v>14.0101639</v>
      </c>
      <c r="I107" s="7" t="s">
        <v>107</v>
      </c>
      <c r="J107" s="12">
        <v>9.3000000000000007</v>
      </c>
      <c r="K107" s="7" t="s">
        <v>107</v>
      </c>
      <c r="L107" s="7" t="s">
        <v>107</v>
      </c>
      <c r="M107" s="7" t="s">
        <v>107</v>
      </c>
      <c r="N107" s="7" t="s">
        <v>107</v>
      </c>
      <c r="O107" s="7" t="s">
        <v>107</v>
      </c>
      <c r="P107" s="7" t="s">
        <v>107</v>
      </c>
      <c r="Q107" s="7" t="s">
        <v>107</v>
      </c>
      <c r="R107" s="7" t="s">
        <v>107</v>
      </c>
      <c r="S107" s="12">
        <v>22.6965073</v>
      </c>
      <c r="T107" s="12">
        <v>20</v>
      </c>
      <c r="U107" s="12">
        <v>237.44420769999999</v>
      </c>
      <c r="V107" s="12">
        <v>39.828833299999999</v>
      </c>
      <c r="W107" s="12">
        <v>14.030184500000001</v>
      </c>
      <c r="X107" s="12">
        <v>-22.507038099999999</v>
      </c>
      <c r="Y107" s="12">
        <v>-4.3541126999999999</v>
      </c>
      <c r="Z107" s="7" t="s">
        <v>107</v>
      </c>
      <c r="AA107" s="7" t="s">
        <v>107</v>
      </c>
      <c r="AB107" s="7" t="s">
        <v>107</v>
      </c>
      <c r="AC107" s="7" t="s">
        <v>107</v>
      </c>
      <c r="AD107" s="7" t="s">
        <v>107</v>
      </c>
      <c r="AE107" s="7" t="s">
        <v>107</v>
      </c>
      <c r="AF107" s="12">
        <v>-5.6783340999999998</v>
      </c>
      <c r="AG107" s="19">
        <v>78.307151500000003</v>
      </c>
    </row>
    <row r="108" spans="1:33" s="11" customFormat="1" outlineLevel="1" x14ac:dyDescent="0.3">
      <c r="A108" s="11" t="s">
        <v>115</v>
      </c>
      <c r="B108" s="7" t="s">
        <v>107</v>
      </c>
      <c r="C108" s="12">
        <v>127.9933333</v>
      </c>
      <c r="D108" s="12">
        <v>3.3871836000000002</v>
      </c>
      <c r="E108" s="17">
        <v>4.5</v>
      </c>
      <c r="F108" s="12">
        <v>83.723333299999993</v>
      </c>
      <c r="G108" s="7" t="s">
        <v>107</v>
      </c>
      <c r="H108" s="7" t="s">
        <v>107</v>
      </c>
      <c r="I108" s="7" t="s">
        <v>107</v>
      </c>
      <c r="J108" s="7" t="s">
        <v>107</v>
      </c>
      <c r="K108" s="7" t="s">
        <v>107</v>
      </c>
      <c r="L108" s="7" t="s">
        <v>107</v>
      </c>
      <c r="M108" s="7" t="s">
        <v>107</v>
      </c>
      <c r="N108" s="7" t="s">
        <v>107</v>
      </c>
      <c r="O108" s="7" t="s">
        <v>107</v>
      </c>
      <c r="P108" s="7" t="s">
        <v>107</v>
      </c>
      <c r="Q108" s="7" t="s">
        <v>107</v>
      </c>
      <c r="R108" s="7" t="s">
        <v>107</v>
      </c>
      <c r="S108" s="7" t="s">
        <v>107</v>
      </c>
      <c r="T108" s="12">
        <v>15</v>
      </c>
      <c r="U108" s="12">
        <v>240.3680909</v>
      </c>
      <c r="V108" s="12">
        <v>39.358933299999997</v>
      </c>
      <c r="W108" s="7" t="s">
        <v>107</v>
      </c>
      <c r="X108" s="7" t="s">
        <v>107</v>
      </c>
      <c r="Y108" s="7" t="s">
        <v>107</v>
      </c>
      <c r="Z108" s="7" t="s">
        <v>107</v>
      </c>
      <c r="AA108" s="7" t="s">
        <v>107</v>
      </c>
      <c r="AB108" s="7" t="s">
        <v>107</v>
      </c>
      <c r="AC108" s="7" t="s">
        <v>107</v>
      </c>
      <c r="AD108" s="7" t="s">
        <v>107</v>
      </c>
      <c r="AE108" s="7" t="s">
        <v>107</v>
      </c>
      <c r="AF108" s="7" t="s">
        <v>107</v>
      </c>
      <c r="AG108" s="7" t="s">
        <v>107</v>
      </c>
    </row>
  </sheetData>
  <pageMargins left="0.7" right="0.7" top="0.75" bottom="0.75" header="0.3" footer="0.3"/>
  <pageSetup paperSize="9" orientation="portrait" horizontalDpi="90" verticalDpi="9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BD095-3EC7-42FF-B65B-110CF41133E5}">
  <sheetPr codeName="Tabelle10">
    <tabColor rgb="FF00B0F0"/>
  </sheetPr>
  <dimension ref="A1:AG108"/>
  <sheetViews>
    <sheetView workbookViewId="0">
      <pane xSplit="1" ySplit="12" topLeftCell="Q13" activePane="bottomRight" state="frozen"/>
      <selection activeCell="AI1" sqref="AI1:AN1048576"/>
      <selection pane="topRight" activeCell="AI1" sqref="AI1:AN1048576"/>
      <selection pane="bottomLeft" activeCell="AI1" sqref="AI1:AN1048576"/>
      <selection pane="bottomRight" activeCell="AG1" sqref="AG1"/>
    </sheetView>
  </sheetViews>
  <sheetFormatPr defaultColWidth="9.109375" defaultRowHeight="14.4" outlineLevelRow="1" x14ac:dyDescent="0.3"/>
  <cols>
    <col min="2" max="2" width="11.5546875" bestFit="1" customWidth="1"/>
    <col min="4" max="4" width="12.44140625" customWidth="1"/>
    <col min="7" max="7" width="12.44140625" bestFit="1" customWidth="1"/>
    <col min="8" max="8" width="12.33203125" customWidth="1"/>
    <col min="18" max="18" width="11.109375" bestFit="1" customWidth="1"/>
    <col min="19" max="19" width="12.44140625" bestFit="1" customWidth="1"/>
    <col min="24" max="24" width="12.5546875" bestFit="1" customWidth="1"/>
    <col min="25" max="25" width="12.6640625" bestFit="1" customWidth="1"/>
    <col min="27" max="27" width="13.6640625" customWidth="1"/>
  </cols>
  <sheetData>
    <row r="1" spans="1:33" s="8" customFormat="1" x14ac:dyDescent="0.3">
      <c r="A1" s="8" t="s">
        <v>0</v>
      </c>
      <c r="B1" s="8" t="s">
        <v>1</v>
      </c>
      <c r="C1" s="8" t="s">
        <v>2</v>
      </c>
      <c r="D1" s="8" t="s">
        <v>3</v>
      </c>
      <c r="E1" s="14" t="s">
        <v>4</v>
      </c>
      <c r="F1" s="8" t="s">
        <v>5</v>
      </c>
      <c r="G1" s="8" t="s">
        <v>6</v>
      </c>
      <c r="H1" s="8" t="s">
        <v>254</v>
      </c>
      <c r="I1" s="8" t="s">
        <v>7</v>
      </c>
      <c r="J1" s="8" t="s">
        <v>230</v>
      </c>
      <c r="K1" s="8" t="s">
        <v>231</v>
      </c>
      <c r="L1" s="8" t="s">
        <v>232</v>
      </c>
      <c r="M1" s="8" t="s">
        <v>233</v>
      </c>
      <c r="N1" s="8" t="s">
        <v>234</v>
      </c>
      <c r="O1" s="8" t="s">
        <v>235</v>
      </c>
      <c r="P1" s="8" t="s">
        <v>8</v>
      </c>
      <c r="Q1" s="8" t="s">
        <v>9</v>
      </c>
      <c r="R1" s="8" t="s">
        <v>10</v>
      </c>
      <c r="S1" s="8" t="s">
        <v>11</v>
      </c>
      <c r="T1" s="14" t="s">
        <v>12</v>
      </c>
      <c r="U1" s="8" t="s">
        <v>13</v>
      </c>
      <c r="V1" s="8" t="s">
        <v>14</v>
      </c>
      <c r="W1" s="8" t="s">
        <v>15</v>
      </c>
      <c r="X1" s="8" t="s">
        <v>16</v>
      </c>
      <c r="Y1" s="8" t="s">
        <v>17</v>
      </c>
      <c r="Z1" s="8" t="s">
        <v>18</v>
      </c>
      <c r="AA1" s="9" t="s">
        <v>248</v>
      </c>
      <c r="AB1" s="8" t="s">
        <v>236</v>
      </c>
      <c r="AC1" s="8" t="s">
        <v>237</v>
      </c>
      <c r="AD1" s="8" t="s">
        <v>238</v>
      </c>
      <c r="AE1" s="8" t="s">
        <v>239</v>
      </c>
      <c r="AF1" s="14" t="s">
        <v>255</v>
      </c>
      <c r="AG1" s="14" t="s">
        <v>1317</v>
      </c>
    </row>
    <row r="2" spans="1:33" s="10" customFormat="1" outlineLevel="1" x14ac:dyDescent="0.3">
      <c r="A2" s="16" t="s">
        <v>1292</v>
      </c>
      <c r="B2" s="26"/>
      <c r="C2" s="26"/>
      <c r="D2" s="26" t="s">
        <v>198</v>
      </c>
      <c r="E2" s="26"/>
      <c r="F2" s="26"/>
      <c r="G2" s="26" t="s">
        <v>617</v>
      </c>
      <c r="H2" s="26" t="s">
        <v>621</v>
      </c>
      <c r="I2" s="26"/>
      <c r="J2" s="26" t="s">
        <v>624</v>
      </c>
      <c r="K2" s="26" t="s">
        <v>626</v>
      </c>
      <c r="L2" s="26" t="s">
        <v>628</v>
      </c>
      <c r="M2" s="26" t="s">
        <v>630</v>
      </c>
      <c r="N2" s="26" t="s">
        <v>632</v>
      </c>
      <c r="O2" s="26" t="s">
        <v>634</v>
      </c>
      <c r="P2" s="26"/>
      <c r="Q2" s="26"/>
      <c r="R2" s="26"/>
      <c r="S2" s="26" t="s">
        <v>658</v>
      </c>
      <c r="T2" s="26"/>
      <c r="U2" s="26"/>
      <c r="V2" s="26"/>
      <c r="W2" s="26" t="s">
        <v>643</v>
      </c>
      <c r="X2" s="26" t="s">
        <v>646</v>
      </c>
      <c r="Y2" s="26" t="s">
        <v>648</v>
      </c>
      <c r="Z2" s="26"/>
      <c r="AA2" s="26" t="s">
        <v>651</v>
      </c>
      <c r="AB2" s="26"/>
      <c r="AC2" s="26"/>
      <c r="AD2" s="26"/>
      <c r="AE2" s="26"/>
      <c r="AF2" s="26" t="s">
        <v>904</v>
      </c>
      <c r="AG2" s="26"/>
    </row>
    <row r="3" spans="1:33" outlineLevel="1" x14ac:dyDescent="0.3">
      <c r="A3" s="16" t="s">
        <v>1293</v>
      </c>
      <c r="B3" s="27" t="s">
        <v>123</v>
      </c>
      <c r="C3" s="27" t="s">
        <v>195</v>
      </c>
      <c r="D3" s="27" t="s">
        <v>195</v>
      </c>
      <c r="E3" s="27" t="s">
        <v>186</v>
      </c>
      <c r="F3" s="27" t="s">
        <v>125</v>
      </c>
      <c r="G3" s="27" t="s">
        <v>277</v>
      </c>
      <c r="H3" s="27" t="s">
        <v>277</v>
      </c>
      <c r="I3" s="27" t="s">
        <v>277</v>
      </c>
      <c r="J3" s="27" t="s">
        <v>123</v>
      </c>
      <c r="K3" s="27" t="s">
        <v>125</v>
      </c>
      <c r="L3" s="27" t="s">
        <v>125</v>
      </c>
      <c r="M3" s="27" t="s">
        <v>125</v>
      </c>
      <c r="N3" s="27" t="s">
        <v>125</v>
      </c>
      <c r="O3" s="27" t="s">
        <v>125</v>
      </c>
      <c r="P3" s="27" t="s">
        <v>1267</v>
      </c>
      <c r="Q3" s="27" t="s">
        <v>1267</v>
      </c>
      <c r="R3" s="27" t="s">
        <v>1267</v>
      </c>
      <c r="S3" s="27" t="s">
        <v>660</v>
      </c>
      <c r="T3" s="27" t="s">
        <v>639</v>
      </c>
      <c r="U3" s="27" t="s">
        <v>195</v>
      </c>
      <c r="V3" s="27" t="s">
        <v>642</v>
      </c>
      <c r="W3" s="27" t="s">
        <v>645</v>
      </c>
      <c r="X3" s="27" t="s">
        <v>207</v>
      </c>
      <c r="Y3" s="27" t="s">
        <v>207</v>
      </c>
      <c r="Z3" s="27" t="s">
        <v>203</v>
      </c>
      <c r="AA3" s="27" t="s">
        <v>125</v>
      </c>
      <c r="AB3" s="27" t="s">
        <v>125</v>
      </c>
      <c r="AC3" s="27" t="s">
        <v>125</v>
      </c>
      <c r="AD3" s="27" t="s">
        <v>125</v>
      </c>
      <c r="AE3" s="27" t="s">
        <v>125</v>
      </c>
      <c r="AF3" s="27" t="s">
        <v>125</v>
      </c>
      <c r="AG3" s="27" t="s">
        <v>125</v>
      </c>
    </row>
    <row r="4" spans="1:33" outlineLevel="1" x14ac:dyDescent="0.3">
      <c r="A4" s="16" t="s">
        <v>1288</v>
      </c>
      <c r="B4" s="2">
        <v>144396</v>
      </c>
      <c r="C4" s="2">
        <v>77811</v>
      </c>
      <c r="D4" s="2">
        <v>77812</v>
      </c>
      <c r="E4" s="2">
        <v>144399</v>
      </c>
      <c r="F4" s="27">
        <v>101874</v>
      </c>
      <c r="G4" s="2">
        <v>32800</v>
      </c>
      <c r="H4" s="2">
        <v>32799</v>
      </c>
      <c r="I4" s="2">
        <v>89167</v>
      </c>
      <c r="J4" s="2">
        <v>88652</v>
      </c>
      <c r="K4" s="27">
        <v>90871</v>
      </c>
      <c r="L4" s="27">
        <v>90915</v>
      </c>
      <c r="M4" s="27">
        <v>90937</v>
      </c>
      <c r="N4" s="27">
        <v>90981</v>
      </c>
      <c r="O4" s="27">
        <v>91003</v>
      </c>
      <c r="P4" s="2">
        <v>32649</v>
      </c>
      <c r="Q4" s="2">
        <v>32679</v>
      </c>
      <c r="R4" s="2">
        <v>32695</v>
      </c>
      <c r="S4" s="2">
        <v>32780</v>
      </c>
      <c r="T4" s="2">
        <v>765</v>
      </c>
      <c r="U4" s="2">
        <v>578</v>
      </c>
      <c r="V4" s="2">
        <v>971</v>
      </c>
      <c r="W4" s="2">
        <v>32215</v>
      </c>
      <c r="X4" s="2">
        <v>87265</v>
      </c>
      <c r="Y4" s="2">
        <v>87302</v>
      </c>
      <c r="Z4" s="2">
        <v>88736</v>
      </c>
      <c r="AA4" s="27">
        <v>90343</v>
      </c>
      <c r="AB4" s="27">
        <v>90387</v>
      </c>
      <c r="AC4" s="27">
        <v>90409</v>
      </c>
      <c r="AD4" s="27">
        <v>90497</v>
      </c>
      <c r="AE4" s="27">
        <v>90519</v>
      </c>
      <c r="AF4" s="27">
        <v>89617</v>
      </c>
      <c r="AG4" s="27">
        <v>144768</v>
      </c>
    </row>
    <row r="5" spans="1:33" outlineLevel="1" x14ac:dyDescent="0.3">
      <c r="A5" t="s">
        <v>1291</v>
      </c>
      <c r="B5" s="27" t="s">
        <v>221</v>
      </c>
      <c r="C5" s="27" t="s">
        <v>194</v>
      </c>
      <c r="D5" s="27" t="s">
        <v>199</v>
      </c>
      <c r="E5" s="27" t="s">
        <v>253</v>
      </c>
      <c r="F5" s="27" t="s">
        <v>189</v>
      </c>
      <c r="G5" s="27" t="s">
        <v>618</v>
      </c>
      <c r="H5" s="27" t="s">
        <v>622</v>
      </c>
      <c r="I5" s="27" t="s">
        <v>623</v>
      </c>
      <c r="J5" s="27" t="s">
        <v>625</v>
      </c>
      <c r="K5" s="27" t="s">
        <v>627</v>
      </c>
      <c r="L5" s="27" t="s">
        <v>629</v>
      </c>
      <c r="M5" s="27" t="s">
        <v>631</v>
      </c>
      <c r="N5" s="27" t="s">
        <v>633</v>
      </c>
      <c r="O5" s="27" t="s">
        <v>635</v>
      </c>
      <c r="P5" s="27" t="s">
        <v>636</v>
      </c>
      <c r="Q5" s="27" t="s">
        <v>637</v>
      </c>
      <c r="R5" s="27" t="s">
        <v>638</v>
      </c>
      <c r="S5" s="27" t="s">
        <v>659</v>
      </c>
      <c r="T5" s="27" t="s">
        <v>1299</v>
      </c>
      <c r="U5" s="27" t="s">
        <v>640</v>
      </c>
      <c r="V5" s="27" t="s">
        <v>641</v>
      </c>
      <c r="W5" s="27" t="s">
        <v>644</v>
      </c>
      <c r="X5" s="27" t="s">
        <v>647</v>
      </c>
      <c r="Y5" s="27" t="s">
        <v>649</v>
      </c>
      <c r="Z5" s="27" t="s">
        <v>650</v>
      </c>
      <c r="AA5" s="27" t="s">
        <v>652</v>
      </c>
      <c r="AB5" s="27" t="s">
        <v>653</v>
      </c>
      <c r="AC5" s="27" t="s">
        <v>654</v>
      </c>
      <c r="AD5" s="27" t="s">
        <v>655</v>
      </c>
      <c r="AE5" s="27" t="s">
        <v>656</v>
      </c>
      <c r="AF5" s="27" t="s">
        <v>905</v>
      </c>
      <c r="AG5" s="27" t="s">
        <v>657</v>
      </c>
    </row>
    <row r="6" spans="1:33" outlineLevel="1" x14ac:dyDescent="0.3">
      <c r="A6" t="s">
        <v>1289</v>
      </c>
      <c r="B6" s="27" t="s">
        <v>222</v>
      </c>
      <c r="C6" s="27" t="s">
        <v>196</v>
      </c>
      <c r="D6" s="27" t="s">
        <v>196</v>
      </c>
      <c r="E6" s="27" t="s">
        <v>187</v>
      </c>
      <c r="F6" s="27" t="s">
        <v>190</v>
      </c>
      <c r="G6" s="27" t="s">
        <v>619</v>
      </c>
      <c r="H6" s="27" t="s">
        <v>619</v>
      </c>
      <c r="I6" s="27" t="s">
        <v>619</v>
      </c>
      <c r="J6" s="27" t="s">
        <v>619</v>
      </c>
      <c r="K6" s="27" t="s">
        <v>619</v>
      </c>
      <c r="L6" s="27" t="s">
        <v>619</v>
      </c>
      <c r="M6" s="27" t="s">
        <v>619</v>
      </c>
      <c r="N6" s="27" t="s">
        <v>619</v>
      </c>
      <c r="O6" s="27" t="s">
        <v>619</v>
      </c>
      <c r="P6" s="27" t="s">
        <v>619</v>
      </c>
      <c r="Q6" s="27" t="s">
        <v>619</v>
      </c>
      <c r="R6" s="27" t="s">
        <v>619</v>
      </c>
      <c r="S6" s="27" t="s">
        <v>619</v>
      </c>
      <c r="T6" s="27" t="s">
        <v>619</v>
      </c>
      <c r="U6" s="27" t="s">
        <v>619</v>
      </c>
      <c r="V6" s="27" t="s">
        <v>619</v>
      </c>
      <c r="W6" s="27" t="s">
        <v>619</v>
      </c>
      <c r="X6" s="27" t="s">
        <v>619</v>
      </c>
      <c r="Y6" s="27" t="s">
        <v>619</v>
      </c>
      <c r="Z6" s="27" t="s">
        <v>619</v>
      </c>
      <c r="AA6" s="27" t="s">
        <v>619</v>
      </c>
      <c r="AB6" s="27" t="s">
        <v>619</v>
      </c>
      <c r="AC6" s="27" t="s">
        <v>619</v>
      </c>
      <c r="AD6" s="27" t="s">
        <v>619</v>
      </c>
      <c r="AE6" s="27" t="s">
        <v>619</v>
      </c>
      <c r="AF6" s="27" t="s">
        <v>619</v>
      </c>
      <c r="AG6" s="27" t="s">
        <v>619</v>
      </c>
    </row>
    <row r="7" spans="1:33" outlineLevel="1" x14ac:dyDescent="0.3">
      <c r="A7" t="s">
        <v>1290</v>
      </c>
      <c r="B7" s="27" t="s">
        <v>223</v>
      </c>
      <c r="C7" s="27" t="s">
        <v>197</v>
      </c>
      <c r="D7" s="27" t="s">
        <v>197</v>
      </c>
      <c r="E7" s="27" t="s">
        <v>188</v>
      </c>
      <c r="F7" s="27" t="s">
        <v>191</v>
      </c>
      <c r="G7" s="27" t="s">
        <v>620</v>
      </c>
      <c r="H7" s="27" t="s">
        <v>620</v>
      </c>
      <c r="I7" s="27" t="s">
        <v>620</v>
      </c>
      <c r="J7" s="27" t="s">
        <v>620</v>
      </c>
      <c r="K7" s="27" t="s">
        <v>620</v>
      </c>
      <c r="L7" s="27" t="s">
        <v>620</v>
      </c>
      <c r="M7" s="27" t="s">
        <v>620</v>
      </c>
      <c r="N7" s="27" t="s">
        <v>620</v>
      </c>
      <c r="O7" s="27" t="s">
        <v>620</v>
      </c>
      <c r="P7" s="27" t="s">
        <v>620</v>
      </c>
      <c r="Q7" s="27" t="s">
        <v>620</v>
      </c>
      <c r="R7" s="27" t="s">
        <v>620</v>
      </c>
      <c r="S7" s="27" t="s">
        <v>620</v>
      </c>
      <c r="T7" s="27" t="s">
        <v>620</v>
      </c>
      <c r="U7" s="27" t="s">
        <v>620</v>
      </c>
      <c r="V7" s="27" t="s">
        <v>620</v>
      </c>
      <c r="W7" s="27" t="s">
        <v>620</v>
      </c>
      <c r="X7" s="27" t="s">
        <v>620</v>
      </c>
      <c r="Y7" s="27" t="s">
        <v>620</v>
      </c>
      <c r="Z7" s="27" t="s">
        <v>620</v>
      </c>
      <c r="AA7" s="27" t="s">
        <v>620</v>
      </c>
      <c r="AB7" s="27" t="s">
        <v>620</v>
      </c>
      <c r="AC7" s="27" t="s">
        <v>620</v>
      </c>
      <c r="AD7" s="27" t="s">
        <v>620</v>
      </c>
      <c r="AE7" s="27" t="s">
        <v>620</v>
      </c>
      <c r="AF7" s="27" t="s">
        <v>620</v>
      </c>
      <c r="AG7" s="27" t="s">
        <v>620</v>
      </c>
    </row>
    <row r="8" spans="1:33" outlineLevel="1" x14ac:dyDescent="0.3">
      <c r="A8" s="16" t="s">
        <v>489</v>
      </c>
      <c r="B8" s="27" t="s">
        <v>120</v>
      </c>
      <c r="C8" s="27" t="s">
        <v>163</v>
      </c>
      <c r="D8" s="27" t="s">
        <v>163</v>
      </c>
      <c r="E8" s="27" t="s">
        <v>159</v>
      </c>
      <c r="F8" s="27"/>
      <c r="G8" s="27" t="s">
        <v>290</v>
      </c>
      <c r="H8" s="27" t="s">
        <v>293</v>
      </c>
      <c r="I8" s="27" t="s">
        <v>278</v>
      </c>
      <c r="J8" s="27" t="s">
        <v>120</v>
      </c>
      <c r="K8" s="27" t="s">
        <v>126</v>
      </c>
      <c r="L8" s="27" t="s">
        <v>129</v>
      </c>
      <c r="M8" s="27" t="s">
        <v>132</v>
      </c>
      <c r="N8" s="27" t="s">
        <v>135</v>
      </c>
      <c r="O8" s="27" t="s">
        <v>138</v>
      </c>
      <c r="P8" s="27" t="s">
        <v>141</v>
      </c>
      <c r="Q8" s="27" t="s">
        <v>146</v>
      </c>
      <c r="R8" s="27" t="s">
        <v>149</v>
      </c>
      <c r="S8" s="27" t="s">
        <v>154</v>
      </c>
      <c r="T8" s="27" t="s">
        <v>159</v>
      </c>
      <c r="U8" s="27" t="s">
        <v>163</v>
      </c>
      <c r="V8" s="27" t="s">
        <v>168</v>
      </c>
      <c r="W8" s="27" t="s">
        <v>217</v>
      </c>
      <c r="X8" s="27" t="s">
        <v>208</v>
      </c>
      <c r="Y8" s="27" t="s">
        <v>213</v>
      </c>
      <c r="Z8" s="27" t="s">
        <v>204</v>
      </c>
      <c r="AA8" s="27" t="s">
        <v>126</v>
      </c>
      <c r="AB8" s="27" t="s">
        <v>129</v>
      </c>
      <c r="AC8" s="27" t="s">
        <v>132</v>
      </c>
      <c r="AD8" s="27" t="s">
        <v>135</v>
      </c>
      <c r="AE8" s="27" t="s">
        <v>138</v>
      </c>
      <c r="AF8" s="27" t="s">
        <v>351</v>
      </c>
      <c r="AG8" s="27" t="s">
        <v>402</v>
      </c>
    </row>
    <row r="9" spans="1:33" outlineLevel="1" x14ac:dyDescent="0.3">
      <c r="A9" s="16" t="s">
        <v>490</v>
      </c>
      <c r="B9" s="27" t="s">
        <v>121</v>
      </c>
      <c r="C9" s="27" t="s">
        <v>164</v>
      </c>
      <c r="D9" s="27" t="s">
        <v>164</v>
      </c>
      <c r="E9" s="27" t="s">
        <v>160</v>
      </c>
      <c r="F9" s="27"/>
      <c r="G9" s="27" t="s">
        <v>291</v>
      </c>
      <c r="H9" s="27" t="s">
        <v>294</v>
      </c>
      <c r="I9" s="27" t="s">
        <v>279</v>
      </c>
      <c r="J9" s="27" t="s">
        <v>121</v>
      </c>
      <c r="K9" s="27" t="s">
        <v>127</v>
      </c>
      <c r="L9" s="27" t="s">
        <v>130</v>
      </c>
      <c r="M9" s="27" t="s">
        <v>133</v>
      </c>
      <c r="N9" s="27" t="s">
        <v>136</v>
      </c>
      <c r="O9" s="27" t="s">
        <v>139</v>
      </c>
      <c r="P9" s="27" t="s">
        <v>142</v>
      </c>
      <c r="Q9" s="27" t="s">
        <v>147</v>
      </c>
      <c r="R9" s="27" t="s">
        <v>150</v>
      </c>
      <c r="S9" s="27" t="s">
        <v>155</v>
      </c>
      <c r="T9" s="27" t="s">
        <v>160</v>
      </c>
      <c r="U9" s="27" t="s">
        <v>164</v>
      </c>
      <c r="V9" s="27" t="s">
        <v>169</v>
      </c>
      <c r="W9" s="27" t="s">
        <v>218</v>
      </c>
      <c r="X9" s="27" t="s">
        <v>209</v>
      </c>
      <c r="Y9" s="27" t="s">
        <v>214</v>
      </c>
      <c r="Z9" s="27" t="s">
        <v>205</v>
      </c>
      <c r="AA9" s="27" t="s">
        <v>127</v>
      </c>
      <c r="AB9" s="27" t="s">
        <v>130</v>
      </c>
      <c r="AC9" s="27" t="s">
        <v>133</v>
      </c>
      <c r="AD9" s="27" t="s">
        <v>136</v>
      </c>
      <c r="AE9" s="27" t="s">
        <v>139</v>
      </c>
      <c r="AF9" s="27" t="s">
        <v>352</v>
      </c>
      <c r="AG9" s="28" t="s">
        <v>403</v>
      </c>
    </row>
    <row r="10" spans="1:33" outlineLevel="1" x14ac:dyDescent="0.3">
      <c r="A10" s="16" t="s">
        <v>491</v>
      </c>
      <c r="B10" s="27" t="s">
        <v>224</v>
      </c>
      <c r="C10" s="27" t="s">
        <v>165</v>
      </c>
      <c r="D10" s="27" t="s">
        <v>200</v>
      </c>
      <c r="E10" s="27" t="s">
        <v>226</v>
      </c>
      <c r="F10" s="27"/>
      <c r="G10" s="27" t="s">
        <v>175</v>
      </c>
      <c r="H10" s="27" t="s">
        <v>175</v>
      </c>
      <c r="I10" s="27" t="s">
        <v>184</v>
      </c>
      <c r="J10" s="27" t="s">
        <v>122</v>
      </c>
      <c r="K10" s="27" t="s">
        <v>122</v>
      </c>
      <c r="L10" s="27" t="s">
        <v>122</v>
      </c>
      <c r="M10" s="27" t="s">
        <v>122</v>
      </c>
      <c r="N10" s="27" t="s">
        <v>122</v>
      </c>
      <c r="O10" s="27" t="s">
        <v>122</v>
      </c>
      <c r="P10" s="27" t="s">
        <v>143</v>
      </c>
      <c r="Q10" s="27" t="s">
        <v>143</v>
      </c>
      <c r="R10" s="27" t="s">
        <v>151</v>
      </c>
      <c r="S10" s="27" t="s">
        <v>156</v>
      </c>
      <c r="T10" s="27" t="s">
        <v>447</v>
      </c>
      <c r="U10" s="27" t="s">
        <v>165</v>
      </c>
      <c r="V10" s="27" t="s">
        <v>170</v>
      </c>
      <c r="W10" s="27" t="s">
        <v>219</v>
      </c>
      <c r="X10" s="27" t="s">
        <v>210</v>
      </c>
      <c r="Y10" s="27" t="s">
        <v>210</v>
      </c>
      <c r="Z10" s="27" t="s">
        <v>184</v>
      </c>
      <c r="AA10" s="27" t="s">
        <v>184</v>
      </c>
      <c r="AB10" s="27" t="s">
        <v>184</v>
      </c>
      <c r="AC10" s="27" t="s">
        <v>184</v>
      </c>
      <c r="AD10" s="27" t="s">
        <v>184</v>
      </c>
      <c r="AE10" s="27" t="s">
        <v>184</v>
      </c>
      <c r="AF10" s="27" t="s">
        <v>156</v>
      </c>
      <c r="AG10" s="27" t="s">
        <v>184</v>
      </c>
    </row>
    <row r="11" spans="1:33" ht="15.6" customHeight="1" outlineLevel="1" x14ac:dyDescent="0.3">
      <c r="A11" s="16" t="s">
        <v>492</v>
      </c>
      <c r="B11" s="27" t="s">
        <v>225</v>
      </c>
      <c r="C11" s="27" t="s">
        <v>166</v>
      </c>
      <c r="D11" s="27" t="s">
        <v>201</v>
      </c>
      <c r="E11" s="27" t="s">
        <v>227</v>
      </c>
      <c r="F11" s="27"/>
      <c r="G11" s="27" t="s">
        <v>176</v>
      </c>
      <c r="H11" s="27" t="s">
        <v>176</v>
      </c>
      <c r="I11" s="27" t="s">
        <v>185</v>
      </c>
      <c r="J11" s="27" t="s">
        <v>118</v>
      </c>
      <c r="K11" s="27" t="s">
        <v>118</v>
      </c>
      <c r="L11" s="27" t="s">
        <v>118</v>
      </c>
      <c r="M11" s="27" t="s">
        <v>118</v>
      </c>
      <c r="N11" s="27" t="s">
        <v>118</v>
      </c>
      <c r="O11" s="27" t="s">
        <v>118</v>
      </c>
      <c r="P11" s="27" t="s">
        <v>144</v>
      </c>
      <c r="Q11" s="27" t="s">
        <v>144</v>
      </c>
      <c r="R11" s="27" t="s">
        <v>152</v>
      </c>
      <c r="S11" s="27" t="s">
        <v>157</v>
      </c>
      <c r="T11" s="27" t="s">
        <v>448</v>
      </c>
      <c r="U11" s="27" t="s">
        <v>166</v>
      </c>
      <c r="V11" s="27" t="s">
        <v>171</v>
      </c>
      <c r="W11" s="27" t="s">
        <v>220</v>
      </c>
      <c r="X11" s="27" t="s">
        <v>211</v>
      </c>
      <c r="Y11" s="27" t="s">
        <v>211</v>
      </c>
      <c r="Z11" s="27" t="s">
        <v>185</v>
      </c>
      <c r="AA11" s="27" t="s">
        <v>185</v>
      </c>
      <c r="AB11" s="27" t="s">
        <v>185</v>
      </c>
      <c r="AC11" s="27" t="s">
        <v>185</v>
      </c>
      <c r="AD11" s="27" t="s">
        <v>185</v>
      </c>
      <c r="AE11" s="27" t="s">
        <v>185</v>
      </c>
      <c r="AF11" s="27" t="s">
        <v>157</v>
      </c>
      <c r="AG11" s="27" t="s">
        <v>185</v>
      </c>
    </row>
    <row r="12" spans="1:33" outlineLevel="1" x14ac:dyDescent="0.3">
      <c r="B12" s="4" t="str">
        <f>INDEX({"31/01/2024 @ 15:41","macro_id=DBGlobal","label_id=144396","time=Q","year_from=2000","year_to=2023","direction=V","opt_font=true","fontsize=8","opt_color=true","col_desc=Calculation:10;Footnote 1:9;ID:8;Label:7;Reporter:6:s;Reporter:5:long;Indicator:4:s;Indicator:3:l;Unit:2:s;Unit:1:long;","numberformat=0.00","auto_tr=1999|2015","com=true","comp=4"},1,1)</f>
        <v>31/01/2024 @ 15:41</v>
      </c>
      <c r="C12" s="4" t="str">
        <f>INDEX({"31/01/2024 @ 15:41","macro_id=DBGlobal","label_id=77811","time=Q","year_from=2000","year_to=2023","direction=V","opt_font=true","fontsize=8","opt_color=true","col_desc=Calculation:10;Footnote 1:9;ID:8;Label:7;Reporter:6:s;Reporter:5:long;Indicator:4:s;Indicator:3:l;Unit:2:s;Unit:1:long;","numberformat=0.00","auto_tr=1999|2015","com=true","comp=4"},1,1)</f>
        <v>31/01/2024 @ 15:41</v>
      </c>
      <c r="D12" s="6" t="str">
        <f>INDEX({"31/01/2024 @ 15:41","macro_id=DBGlobal","label_id=77812","calc=SubScal(L_77812,100)","time=Q","year_from=2000","year_to=2023","direction=V","opt_font=true","fontsize=8","opt_color=true","col_desc=Calculation:10;Footnote 1:9;ID:8;Label:7;Reporter:6:s;Reporter:5:long;Indicator:4:s;Indicator:3:l;Unit:2:s;Unit:1:long;","numberformat=0.00","auto_tr=1999|2015","com=true","comp=4"},1,1)</f>
        <v>31/01/2024 @ 15:41</v>
      </c>
      <c r="E12" s="4" t="str">
        <f>INDEX({"31/01/2024 @ 15:41","macro_id=DBGlobal","label_id=144399","time=Q","year_from=2000","year_to=2023","direction=V","opt_font=true","fontsize=8","opt_color=true","col_desc=Calculation:10;Footnote 1:9;ID:8;Label:7;Reporter:6:s;Reporter:5:long;Indicator:4:s;Indicator:3:l;Unit:2:s;Unit:1:long;","numberformat=0.00","auto_tr=1999|2015","com=true","comp=4"},1,1)</f>
        <v>31/01/2024 @ 15:41</v>
      </c>
      <c r="F12" s="4" t="str">
        <f>INDEX({"31/01/2024 @ 15:41","macro_id=DBGlobal","label_id=101874","time=Q","year_from=2000","year_to=2023","direction=V","opt_font=true","fontsize=8","opt_color=true","col_desc=Calculation:10;Footnote 1:9;ID:8;Label:7;Reporter:6:s;Reporter:5:long;Indicator:4:s;Indicator:3:l;Unit:2:s;Unit:1:long;","numberformat=0.00","auto_tr=1999|2015","com=true","comp=4"},1,1)</f>
        <v>31/01/2024 @ 15:41</v>
      </c>
      <c r="G12" s="5" t="str">
        <f>INDEX({"31/01/2024 @ 15:41","macro_id=DBGlobal","label_id=32800","calc=SubScal(CPPY=100(L_32800),100)","time=Q","year_from=2000","year_to=2023","direction=V","opt_font=true","fontsize=8","opt_color=true","col_desc=Calculation:10;Footnote 1:9;ID:8;Label:7;Reporter:6:s;Reporter:5:long;Indicator:4:s;Indicator:3:l;Unit:2:s;Unit:1:long;","numberformat=0.00","auto_tr=1999|2015","com=true","comp=4"},1,1)</f>
        <v>31/01/2024 @ 15:41</v>
      </c>
      <c r="H12" s="5" t="str">
        <f>INDEX({"31/01/2024 @ 15:41","macro_id=DBGlobal","label_id=32799","calc=SubScal(CPPY=100(L_32799),100)","time=Q","year_from=2000","year_to=2023","direction=V","opt_font=true","fontsize=8","opt_color=true","col_desc=Calculation:10;Footnote 1:9;ID:8;Label:7;Reporter:6:s;Reporter:5:long;Indicator:4:s;Indicator:3:l;Unit:2:s;Unit:1:long;","numberformat=0.00","auto_tr=1999|2015","com=true","comp=4"},1,1)</f>
        <v>31/01/2024 @ 15:41</v>
      </c>
      <c r="I12" s="1" t="str">
        <f>INDEX({"31/01/2024 @ 15:41","macro_id=DBGlobal","label_id=89167","time=Q","year_from=2000","year_to=2023","direction=V","opt_font=true","fontsize=8","opt_color=true","col_desc=Calculation:10;Footnote 1:9;ID:8;Label:7;Reporter:6:s;Reporter:5:long;Indicator:4:s;Indicator:3:l;Unit:2:s;Unit:1:long;","numberformat=0.00","auto_tr=1999|2015","com=true","comp=4"},1,1)</f>
        <v>31/01/2024 @ 15:41</v>
      </c>
      <c r="J12" s="5" t="str">
        <f>INDEX({"31/01/2024 @ 15:41","macro_id=DBGlobal","label_id=88652","calc=SubScal(CPPY=100(L_88652),100)","time=Q","year_from=2000","year_to=2023","direction=V","opt_font=true","fontsize=8","opt_color=true","col_desc=Calculation:10;Footnote 1:9;ID:8;Label:7;Reporter:6:s;Reporter:5:long;Indicator:4:s;Indicator:3:l;Unit:2:s;Unit:1:long;","numberformat=0.00","auto_tr=1999|2015","com=true","comp=4"},1,1)</f>
        <v>31/01/2024 @ 15:41</v>
      </c>
      <c r="K12" s="5" t="str">
        <f>INDEX({"31/01/2024 @ 15:41","macro_id=DBGlobal","label_id=90871","calc=SubScal(CPPY=100(L_90871),100)","time=Q","year_from=2000","year_to=2023","direction=V","opt_font=true","fontsize=8","opt_color=true","col_desc=Calculation:10;Footnote 1:9;ID:8;Label:7;Reporter:6:s;Reporter:5:long;Indicator:4:s;Indicator:3:l;Unit:2:s;Unit:1:long;","numberformat=0.00","auto_tr=1999|2015","com=true","comp=4"},1,1)</f>
        <v>31/01/2024 @ 15:41</v>
      </c>
      <c r="L12" s="5" t="str">
        <f>INDEX({"31/01/2024 @ 15:41","macro_id=DBGlobal","label_id=90915","calc=SubScal(CPPY=100(L_90915),100)","time=Q","year_from=2000","year_to=2023","direction=V","opt_font=true","fontsize=8","opt_color=true","col_desc=Calculation:10;Footnote 1:9;ID:8;Label:7;Reporter:6:s;Reporter:5:long;Indicator:4:s;Indicator:3:l;Unit:2:s;Unit:1:long;","numberformat=0.00","auto_tr=1999|2015","com=true","comp=4"},1,1)</f>
        <v>31/01/2024 @ 15:41</v>
      </c>
      <c r="M12" s="5" t="str">
        <f>INDEX({"31/01/2024 @ 15:41","macro_id=DBGlobal","label_id=90937","calc=SubScal(CPPY=100(L_90937),100)","time=Q","year_from=2000","year_to=2023","direction=V","opt_font=true","fontsize=8","opt_color=true","col_desc=Calculation:10;Footnote 1:9;ID:8;Label:7;Reporter:6:s;Reporter:5:long;Indicator:4:s;Indicator:3:l;Unit:2:s;Unit:1:long;","numberformat=0.00","auto_tr=1999|2015","com=true","comp=4"},1,1)</f>
        <v>31/01/2024 @ 15:41</v>
      </c>
      <c r="N12" s="5" t="str">
        <f>INDEX({"31/01/2024 @ 15:41","macro_id=DBGlobal","label_id=90981","calc=SubScal(CPPY=100(L_90981),100)","time=Q","year_from=2000","year_to=2023","direction=V","opt_font=true","fontsize=8","opt_color=true","col_desc=Calculation:10;Footnote 1:9;ID:8;Label:7;Reporter:6:s;Reporter:5:long;Indicator:4:s;Indicator:3:l;Unit:2:s;Unit:1:long;","numberformat=0.00","auto_tr=1999|2015","com=true","comp=4"},1,1)</f>
        <v>31/01/2024 @ 15:41</v>
      </c>
      <c r="O12" s="5" t="str">
        <f>INDEX({"31/01/2024 @ 15:41","macro_id=DBGlobal","label_id=91003","calc=SubScal(CPPY=100(L_91003),100)","time=Q","year_from=2000","year_to=2023","direction=V","opt_font=true","fontsize=8","opt_color=true","col_desc=Calculation:10;Footnote 1:9;ID:8;Label:7;Reporter:6:s;Reporter:5:long;Indicator:4:s;Indicator:3:l;Unit:2:s;Unit:1:long;","numberformat=0.00","auto_tr=1999|2015","com=true","comp=4"},1,1)</f>
        <v>31/01/2024 @ 15:41</v>
      </c>
      <c r="P12" s="1" t="str">
        <f>INDEX({"31/01/2024 @ 15:41","macro_id=DBGlobal","label_id=32649","time=Q","year_from=2000","year_to=2023","direction=V","opt_font=true","fontsize=8","opt_color=true","col_desc=Calculation:10;Footnote 1:9;ID:8;Label:7;Reporter:6:s;Reporter:5:long;Indicator:4:s;Indicator:3:l;Unit:2:s;Unit:1:long;","numberformat=0.00","auto_tr=1999|2015","com=true","comp=4"},1,1)</f>
        <v>31/01/2024 @ 15:41</v>
      </c>
      <c r="Q12" s="1" t="str">
        <f>INDEX({"31/01/2024 @ 15:41","macro_id=DBGlobal","label_id=32679","time=Q","year_from=2000","year_to=2023","direction=V","opt_font=true","fontsize=8","opt_color=true","col_desc=Calculation:10;Footnote 1:9;ID:8;Label:7;Reporter:6:s;Reporter:5:long;Indicator:4:s;Indicator:3:l;Unit:2:s;Unit:1:long;","numberformat=0.00","auto_tr=1999|2015","com=true","comp=4"},1,1)</f>
        <v>31/01/2024 @ 15:41</v>
      </c>
      <c r="R12" s="1" t="str">
        <f>INDEX({"31/01/2024 @ 15:41","macro_id=DBGlobal","label_id=32695","time=Q","year_from=2000","year_to=2023","direction=V","opt_font=true","fontsize=8","opt_color=true","col_desc=Calculation:10;Footnote 1:9;ID:8;Label:7;Reporter:6:s;Reporter:5:long;Indicator:4:s;Indicator:3:l;Unit:2:s;Unit:1:long;","numberformat=0.00","auto_tr=1999|2015","com=true","comp=4"},1,1)</f>
        <v>31/01/2024 @ 15:41</v>
      </c>
      <c r="S12" s="5" t="str">
        <f>INDEX({"31/01/2024 @ 15:41","macro_id=DBGlobal","label_id=32780","calc=SubScal(L_32780,100)","time=Q","year_from=2000","year_to=2023","direction=V","opt_font=true","fontsize=8","opt_color=true","col_desc=Calculation:10;Footnote 1:9;ID:8;Label:7;Reporter:6:s;Reporter:5:long;Indicator:4:s;Indicator:3:l;Unit:2:s;Unit:1:long;","numberformat=0.00","auto_tr=1999|2015","com=true","comp=4"},1,1)</f>
        <v>31/01/2024 @ 15:41</v>
      </c>
      <c r="T12" s="1" t="str">
        <f>INDEX({"31/01/2024 @ 15:41","macro_id=DBGlobal","label_id=765","time=Q","year_from=2000","year_to=2023","direction=V","opt_font=true","fontsize=8","opt_color=true","col_desc=Calculation:10;Footnote 1:9;ID:8;Label:7;Reporter:6:s;Reporter:5:long;Indicator:4:s;Indicator:3:l;Unit:2:s;Unit:1:long;","numberformat=0.00","auto_tr=1999|2015","com=true","comp=4"},1,1)</f>
        <v>31/01/2024 @ 15:41</v>
      </c>
      <c r="U12" s="1" t="str">
        <f>INDEX({"31/01/2024 @ 15:41","macro_id=DBGlobal","label_id=578","time=Q","year_from=2000","year_to=2023","direction=V","opt_font=true","fontsize=8","opt_color=true","col_desc=Calculation:10;Footnote 1:9;ID:8;Label:7;Reporter:6:s;Reporter:5:long;Indicator:4:s;Indicator:3:l;Unit:2:s;Unit:1:long;","numberformat=0.00","auto_tr=1999|2015","com=true","comp=4"},1,1)</f>
        <v>31/01/2024 @ 15:41</v>
      </c>
      <c r="V12" s="1" t="str">
        <f>INDEX({"31/01/2024 @ 15:41","macro_id=DBGlobal","label_id=971","time=Q","year_from=2000","year_to=2023","direction=V","opt_font=true","fontsize=8","opt_color=true","col_desc=Calculation:10;Footnote 1:9;ID:8;Label:7;Reporter:6:s;Reporter:5:long;Indicator:4:s;Indicator:3:l;Unit:2:s;Unit:1:long;","numberformat=0.00","auto_tr=1999|2015","com=true","comp=4"},1,1)</f>
        <v>31/01/2024 @ 15:41</v>
      </c>
      <c r="W12" s="5" t="str">
        <f>INDEX({"31/01/2024 @ 15:41","macro_id=DBGlobal","label_id=32215","calc=SubScal(L_32215,100)","time=Q","year_from=2000","year_to=2023","direction=V","opt_font=true","fontsize=8","opt_color=true","col_desc=Calculation:10;Footnote 1:9;ID:8;Label:7;Reporter:6:s;Reporter:5:long;Indicator:4:s;Indicator:3:l;Unit:2:s;Unit:1:long;","numberformat=0.00","auto_tr=1999|2015","com=true","comp=4"},1,1)</f>
        <v>31/01/2024 @ 15:41</v>
      </c>
      <c r="X12" s="6" t="str">
        <f>INDEX({"31/01/2024 @ 15:41","macro_id=DBGlobal","label_id=87265","calc=SubScal(CPPY=100(AddNull(L_87265,L_87339)),100)","time=Q","year_from=2000","year_to=2023","direction=V","opt_font=true","fontsize=8","opt_color=true","col_desc=Calculation:10;Footnote 1:9;ID:8;Label:7;Reporter:6:s;Reporter:5:long;Indicator:4:s;Indicator:3:l;Unit:2:s;Unit:1:long;","numberformat=0.00","auto_tr=1999|2015","com=true","comp=4"},1,1)</f>
        <v>31/01/2024 @ 15:41</v>
      </c>
      <c r="Y12" s="6" t="str">
        <f>INDEX({"31/01/2024 @ 15:41","macro_id=DBGlobal","label_id=87302","calc=SubScal(CPPY=100(AddNull(L_87302,L_87376)),100)","time=Q","year_from=2000","year_to=2023","direction=V","opt_font=true","fontsize=8","opt_color=true","col_desc=Calculation:10;Footnote 1:9;ID:8;Label:7;Reporter:6:s;Reporter:5:long;Indicator:4:s;Indicator:3:l;Unit:2:s;Unit:1:long;","numberformat=0.00","auto_tr=1999|2015","com=true","comp=4"},1,1)</f>
        <v>31/01/2024 @ 15:41</v>
      </c>
      <c r="Z12" s="1" t="str">
        <f>INDEX({"31/01/2024 @ 15:41","macro_id=DBGlobal","label_id=88736","time=Q","year_from=2000","year_to=2023","direction=V","opt_font=true","fontsize=8","opt_color=true","col_desc=Calculation:10;Footnote 1:9;ID:8;Label:7;Reporter:6:s;Reporter:5:long;Indicator:4:s;Indicator:3:l;Unit:2:s;Unit:1:long;","numberformat=0.00","auto_tr=1999|2015","com=true","comp=4"},1,1)</f>
        <v>31/01/2024 @ 15:41</v>
      </c>
      <c r="AA12" s="5" t="str">
        <f>INDEX({"31/01/2024 @ 15:41","macro_id=DBGlobal","label_id=90343","calc=AddNull(L_90343,L_90365)","time=Q","year_from=2000","year_to=2023","direction=V","opt_font=true","fontsize=8","opt_color=true","col_desc=Calculation:10;Footnote 1:9;ID:8;Label:7;Reporter:6:s;Reporter:5:long;Indicator:4:s;Indicator:3:l;Unit:2:s;Unit:1:long;","numberformat=0.00","auto_tr=1999|2015","com=true","comp=4"},1,1)</f>
        <v>31/01/2024 @ 15:41</v>
      </c>
      <c r="AB12" s="1" t="str">
        <f>INDEX({"31/01/2024 @ 15:41","macro_id=DBGlobal","label_id=90387","time=Q","year_from=2000","year_to=2023","direction=V","opt_font=true","fontsize=8","opt_color=true","col_desc=Calculation:10;Footnote 1:9;ID:8;Label:7;Reporter:6:s;Reporter:5:long;Indicator:4:s;Indicator:3:l;Unit:2:s;Unit:1:long;","numberformat=0.00","auto_tr=1999|2015","com=true","comp=4"},1,1)</f>
        <v>31/01/2024 @ 15:41</v>
      </c>
      <c r="AC12" s="1" t="str">
        <f>INDEX({"31/01/2024 @ 15:41","macro_id=DBGlobal","label_id=90409","time=Q","year_from=2000","year_to=2023","direction=V","opt_font=true","fontsize=8","opt_color=true","col_desc=Calculation:10;Footnote 1:9;ID:8;Label:7;Reporter:6:s;Reporter:5:long;Indicator:4:s;Indicator:3:l;Unit:2:s;Unit:1:long;","numberformat=0.00","auto_tr=1999|2015","com=true","comp=4"},1,1)</f>
        <v>31/01/2024 @ 15:41</v>
      </c>
      <c r="AD12" s="1" t="str">
        <f>INDEX({"31/01/2024 @ 15:41","macro_id=DBGlobal","label_id=90497","time=Q","year_from=2000","year_to=2023","direction=V","opt_font=true","fontsize=8","opt_color=true","col_desc=Calculation:10;Footnote 1:9;ID:8;Label:7;Reporter:6:s;Reporter:5:long;Indicator:4:s;Indicator:3:l;Unit:2:s;Unit:1:long;","numberformat=0.00","auto_tr=1999|2015","com=true","comp=4"},1,1)</f>
        <v>31/01/2024 @ 15:41</v>
      </c>
      <c r="AE12" s="1" t="str">
        <f>INDEX({"31/01/2024 @ 15:41","macro_id=DBGlobal","label_id=90519","time=Q","year_from=2000","year_to=2023","direction=V","opt_font=true","fontsize=8","opt_color=true","col_desc=Calculation:10;Footnote 1:9;ID:8;Label:7;Reporter:6:s;Reporter:5:long;Indicator:4:s;Indicator:3:l;Unit:2:s;Unit:1:long;","numberformat=0.00","auto_tr=1999|2015","com=true","comp=4"},1,1)</f>
        <v>31/01/2024 @ 15:41</v>
      </c>
      <c r="AF12" s="5" t="str">
        <f>INDEX({"31/01/2024 @ 15:41","macro_id=DBGlobal","label_id=89617","calc=SubScal(L_89617,100)","time=Q","year_from=2000","year_to=2023","direction=V","opt_font=true","fontsize=8","opt_color=true","col_desc=Calculation:10;Footnote 1:9;ID:8;Label:7;Reporter:6:s;Reporter:5:long;Indicator:4:s;Indicator:3:l;Unit:2:s;Unit:1:long;","numberformat=0.00","auto_tr=1999|2015","com=true","comp=4"},1,1)</f>
        <v>31/01/2024 @ 15:41</v>
      </c>
      <c r="AG12" s="4" t="str">
        <f>INDEX({"31/01/2024 @ 15:41","macro_id=DBGlobal","label_id=144768","time=Q","year_from=2000","year_to=2023","direction=V","opt_font=true","fontsize=8","opt_color=true","col_desc=Calculation:10;Footnote 1:9;ID:8;Label:7;Reporter:6:s;Reporter:5:long;Indicator:4:s;Indicator:3:l;Unit:2:s;Unit:1:long;","numberformat=0.00","auto_tr=1999|2015","com=true","comp=4"},1,1)</f>
        <v>31/01/2024 @ 15:41</v>
      </c>
    </row>
    <row r="13" spans="1:33" s="11" customFormat="1" x14ac:dyDescent="0.3">
      <c r="A13" s="11" t="s">
        <v>19</v>
      </c>
      <c r="B13" s="12">
        <v>4.8214176000000002</v>
      </c>
      <c r="C13" s="12">
        <v>73.989999999999995</v>
      </c>
      <c r="D13" s="12">
        <v>1.7557532</v>
      </c>
      <c r="E13" s="12">
        <v>3.25</v>
      </c>
      <c r="F13" s="13">
        <v>26.926666699999998</v>
      </c>
      <c r="G13" s="12">
        <v>-1.3334452000000001</v>
      </c>
      <c r="H13" s="12">
        <v>1.0664256999999999</v>
      </c>
      <c r="I13" s="12">
        <v>-1.9190187000000001</v>
      </c>
      <c r="J13" s="12">
        <v>4.5297738000000001</v>
      </c>
      <c r="K13" s="12">
        <v>9.9614940000000001</v>
      </c>
      <c r="L13" s="12">
        <v>1.9501166000000001</v>
      </c>
      <c r="M13" s="12">
        <v>-13.9505275</v>
      </c>
      <c r="N13" s="12">
        <v>14.727323699999999</v>
      </c>
      <c r="O13" s="12">
        <v>12.881770100000001</v>
      </c>
      <c r="P13" s="7" t="s">
        <v>107</v>
      </c>
      <c r="Q13" s="7" t="s">
        <v>107</v>
      </c>
      <c r="R13" s="7" t="s">
        <v>107</v>
      </c>
      <c r="S13" s="12">
        <v>-0.32948929999999998</v>
      </c>
      <c r="T13" s="12">
        <v>6.57</v>
      </c>
      <c r="U13" s="12">
        <v>68.833333300000007</v>
      </c>
      <c r="V13" s="12">
        <v>1.1439218</v>
      </c>
      <c r="W13" s="7" t="s">
        <v>107</v>
      </c>
      <c r="X13" s="7" t="s">
        <v>107</v>
      </c>
      <c r="Y13" s="7" t="s">
        <v>107</v>
      </c>
      <c r="Z13" s="12">
        <v>-5.4619926999999997</v>
      </c>
      <c r="AA13" s="12">
        <v>65.757715599999997</v>
      </c>
      <c r="AB13" s="12">
        <v>23.6744922</v>
      </c>
      <c r="AC13" s="12">
        <v>15.3983118</v>
      </c>
      <c r="AD13" s="12">
        <v>39.966367699999999</v>
      </c>
      <c r="AE13" s="12">
        <v>44.796887400000003</v>
      </c>
      <c r="AF13" s="12">
        <v>15.7957245</v>
      </c>
      <c r="AG13" s="12">
        <v>23.650526200000002</v>
      </c>
    </row>
    <row r="14" spans="1:33" s="11" customFormat="1" hidden="1" outlineLevel="1" x14ac:dyDescent="0.3">
      <c r="A14" s="11" t="s">
        <v>20</v>
      </c>
      <c r="B14" s="12">
        <v>4.3154814000000004</v>
      </c>
      <c r="C14" s="12">
        <v>74.493333300000003</v>
      </c>
      <c r="D14" s="12">
        <v>1.6742492</v>
      </c>
      <c r="E14" s="12">
        <v>3.9166666999999999</v>
      </c>
      <c r="F14" s="13">
        <v>26.766666699999998</v>
      </c>
      <c r="G14" s="12">
        <v>-10.014594499999999</v>
      </c>
      <c r="H14" s="12">
        <v>-0.66932270000000005</v>
      </c>
      <c r="I14" s="12">
        <v>-1.4286561</v>
      </c>
      <c r="J14" s="12">
        <v>1.7708695000000001</v>
      </c>
      <c r="K14" s="12">
        <v>5.5418380999999997</v>
      </c>
      <c r="L14" s="12">
        <v>-0.55318259999999997</v>
      </c>
      <c r="M14" s="12">
        <v>-26.208297699999999</v>
      </c>
      <c r="N14" s="12">
        <v>7.6645627000000003</v>
      </c>
      <c r="O14" s="12">
        <v>-3.7082293000000002</v>
      </c>
      <c r="P14" s="7">
        <v>1419.4</v>
      </c>
      <c r="Q14" s="7">
        <v>267.8</v>
      </c>
      <c r="R14" s="7">
        <v>16</v>
      </c>
      <c r="S14" s="12">
        <v>-1.2236952000000001</v>
      </c>
      <c r="T14" s="12">
        <v>7.59</v>
      </c>
      <c r="U14" s="12">
        <v>68.683333300000001</v>
      </c>
      <c r="V14" s="12">
        <v>1.0822231</v>
      </c>
      <c r="W14" s="7" t="s">
        <v>107</v>
      </c>
      <c r="X14" s="7" t="s">
        <v>107</v>
      </c>
      <c r="Y14" s="7" t="s">
        <v>107</v>
      </c>
      <c r="Z14" s="12">
        <v>-5.9160117999999997</v>
      </c>
      <c r="AA14" s="12">
        <v>63.868634700000001</v>
      </c>
      <c r="AB14" s="12">
        <v>23.000770599999999</v>
      </c>
      <c r="AC14" s="12">
        <v>19.618827400000001</v>
      </c>
      <c r="AD14" s="12">
        <v>36.608571900000001</v>
      </c>
      <c r="AE14" s="12">
        <v>43.093840800000002</v>
      </c>
      <c r="AF14" s="12">
        <v>8.6717891999999992</v>
      </c>
      <c r="AG14" s="12">
        <v>23.698460799999999</v>
      </c>
    </row>
    <row r="15" spans="1:33" s="11" customFormat="1" hidden="1" outlineLevel="1" x14ac:dyDescent="0.3">
      <c r="A15" s="11" t="s">
        <v>21</v>
      </c>
      <c r="B15" s="12">
        <v>3.5071058000000002</v>
      </c>
      <c r="C15" s="12">
        <v>74.819999999999993</v>
      </c>
      <c r="D15" s="12">
        <v>1.9670194000000001</v>
      </c>
      <c r="E15" s="17">
        <v>4.3333332999999996</v>
      </c>
      <c r="F15" s="13">
        <v>30.673333299999999</v>
      </c>
      <c r="G15" s="12">
        <v>7.0759983000000002</v>
      </c>
      <c r="H15" s="12">
        <v>-2.9733204999999998</v>
      </c>
      <c r="I15" s="12">
        <v>-1.1539248</v>
      </c>
      <c r="J15" s="12">
        <v>2.9847065000000002</v>
      </c>
      <c r="K15" s="12">
        <v>5.0878876999999996</v>
      </c>
      <c r="L15" s="12">
        <v>-2.8839279000000002</v>
      </c>
      <c r="M15" s="12">
        <v>-6.5092781999999998</v>
      </c>
      <c r="N15" s="12">
        <v>14.3468287</v>
      </c>
      <c r="O15" s="12">
        <v>7.2186211</v>
      </c>
      <c r="P15" s="7" t="s">
        <v>107</v>
      </c>
      <c r="Q15" s="7" t="s">
        <v>107</v>
      </c>
      <c r="R15" s="7" t="s">
        <v>107</v>
      </c>
      <c r="S15" s="12">
        <v>-3.2125205999999999</v>
      </c>
      <c r="T15" s="12">
        <v>6.43</v>
      </c>
      <c r="U15" s="12">
        <v>68.433333300000001</v>
      </c>
      <c r="V15" s="12">
        <v>1.0490037000000001</v>
      </c>
      <c r="W15" s="7" t="s">
        <v>107</v>
      </c>
      <c r="X15" s="7" t="s">
        <v>107</v>
      </c>
      <c r="Y15" s="7" t="s">
        <v>107</v>
      </c>
      <c r="Z15" s="12">
        <v>-3.5523505000000002</v>
      </c>
      <c r="AA15" s="12">
        <v>64.914843300000001</v>
      </c>
      <c r="AB15" s="12">
        <v>19.9614385</v>
      </c>
      <c r="AC15" s="12">
        <v>18.743244399999998</v>
      </c>
      <c r="AD15" s="12">
        <v>40.6035465</v>
      </c>
      <c r="AE15" s="12">
        <v>44.220151299999998</v>
      </c>
      <c r="AF15" s="12">
        <v>-11.3148245</v>
      </c>
      <c r="AG15" s="12">
        <v>23.485750700000001</v>
      </c>
    </row>
    <row r="16" spans="1:33" s="11" customFormat="1" hidden="1" outlineLevel="1" x14ac:dyDescent="0.3">
      <c r="A16" s="11" t="s">
        <v>22</v>
      </c>
      <c r="B16" s="12">
        <v>2.8994336000000001</v>
      </c>
      <c r="C16" s="12">
        <v>75.3</v>
      </c>
      <c r="D16" s="12">
        <v>2.2218200000000001</v>
      </c>
      <c r="E16" s="17">
        <v>4.75</v>
      </c>
      <c r="F16" s="13">
        <v>29.7233333</v>
      </c>
      <c r="G16" s="12">
        <v>10.8946351</v>
      </c>
      <c r="H16" s="12">
        <v>3.3406665000000002</v>
      </c>
      <c r="I16" s="12">
        <v>-7.9478660999999997</v>
      </c>
      <c r="J16" s="12">
        <v>5.6147457999999997</v>
      </c>
      <c r="K16" s="12">
        <v>6.8924966999999997</v>
      </c>
      <c r="L16" s="12">
        <v>1.8200499000000001</v>
      </c>
      <c r="M16" s="12">
        <v>-2.7003195999999998</v>
      </c>
      <c r="N16" s="12">
        <v>20.251660300000001</v>
      </c>
      <c r="O16" s="12">
        <v>11.6135834</v>
      </c>
      <c r="P16" s="7">
        <v>1376.3</v>
      </c>
      <c r="Q16" s="7">
        <v>279.60000000000002</v>
      </c>
      <c r="R16" s="7">
        <v>16.899999999999999</v>
      </c>
      <c r="S16" s="12">
        <v>-2.0445418000000002</v>
      </c>
      <c r="T16" s="12">
        <v>7.33</v>
      </c>
      <c r="U16" s="12">
        <v>68.763333299999999</v>
      </c>
      <c r="V16" s="12">
        <v>1.0075398</v>
      </c>
      <c r="W16" s="7" t="s">
        <v>107</v>
      </c>
      <c r="X16" s="7" t="s">
        <v>107</v>
      </c>
      <c r="Y16" s="7" t="s">
        <v>107</v>
      </c>
      <c r="Z16" s="12">
        <v>-8.3679846999999992</v>
      </c>
      <c r="AA16" s="12">
        <v>65.232700100000002</v>
      </c>
      <c r="AB16" s="12">
        <v>23.224578999999999</v>
      </c>
      <c r="AC16" s="12">
        <v>21.1261607</v>
      </c>
      <c r="AD16" s="12">
        <v>37.359797800000003</v>
      </c>
      <c r="AE16" s="12">
        <v>46.943237600000003</v>
      </c>
      <c r="AF16" s="12">
        <v>-12.158054699999999</v>
      </c>
      <c r="AG16" s="12">
        <v>23.5179568</v>
      </c>
    </row>
    <row r="17" spans="1:33" s="11" customFormat="1" hidden="1" outlineLevel="1" x14ac:dyDescent="0.3">
      <c r="A17" s="11" t="s">
        <v>23</v>
      </c>
      <c r="B17" s="12">
        <v>3.0047543999999999</v>
      </c>
      <c r="C17" s="12">
        <v>75.393333299999995</v>
      </c>
      <c r="D17" s="12">
        <v>1.8966527</v>
      </c>
      <c r="E17" s="17">
        <v>4.75</v>
      </c>
      <c r="F17" s="13">
        <v>25.873333299999999</v>
      </c>
      <c r="G17" s="12">
        <v>6.8083298000000001</v>
      </c>
      <c r="H17" s="12">
        <v>3.4606099000000001</v>
      </c>
      <c r="I17" s="12">
        <v>-3.1122082</v>
      </c>
      <c r="J17" s="12">
        <v>6.7817084000000003</v>
      </c>
      <c r="K17" s="12">
        <v>6.2016318000000004</v>
      </c>
      <c r="L17" s="12">
        <v>2.3910181000000001</v>
      </c>
      <c r="M17" s="12">
        <v>17.374762199999999</v>
      </c>
      <c r="N17" s="12">
        <v>15.1218916</v>
      </c>
      <c r="O17" s="12">
        <v>13.486051</v>
      </c>
      <c r="P17" s="7" t="s">
        <v>107</v>
      </c>
      <c r="Q17" s="7" t="s">
        <v>107</v>
      </c>
      <c r="R17" s="7" t="s">
        <v>107</v>
      </c>
      <c r="S17" s="12">
        <v>1.2250851</v>
      </c>
      <c r="T17" s="12">
        <v>6.15</v>
      </c>
      <c r="U17" s="12">
        <v>69.010000000000005</v>
      </c>
      <c r="V17" s="12">
        <v>1.0696053000000001</v>
      </c>
      <c r="W17" s="12">
        <v>7.6923076999999997</v>
      </c>
      <c r="X17" s="7" t="s">
        <v>107</v>
      </c>
      <c r="Y17" s="7" t="s">
        <v>107</v>
      </c>
      <c r="Z17" s="12">
        <v>-4.9360999999999997</v>
      </c>
      <c r="AA17" s="12">
        <v>68.287348100000003</v>
      </c>
      <c r="AB17" s="12">
        <v>21.460488099999999</v>
      </c>
      <c r="AC17" s="12">
        <v>14.701746699999999</v>
      </c>
      <c r="AD17" s="12">
        <v>43.680280000000003</v>
      </c>
      <c r="AE17" s="12">
        <v>48.132987499999999</v>
      </c>
      <c r="AF17" s="12">
        <v>-9.4871794999999999</v>
      </c>
      <c r="AG17" s="12">
        <v>23.2044861</v>
      </c>
    </row>
    <row r="18" spans="1:33" s="11" customFormat="1" hidden="1" outlineLevel="1" x14ac:dyDescent="0.3">
      <c r="A18" s="11" t="s">
        <v>24</v>
      </c>
      <c r="B18" s="12">
        <v>2.2522867999999998</v>
      </c>
      <c r="C18" s="12">
        <v>76.483333299999998</v>
      </c>
      <c r="D18" s="12">
        <v>2.6713800000000001</v>
      </c>
      <c r="E18" s="17">
        <v>4.5833332999999996</v>
      </c>
      <c r="F18" s="13">
        <v>27.273333300000001</v>
      </c>
      <c r="G18" s="12">
        <v>1.4133457</v>
      </c>
      <c r="H18" s="12">
        <v>-2.6632440000000002</v>
      </c>
      <c r="I18" s="12">
        <v>-2.7877974000000001</v>
      </c>
      <c r="J18" s="12">
        <v>5.2482639999999998</v>
      </c>
      <c r="K18" s="12">
        <v>2.8268781000000001</v>
      </c>
      <c r="L18" s="12">
        <v>0.38022810000000001</v>
      </c>
      <c r="M18" s="12">
        <v>8.3900883999999998</v>
      </c>
      <c r="N18" s="12">
        <v>26.441732500000001</v>
      </c>
      <c r="O18" s="12">
        <v>17.853793100000001</v>
      </c>
      <c r="P18" s="7">
        <v>1372.9</v>
      </c>
      <c r="Q18" s="7">
        <v>277.8</v>
      </c>
      <c r="R18" s="7">
        <v>16.899999999999999</v>
      </c>
      <c r="S18" s="12">
        <v>0.11262320000000001</v>
      </c>
      <c r="T18" s="12">
        <v>5.8</v>
      </c>
      <c r="U18" s="12">
        <v>69.826666700000004</v>
      </c>
      <c r="V18" s="12">
        <v>1.0114593000000001</v>
      </c>
      <c r="W18" s="12">
        <v>15.412186500000001</v>
      </c>
      <c r="X18" s="7" t="s">
        <v>107</v>
      </c>
      <c r="Y18" s="7" t="s">
        <v>107</v>
      </c>
      <c r="Z18" s="12">
        <v>-3.9250153000000001</v>
      </c>
      <c r="AA18" s="12">
        <v>63.051198200000002</v>
      </c>
      <c r="AB18" s="12">
        <v>22.777731200000002</v>
      </c>
      <c r="AC18" s="12">
        <v>18.211559399999999</v>
      </c>
      <c r="AD18" s="12">
        <v>44.764141700000003</v>
      </c>
      <c r="AE18" s="12">
        <v>48.801834300000003</v>
      </c>
      <c r="AF18" s="12">
        <v>-5.3030302999999996</v>
      </c>
      <c r="AG18" s="12">
        <v>22.6923891</v>
      </c>
    </row>
    <row r="19" spans="1:33" s="11" customFormat="1" hidden="1" outlineLevel="1" x14ac:dyDescent="0.3">
      <c r="A19" s="11" t="s">
        <v>25</v>
      </c>
      <c r="B19" s="12">
        <v>1.8991327</v>
      </c>
      <c r="C19" s="12">
        <v>76.516666700000002</v>
      </c>
      <c r="D19" s="12">
        <v>2.2676647000000001</v>
      </c>
      <c r="E19" s="17">
        <v>4.1666667000000004</v>
      </c>
      <c r="F19" s="13">
        <v>25.303333299999998</v>
      </c>
      <c r="G19" s="12">
        <v>0.14435799999999999</v>
      </c>
      <c r="H19" s="12">
        <v>-1.8220970999999999</v>
      </c>
      <c r="I19" s="12">
        <v>-1.7343891</v>
      </c>
      <c r="J19" s="12">
        <v>6.1409488999999997</v>
      </c>
      <c r="K19" s="12">
        <v>3.8115038000000001</v>
      </c>
      <c r="L19" s="12">
        <v>3.1004581</v>
      </c>
      <c r="M19" s="12">
        <v>7.3158059</v>
      </c>
      <c r="N19" s="12">
        <v>19.492490400000001</v>
      </c>
      <c r="O19" s="12">
        <v>15.152514399999999</v>
      </c>
      <c r="P19" s="7" t="s">
        <v>107</v>
      </c>
      <c r="Q19" s="7" t="s">
        <v>107</v>
      </c>
      <c r="R19" s="7" t="s">
        <v>107</v>
      </c>
      <c r="S19" s="12">
        <v>0.96453900000000004</v>
      </c>
      <c r="T19" s="12">
        <v>3.83</v>
      </c>
      <c r="U19" s="12">
        <v>69.9033333</v>
      </c>
      <c r="V19" s="12">
        <v>1.0318388999999999</v>
      </c>
      <c r="W19" s="12">
        <v>5.1080550000000002</v>
      </c>
      <c r="X19" s="7" t="s">
        <v>107</v>
      </c>
      <c r="Y19" s="7" t="s">
        <v>107</v>
      </c>
      <c r="Z19" s="12">
        <v>-5.85228E-2</v>
      </c>
      <c r="AA19" s="12">
        <v>64.292955599999999</v>
      </c>
      <c r="AB19" s="12">
        <v>19.053620800000001</v>
      </c>
      <c r="AC19" s="12">
        <v>18.226155599999998</v>
      </c>
      <c r="AD19" s="12">
        <v>44.357070399999998</v>
      </c>
      <c r="AE19" s="12">
        <v>45.932542400000003</v>
      </c>
      <c r="AF19" s="12">
        <v>17.365623200000002</v>
      </c>
      <c r="AG19" s="12">
        <v>23.315934299999999</v>
      </c>
    </row>
    <row r="20" spans="1:33" s="11" customFormat="1" hidden="1" outlineLevel="1" x14ac:dyDescent="0.3">
      <c r="A20" s="11" t="s">
        <v>26</v>
      </c>
      <c r="B20" s="12">
        <v>1.4300580000000001</v>
      </c>
      <c r="C20" s="12">
        <v>76.746666700000006</v>
      </c>
      <c r="D20" s="12">
        <v>1.9212041</v>
      </c>
      <c r="E20" s="17">
        <v>3.4166666999999999</v>
      </c>
      <c r="F20" s="13">
        <v>19.350000000000001</v>
      </c>
      <c r="G20" s="12">
        <v>-6.5689187000000002</v>
      </c>
      <c r="H20" s="12">
        <v>-4.7149728</v>
      </c>
      <c r="I20" s="12">
        <v>-6.3454822000000002</v>
      </c>
      <c r="J20" s="12">
        <v>7.9206780999999999</v>
      </c>
      <c r="K20" s="12">
        <v>4.2172172000000003</v>
      </c>
      <c r="L20" s="12">
        <v>0.1297391</v>
      </c>
      <c r="M20" s="12">
        <v>31.1622111</v>
      </c>
      <c r="N20" s="12">
        <v>35.1993954</v>
      </c>
      <c r="O20" s="12">
        <v>30.678598099999999</v>
      </c>
      <c r="P20" s="7">
        <v>1330.7</v>
      </c>
      <c r="Q20" s="7">
        <v>290.2</v>
      </c>
      <c r="R20" s="7">
        <v>17.899999999999999</v>
      </c>
      <c r="S20" s="12">
        <v>1.2951919000000001</v>
      </c>
      <c r="T20" s="12">
        <v>4.8499999999999996</v>
      </c>
      <c r="U20" s="12">
        <v>70.23</v>
      </c>
      <c r="V20" s="12">
        <v>1.0371292999999999</v>
      </c>
      <c r="W20" s="12">
        <v>19.703799100000001</v>
      </c>
      <c r="X20" s="7" t="s">
        <v>107</v>
      </c>
      <c r="Y20" s="7" t="s">
        <v>107</v>
      </c>
      <c r="Z20" s="12">
        <v>-9.6824911999999994</v>
      </c>
      <c r="AA20" s="12">
        <v>65.539765900000006</v>
      </c>
      <c r="AB20" s="12">
        <v>21.4546618</v>
      </c>
      <c r="AC20" s="12">
        <v>24.507425300000001</v>
      </c>
      <c r="AD20" s="12">
        <v>43.562534999999997</v>
      </c>
      <c r="AE20" s="12">
        <v>55.061721800000001</v>
      </c>
      <c r="AF20" s="12">
        <v>25.836216799999999</v>
      </c>
      <c r="AG20" s="12">
        <v>22.923044399999998</v>
      </c>
    </row>
    <row r="21" spans="1:33" s="11" customFormat="1" hidden="1" outlineLevel="1" x14ac:dyDescent="0.3">
      <c r="A21" s="11" t="s">
        <v>27</v>
      </c>
      <c r="B21" s="12">
        <v>7.1740499999999999E-2</v>
      </c>
      <c r="C21" s="12">
        <v>77.180000000000007</v>
      </c>
      <c r="D21" s="12">
        <v>2.3697940000000002</v>
      </c>
      <c r="E21" s="17">
        <v>3.25</v>
      </c>
      <c r="F21" s="13">
        <v>21.1333333</v>
      </c>
      <c r="G21" s="12">
        <v>-4.0426548000000002</v>
      </c>
      <c r="H21" s="12">
        <v>2.1089023</v>
      </c>
      <c r="I21" s="12">
        <v>-0.73202929999999999</v>
      </c>
      <c r="J21" s="12">
        <v>4.6723496999999998</v>
      </c>
      <c r="K21" s="12">
        <v>4.9887892000000003</v>
      </c>
      <c r="L21" s="12">
        <v>-1.8410721999999999</v>
      </c>
      <c r="M21" s="12">
        <v>16.171438899999998</v>
      </c>
      <c r="N21" s="12">
        <v>17.185012199999999</v>
      </c>
      <c r="O21" s="12">
        <v>17.541721899999999</v>
      </c>
      <c r="P21" s="7">
        <v>1355.7</v>
      </c>
      <c r="Q21" s="7">
        <v>279.89999999999998</v>
      </c>
      <c r="R21" s="7">
        <v>17.100000000000001</v>
      </c>
      <c r="S21" s="12">
        <v>4.5912977000000001</v>
      </c>
      <c r="T21" s="12">
        <v>3.62</v>
      </c>
      <c r="U21" s="12">
        <v>70.773333300000004</v>
      </c>
      <c r="V21" s="12">
        <v>1.0075977</v>
      </c>
      <c r="W21" s="12">
        <v>1.5476190999999999</v>
      </c>
      <c r="X21" s="7" t="s">
        <v>107</v>
      </c>
      <c r="Y21" s="7" t="s">
        <v>107</v>
      </c>
      <c r="Z21" s="12">
        <v>-4.4479157000000002</v>
      </c>
      <c r="AA21" s="12">
        <v>68.477739099999994</v>
      </c>
      <c r="AB21" s="12">
        <v>21.129845199999998</v>
      </c>
      <c r="AC21" s="12">
        <v>15.3126125</v>
      </c>
      <c r="AD21" s="12">
        <v>45.703828199999997</v>
      </c>
      <c r="AE21" s="12">
        <v>50.624025000000003</v>
      </c>
      <c r="AF21" s="12">
        <v>35.240793199999999</v>
      </c>
      <c r="AG21" s="12">
        <v>21.795631799999999</v>
      </c>
    </row>
    <row r="22" spans="1:33" s="11" customFormat="1" hidden="1" outlineLevel="1" x14ac:dyDescent="0.3">
      <c r="A22" s="11" t="s">
        <v>28</v>
      </c>
      <c r="B22" s="12">
        <v>1.2490021</v>
      </c>
      <c r="C22" s="12">
        <v>77.933333300000001</v>
      </c>
      <c r="D22" s="12">
        <v>1.8958379000000001</v>
      </c>
      <c r="E22" s="17">
        <v>3.25</v>
      </c>
      <c r="F22" s="13">
        <v>25.053333299999998</v>
      </c>
      <c r="G22" s="12">
        <v>9.9002400000000004E-2</v>
      </c>
      <c r="H22" s="12">
        <v>6.1892204</v>
      </c>
      <c r="I22" s="12">
        <v>-0.67662889999999998</v>
      </c>
      <c r="J22" s="12">
        <v>7.9746762999999996</v>
      </c>
      <c r="K22" s="12">
        <v>6.6991088999999997</v>
      </c>
      <c r="L22" s="12">
        <v>2.6795735000000001</v>
      </c>
      <c r="M22" s="12">
        <v>26.711229899999999</v>
      </c>
      <c r="N22" s="12">
        <v>25.510976500000002</v>
      </c>
      <c r="O22" s="12">
        <v>26.684144</v>
      </c>
      <c r="P22" s="7">
        <v>1425.6</v>
      </c>
      <c r="Q22" s="7">
        <v>213.4</v>
      </c>
      <c r="R22" s="7">
        <v>13</v>
      </c>
      <c r="S22" s="12">
        <v>4.3779881999999999</v>
      </c>
      <c r="T22" s="12">
        <v>3.22</v>
      </c>
      <c r="U22" s="12">
        <v>70.176666699999998</v>
      </c>
      <c r="V22" s="12">
        <v>0.99993240000000005</v>
      </c>
      <c r="W22" s="12">
        <v>9.0683229000000001</v>
      </c>
      <c r="X22" s="7" t="s">
        <v>107</v>
      </c>
      <c r="Y22" s="7" t="s">
        <v>107</v>
      </c>
      <c r="Z22" s="12">
        <v>-5.9952057999999999</v>
      </c>
      <c r="AA22" s="12">
        <v>63.5717645</v>
      </c>
      <c r="AB22" s="12">
        <v>20.7691102</v>
      </c>
      <c r="AC22" s="12">
        <v>21.437901700000001</v>
      </c>
      <c r="AD22" s="12">
        <v>49.111761299999998</v>
      </c>
      <c r="AE22" s="12">
        <v>54.8931501</v>
      </c>
      <c r="AF22" s="12">
        <v>36.213333300000002</v>
      </c>
      <c r="AG22" s="12">
        <v>23.566761499999998</v>
      </c>
    </row>
    <row r="23" spans="1:33" s="11" customFormat="1" hidden="1" outlineLevel="1" x14ac:dyDescent="0.3">
      <c r="A23" s="11" t="s">
        <v>29</v>
      </c>
      <c r="B23" s="12">
        <v>1.6677649999999999</v>
      </c>
      <c r="C23" s="12">
        <v>77.973333299999993</v>
      </c>
      <c r="D23" s="12">
        <v>1.9037246000000001</v>
      </c>
      <c r="E23" s="17">
        <v>3.25</v>
      </c>
      <c r="F23" s="13">
        <v>26.93</v>
      </c>
      <c r="G23" s="12">
        <v>1.7217906999999999</v>
      </c>
      <c r="H23" s="12">
        <v>5.0278387000000002</v>
      </c>
      <c r="I23" s="12">
        <v>-0.63256190000000001</v>
      </c>
      <c r="J23" s="12">
        <v>7.9589639999999999</v>
      </c>
      <c r="K23" s="12">
        <v>6.3205486000000004</v>
      </c>
      <c r="L23" s="12">
        <v>0.37292710000000001</v>
      </c>
      <c r="M23" s="12">
        <v>28.265711199999998</v>
      </c>
      <c r="N23" s="12">
        <v>20.019965500000001</v>
      </c>
      <c r="O23" s="12">
        <v>23.477472299999999</v>
      </c>
      <c r="P23" s="7">
        <v>1443.3</v>
      </c>
      <c r="Q23" s="7">
        <v>194.5</v>
      </c>
      <c r="R23" s="7">
        <v>11.8</v>
      </c>
      <c r="S23" s="12">
        <v>5.5914583000000002</v>
      </c>
      <c r="T23" s="12">
        <v>3.11</v>
      </c>
      <c r="U23" s="12">
        <v>69.38</v>
      </c>
      <c r="V23" s="12">
        <v>0.9999614</v>
      </c>
      <c r="W23" s="12">
        <v>6.5420560999999999</v>
      </c>
      <c r="X23" s="7" t="s">
        <v>107</v>
      </c>
      <c r="Y23" s="7" t="s">
        <v>107</v>
      </c>
      <c r="Z23" s="12">
        <v>-1.2871634999999999</v>
      </c>
      <c r="AA23" s="12">
        <v>62.688890000000001</v>
      </c>
      <c r="AB23" s="12">
        <v>18.5777398</v>
      </c>
      <c r="AC23" s="12">
        <v>21.497063099999998</v>
      </c>
      <c r="AD23" s="12">
        <v>46.967719299999999</v>
      </c>
      <c r="AE23" s="12">
        <v>49.731412200000001</v>
      </c>
      <c r="AF23" s="12">
        <v>60.140915999999997</v>
      </c>
      <c r="AG23" s="12">
        <v>22.2935768</v>
      </c>
    </row>
    <row r="24" spans="1:33" s="11" customFormat="1" hidden="1" outlineLevel="1" x14ac:dyDescent="0.3">
      <c r="A24" s="11" t="s">
        <v>30</v>
      </c>
      <c r="B24" s="12">
        <v>1.208337</v>
      </c>
      <c r="C24" s="12">
        <v>78.4033333</v>
      </c>
      <c r="D24" s="12">
        <v>2.158617</v>
      </c>
      <c r="E24" s="17">
        <v>3.0833333000000001</v>
      </c>
      <c r="F24" s="13">
        <v>26.736666700000001</v>
      </c>
      <c r="G24" s="12">
        <v>7.3418596999999997</v>
      </c>
      <c r="H24" s="12">
        <v>11.394290399999999</v>
      </c>
      <c r="I24" s="12">
        <v>-5.1144243999999999</v>
      </c>
      <c r="J24" s="12">
        <v>6.2020188000000003</v>
      </c>
      <c r="K24" s="12">
        <v>5.4130134999999999</v>
      </c>
      <c r="L24" s="12">
        <v>7.2487763000000003</v>
      </c>
      <c r="M24" s="12">
        <v>4.4649796999999998</v>
      </c>
      <c r="N24" s="12">
        <v>17.942984899999999</v>
      </c>
      <c r="O24" s="12">
        <v>13.9884349</v>
      </c>
      <c r="P24" s="7">
        <v>1398.9</v>
      </c>
      <c r="Q24" s="7">
        <v>209.9</v>
      </c>
      <c r="R24" s="7">
        <v>13</v>
      </c>
      <c r="S24" s="12">
        <v>5.3352956999999996</v>
      </c>
      <c r="T24" s="12">
        <v>3.2</v>
      </c>
      <c r="U24" s="12">
        <v>69.576666700000004</v>
      </c>
      <c r="V24" s="12">
        <v>0.99993240000000005</v>
      </c>
      <c r="W24" s="12">
        <v>6.7778375000000004</v>
      </c>
      <c r="X24" s="7" t="s">
        <v>107</v>
      </c>
      <c r="Y24" s="7" t="s">
        <v>107</v>
      </c>
      <c r="Z24" s="12">
        <v>-8.5242900000000006</v>
      </c>
      <c r="AA24" s="12">
        <v>63.077075499999999</v>
      </c>
      <c r="AB24" s="12">
        <v>21.953635800000001</v>
      </c>
      <c r="AC24" s="12">
        <v>24.071230400000001</v>
      </c>
      <c r="AD24" s="12">
        <v>47.617396499999998</v>
      </c>
      <c r="AE24" s="12">
        <v>56.7168615</v>
      </c>
      <c r="AF24" s="12">
        <v>70.7607699</v>
      </c>
      <c r="AG24" s="12">
        <v>22.166455899999999</v>
      </c>
    </row>
    <row r="25" spans="1:33" s="11" customFormat="1" hidden="1" outlineLevel="1" x14ac:dyDescent="0.3">
      <c r="A25" s="11" t="s">
        <v>31</v>
      </c>
      <c r="B25" s="12">
        <v>1.0748135000000001</v>
      </c>
      <c r="C25" s="12">
        <v>78.856666700000005</v>
      </c>
      <c r="D25" s="12">
        <v>2.1724109</v>
      </c>
      <c r="E25" s="17">
        <v>2.6666666999999999</v>
      </c>
      <c r="F25" s="13">
        <v>31.52</v>
      </c>
      <c r="G25" s="12">
        <v>-0.31514350000000002</v>
      </c>
      <c r="H25" s="12">
        <v>0.27932960000000001</v>
      </c>
      <c r="I25" s="12">
        <v>-0.46686100000000003</v>
      </c>
      <c r="J25" s="12">
        <v>10.8632302</v>
      </c>
      <c r="K25" s="12">
        <v>7.8923401000000002</v>
      </c>
      <c r="L25" s="12">
        <v>5.7992001000000002</v>
      </c>
      <c r="M25" s="12">
        <v>1.9686870000000001</v>
      </c>
      <c r="N25" s="12">
        <v>20.389492799999999</v>
      </c>
      <c r="O25" s="12">
        <v>10.7680519</v>
      </c>
      <c r="P25" s="7">
        <v>1387.9</v>
      </c>
      <c r="Q25" s="7">
        <v>218.8</v>
      </c>
      <c r="R25" s="7">
        <v>13.6</v>
      </c>
      <c r="S25" s="12">
        <v>3.3520066000000002</v>
      </c>
      <c r="T25" s="12">
        <v>3.19</v>
      </c>
      <c r="U25" s="12">
        <v>69.646666699999997</v>
      </c>
      <c r="V25" s="12">
        <v>0.99997100000000005</v>
      </c>
      <c r="W25" s="12">
        <v>21.043376200000001</v>
      </c>
      <c r="X25" s="7" t="s">
        <v>107</v>
      </c>
      <c r="Y25" s="7" t="s">
        <v>107</v>
      </c>
      <c r="Z25" s="12">
        <v>-3.7229057999999999</v>
      </c>
      <c r="AA25" s="12">
        <v>66.1053541</v>
      </c>
      <c r="AB25" s="12">
        <v>19.0252591</v>
      </c>
      <c r="AC25" s="12">
        <v>15.1608377</v>
      </c>
      <c r="AD25" s="12">
        <v>50.7016408</v>
      </c>
      <c r="AE25" s="12">
        <v>50.993091499999998</v>
      </c>
      <c r="AF25" s="12">
        <v>74.612484300000006</v>
      </c>
      <c r="AG25" s="12">
        <v>22.613813799999999</v>
      </c>
    </row>
    <row r="26" spans="1:33" s="11" customFormat="1" hidden="1" outlineLevel="1" x14ac:dyDescent="0.3">
      <c r="A26" s="11" t="s">
        <v>32</v>
      </c>
      <c r="B26" s="12">
        <v>0.33264589999999999</v>
      </c>
      <c r="C26" s="12">
        <v>79.37</v>
      </c>
      <c r="D26" s="12">
        <v>1.843456</v>
      </c>
      <c r="E26" s="17">
        <v>2.3333333000000001</v>
      </c>
      <c r="F26" s="13">
        <v>26.17</v>
      </c>
      <c r="G26" s="12">
        <v>14.508521</v>
      </c>
      <c r="H26" s="12">
        <v>2.9724485999999999</v>
      </c>
      <c r="I26" s="12">
        <v>-4.3195968999999996</v>
      </c>
      <c r="J26" s="12">
        <v>9.3548557999999993</v>
      </c>
      <c r="K26" s="12">
        <v>10.409879800000001</v>
      </c>
      <c r="L26" s="12">
        <v>4.7752425000000001</v>
      </c>
      <c r="M26" s="12">
        <v>19.212914099999999</v>
      </c>
      <c r="N26" s="12">
        <v>-0.93486130000000001</v>
      </c>
      <c r="O26" s="12">
        <v>3.0597539</v>
      </c>
      <c r="P26" s="7">
        <v>1478.7</v>
      </c>
      <c r="Q26" s="7">
        <v>218.5</v>
      </c>
      <c r="R26" s="7">
        <v>12.9</v>
      </c>
      <c r="S26" s="12">
        <v>4.526675</v>
      </c>
      <c r="T26" s="12">
        <v>2.52</v>
      </c>
      <c r="U26" s="12">
        <v>69.713333300000002</v>
      </c>
      <c r="V26" s="12">
        <v>1.0000096999999999</v>
      </c>
      <c r="W26" s="12">
        <v>-5.6947600000000001E-2</v>
      </c>
      <c r="X26" s="7" t="s">
        <v>107</v>
      </c>
      <c r="Y26" s="7" t="s">
        <v>107</v>
      </c>
      <c r="Z26" s="12">
        <v>-8.1251847999999995</v>
      </c>
      <c r="AA26" s="12">
        <v>64.457203699999994</v>
      </c>
      <c r="AB26" s="12">
        <v>21.474428899999999</v>
      </c>
      <c r="AC26" s="12">
        <v>21.719117199999999</v>
      </c>
      <c r="AD26" s="12">
        <v>42.8277249</v>
      </c>
      <c r="AE26" s="12">
        <v>50.4784747</v>
      </c>
      <c r="AF26" s="12">
        <v>91.738449500000002</v>
      </c>
      <c r="AG26" s="12">
        <v>20.732132100000001</v>
      </c>
    </row>
    <row r="27" spans="1:33" s="11" customFormat="1" hidden="1" outlineLevel="1" x14ac:dyDescent="0.3">
      <c r="A27" s="11" t="s">
        <v>33</v>
      </c>
      <c r="B27" s="12">
        <v>0.71308099999999996</v>
      </c>
      <c r="C27" s="12">
        <v>79.47</v>
      </c>
      <c r="D27" s="12">
        <v>1.9194597</v>
      </c>
      <c r="E27" s="17">
        <v>2</v>
      </c>
      <c r="F27" s="13">
        <v>28.45</v>
      </c>
      <c r="G27" s="12">
        <v>3.7316957999999998</v>
      </c>
      <c r="H27" s="12">
        <v>9.2851406000000001</v>
      </c>
      <c r="I27" s="12">
        <v>0.99311749999999999</v>
      </c>
      <c r="J27" s="12">
        <v>10.0992073</v>
      </c>
      <c r="K27" s="12">
        <v>11.258883000000001</v>
      </c>
      <c r="L27" s="12">
        <v>4.1185771000000004</v>
      </c>
      <c r="M27" s="12">
        <v>18.262116899999999</v>
      </c>
      <c r="N27" s="12">
        <v>10.2230624</v>
      </c>
      <c r="O27" s="12">
        <v>13.1305323</v>
      </c>
      <c r="P27" s="7">
        <v>1459</v>
      </c>
      <c r="Q27" s="7">
        <v>190.6</v>
      </c>
      <c r="R27" s="7">
        <v>11.6</v>
      </c>
      <c r="S27" s="12">
        <v>4.2132339999999999</v>
      </c>
      <c r="T27" s="12">
        <v>2.5099999999999998</v>
      </c>
      <c r="U27" s="12">
        <v>68.783333299999995</v>
      </c>
      <c r="V27" s="12">
        <v>1.0000096999999999</v>
      </c>
      <c r="W27" s="12">
        <v>20.4093567</v>
      </c>
      <c r="X27" s="7" t="s">
        <v>107</v>
      </c>
      <c r="Y27" s="7" t="s">
        <v>107</v>
      </c>
      <c r="Z27" s="12">
        <v>-4.9141314999999999</v>
      </c>
      <c r="AA27" s="12">
        <v>62.4324449</v>
      </c>
      <c r="AB27" s="12">
        <v>17.229433199999999</v>
      </c>
      <c r="AC27" s="12">
        <v>24.733243999999999</v>
      </c>
      <c r="AD27" s="12">
        <v>46.052935499999997</v>
      </c>
      <c r="AE27" s="12">
        <v>50.448057599999999</v>
      </c>
      <c r="AF27" s="12">
        <v>86.077938399999994</v>
      </c>
      <c r="AG27" s="12">
        <v>20.9039039</v>
      </c>
    </row>
    <row r="28" spans="1:33" s="11" customFormat="1" hidden="1" outlineLevel="1" x14ac:dyDescent="0.3">
      <c r="A28" s="11" t="s">
        <v>34</v>
      </c>
      <c r="B28" s="12">
        <v>1.3127310999999999</v>
      </c>
      <c r="C28" s="12">
        <v>79.913333300000005</v>
      </c>
      <c r="D28" s="12">
        <v>1.9259385</v>
      </c>
      <c r="E28" s="17">
        <v>2</v>
      </c>
      <c r="F28" s="13">
        <v>29.39</v>
      </c>
      <c r="G28" s="12">
        <v>1.2687576</v>
      </c>
      <c r="H28" s="12">
        <v>12.4795721</v>
      </c>
      <c r="I28" s="12">
        <v>-1.2971383000000001</v>
      </c>
      <c r="J28" s="12">
        <v>11.942371400000001</v>
      </c>
      <c r="K28" s="12">
        <v>15.5748421</v>
      </c>
      <c r="L28" s="12">
        <v>-1.0134908</v>
      </c>
      <c r="M28" s="12">
        <v>18.998015899999999</v>
      </c>
      <c r="N28" s="12">
        <v>8.5380970000000005</v>
      </c>
      <c r="O28" s="12">
        <v>11.580949800000001</v>
      </c>
      <c r="P28" s="7">
        <v>1426.3</v>
      </c>
      <c r="Q28" s="7">
        <v>187.6</v>
      </c>
      <c r="R28" s="7">
        <v>11.7</v>
      </c>
      <c r="S28" s="12">
        <v>5.4842371999999999</v>
      </c>
      <c r="T28" s="12">
        <v>2.2799999999999998</v>
      </c>
      <c r="U28" s="12">
        <v>68.75</v>
      </c>
      <c r="V28" s="12">
        <v>0.99994209999999994</v>
      </c>
      <c r="W28" s="12">
        <v>16.5743072</v>
      </c>
      <c r="X28" s="7" t="s">
        <v>107</v>
      </c>
      <c r="Y28" s="7" t="s">
        <v>107</v>
      </c>
      <c r="Z28" s="12">
        <v>-9.5846727999999999</v>
      </c>
      <c r="AA28" s="12">
        <v>64.279664800000006</v>
      </c>
      <c r="AB28" s="12">
        <v>20.5447089</v>
      </c>
      <c r="AC28" s="12">
        <v>25.153784399999999</v>
      </c>
      <c r="AD28" s="12">
        <v>45.805473800000001</v>
      </c>
      <c r="AE28" s="12">
        <v>55.783631999999997</v>
      </c>
      <c r="AF28" s="12">
        <v>98.282340300000001</v>
      </c>
      <c r="AG28" s="12">
        <v>20.388588599999999</v>
      </c>
    </row>
    <row r="29" spans="1:33" s="11" customFormat="1" hidden="1" outlineLevel="1" x14ac:dyDescent="0.3">
      <c r="A29" s="11" t="s">
        <v>35</v>
      </c>
      <c r="B29" s="12">
        <v>2.4350660999999998</v>
      </c>
      <c r="C29" s="12">
        <v>80.113333299999994</v>
      </c>
      <c r="D29" s="12">
        <v>1.5936086</v>
      </c>
      <c r="E29" s="17">
        <v>2</v>
      </c>
      <c r="F29" s="13">
        <v>31.923333299999999</v>
      </c>
      <c r="G29" s="12">
        <v>5.0582362999999999</v>
      </c>
      <c r="H29" s="12">
        <v>5.3515658000000004</v>
      </c>
      <c r="I29" s="12">
        <v>-0.37427440000000001</v>
      </c>
      <c r="J29" s="12">
        <v>7.1214706000000003</v>
      </c>
      <c r="K29" s="12">
        <v>10.1589335</v>
      </c>
      <c r="L29" s="12">
        <v>3.578179</v>
      </c>
      <c r="M29" s="12">
        <v>65.825478899999993</v>
      </c>
      <c r="N29" s="12">
        <v>-4.0215183000000003</v>
      </c>
      <c r="O29" s="12">
        <v>14.2461851</v>
      </c>
      <c r="P29" s="7">
        <v>1410</v>
      </c>
      <c r="Q29" s="7">
        <v>210.8</v>
      </c>
      <c r="R29" s="7">
        <v>13</v>
      </c>
      <c r="S29" s="12">
        <v>1.8215745999999999</v>
      </c>
      <c r="T29" s="12">
        <v>2.09</v>
      </c>
      <c r="U29" s="12">
        <v>68.873333299999999</v>
      </c>
      <c r="V29" s="12">
        <v>1.0000675999999999</v>
      </c>
      <c r="W29" s="12">
        <v>11.864406799999999</v>
      </c>
      <c r="X29" s="7" t="s">
        <v>107</v>
      </c>
      <c r="Y29" s="7" t="s">
        <v>107</v>
      </c>
      <c r="Z29" s="12">
        <v>-7.5623810000000002</v>
      </c>
      <c r="AA29" s="12">
        <v>66.412058200000004</v>
      </c>
      <c r="AB29" s="12">
        <v>18.5685915</v>
      </c>
      <c r="AC29" s="12">
        <v>21.832671399999999</v>
      </c>
      <c r="AD29" s="12">
        <v>45.429779000000003</v>
      </c>
      <c r="AE29" s="12">
        <v>52.240554000000003</v>
      </c>
      <c r="AF29" s="12">
        <v>123.4165067</v>
      </c>
      <c r="AG29" s="12">
        <v>20.310433199999999</v>
      </c>
    </row>
    <row r="30" spans="1:33" s="11" customFormat="1" hidden="1" outlineLevel="1" x14ac:dyDescent="0.3">
      <c r="A30" s="11" t="s">
        <v>36</v>
      </c>
      <c r="B30" s="12">
        <v>2.9592486</v>
      </c>
      <c r="C30" s="12">
        <v>81.069999999999993</v>
      </c>
      <c r="D30" s="12">
        <v>2.1418672000000001</v>
      </c>
      <c r="E30" s="17">
        <v>2</v>
      </c>
      <c r="F30" s="13">
        <v>35.446666700000002</v>
      </c>
      <c r="G30" s="12">
        <v>3.2954620999999999</v>
      </c>
      <c r="H30" s="12">
        <v>7.5293939999999999</v>
      </c>
      <c r="I30" s="12">
        <v>-2.8443179999999999</v>
      </c>
      <c r="J30" s="12">
        <v>7.4467053999999999</v>
      </c>
      <c r="K30" s="12">
        <v>12.462112100000001</v>
      </c>
      <c r="L30" s="12">
        <v>-1.2518746000000001</v>
      </c>
      <c r="M30" s="12">
        <v>27.8166209</v>
      </c>
      <c r="N30" s="12">
        <v>11.4764079</v>
      </c>
      <c r="O30" s="12">
        <v>22.130589100000002</v>
      </c>
      <c r="P30" s="7">
        <v>1442.1</v>
      </c>
      <c r="Q30" s="7">
        <v>183.4</v>
      </c>
      <c r="R30" s="7">
        <v>11.3</v>
      </c>
      <c r="S30" s="12">
        <v>5.0094517999999999</v>
      </c>
      <c r="T30" s="12">
        <v>2.23</v>
      </c>
      <c r="U30" s="12">
        <v>70.046666700000003</v>
      </c>
      <c r="V30" s="12">
        <v>1</v>
      </c>
      <c r="W30" s="12">
        <v>20.1709402</v>
      </c>
      <c r="X30" s="7" t="s">
        <v>107</v>
      </c>
      <c r="Y30" s="7" t="s">
        <v>107</v>
      </c>
      <c r="Z30" s="12">
        <v>-10.1586596</v>
      </c>
      <c r="AA30" s="12">
        <v>65.474867799999998</v>
      </c>
      <c r="AB30" s="12">
        <v>21.0879516</v>
      </c>
      <c r="AC30" s="12">
        <v>22.785654000000001</v>
      </c>
      <c r="AD30" s="12">
        <v>47.284565100000002</v>
      </c>
      <c r="AE30" s="12">
        <v>56.633038499999998</v>
      </c>
      <c r="AF30" s="12">
        <v>125.0765775</v>
      </c>
      <c r="AG30" s="12">
        <v>19.483855399999999</v>
      </c>
    </row>
    <row r="31" spans="1:33" s="11" customFormat="1" hidden="1" outlineLevel="1" x14ac:dyDescent="0.3">
      <c r="A31" s="11" t="s">
        <v>37</v>
      </c>
      <c r="B31" s="12">
        <v>2.4141233999999998</v>
      </c>
      <c r="C31" s="12">
        <v>81.156666700000002</v>
      </c>
      <c r="D31" s="12">
        <v>2.1223942</v>
      </c>
      <c r="E31" s="17">
        <v>2</v>
      </c>
      <c r="F31" s="13">
        <v>41.386666699999999</v>
      </c>
      <c r="G31" s="12">
        <v>15.2246509</v>
      </c>
      <c r="H31" s="12">
        <v>13.854182</v>
      </c>
      <c r="I31" s="12">
        <v>0.64966469999999998</v>
      </c>
      <c r="J31" s="12">
        <v>4.9361801999999999</v>
      </c>
      <c r="K31" s="12">
        <v>12.8539914</v>
      </c>
      <c r="L31" s="12">
        <v>11.6999469</v>
      </c>
      <c r="M31" s="12">
        <v>7.1369294999999999</v>
      </c>
      <c r="N31" s="12">
        <v>9.8614254999999993</v>
      </c>
      <c r="O31" s="12">
        <v>22.741560700000001</v>
      </c>
      <c r="P31" s="7">
        <v>1451.4</v>
      </c>
      <c r="Q31" s="7">
        <v>171.7</v>
      </c>
      <c r="R31" s="7">
        <v>10.6</v>
      </c>
      <c r="S31" s="12">
        <v>7.3112605000000004</v>
      </c>
      <c r="T31" s="12">
        <v>2.2200000000000002</v>
      </c>
      <c r="U31" s="12">
        <v>70.396666699999997</v>
      </c>
      <c r="V31" s="12">
        <v>1</v>
      </c>
      <c r="W31" s="12">
        <v>8.1107334000000009</v>
      </c>
      <c r="X31" s="7" t="s">
        <v>107</v>
      </c>
      <c r="Y31" s="7" t="s">
        <v>107</v>
      </c>
      <c r="Z31" s="12">
        <v>-7.2362970999999998</v>
      </c>
      <c r="AA31" s="12">
        <v>65.447932199999997</v>
      </c>
      <c r="AB31" s="12">
        <v>16.903895899999998</v>
      </c>
      <c r="AC31" s="12">
        <v>23.0368143</v>
      </c>
      <c r="AD31" s="12">
        <v>51.098542999999999</v>
      </c>
      <c r="AE31" s="12">
        <v>56.485082900000002</v>
      </c>
      <c r="AF31" s="12">
        <v>114.37257219999999</v>
      </c>
      <c r="AG31" s="12">
        <v>19.2950488</v>
      </c>
    </row>
    <row r="32" spans="1:33" s="11" customFormat="1" hidden="1" outlineLevel="1" x14ac:dyDescent="0.3">
      <c r="A32" s="11" t="s">
        <v>38</v>
      </c>
      <c r="B32" s="12">
        <v>2.308249</v>
      </c>
      <c r="C32" s="12">
        <v>81.663333300000005</v>
      </c>
      <c r="D32" s="12">
        <v>2.1898724000000001</v>
      </c>
      <c r="E32" s="17">
        <v>2</v>
      </c>
      <c r="F32" s="13">
        <v>44.163333299999998</v>
      </c>
      <c r="G32" s="12">
        <v>19.028237099999998</v>
      </c>
      <c r="H32" s="12">
        <v>14.2253335</v>
      </c>
      <c r="I32" s="12">
        <v>-2.8199222000000002</v>
      </c>
      <c r="J32" s="12">
        <v>6.9567557000000004</v>
      </c>
      <c r="K32" s="12">
        <v>8.0581496000000001</v>
      </c>
      <c r="L32" s="12">
        <v>3.6547328000000001</v>
      </c>
      <c r="M32" s="12">
        <v>16.458246500000001</v>
      </c>
      <c r="N32" s="12">
        <v>10.9901921</v>
      </c>
      <c r="O32" s="12">
        <v>14.715999200000001</v>
      </c>
      <c r="P32" s="7">
        <v>1441.7</v>
      </c>
      <c r="Q32" s="7">
        <v>171.6</v>
      </c>
      <c r="R32" s="7">
        <v>10.7</v>
      </c>
      <c r="S32" s="12">
        <v>8.4692440999999992</v>
      </c>
      <c r="T32" s="12">
        <v>2.25</v>
      </c>
      <c r="U32" s="12">
        <v>70.773333300000004</v>
      </c>
      <c r="V32" s="12">
        <v>1</v>
      </c>
      <c r="W32" s="12">
        <v>8.2108903000000009</v>
      </c>
      <c r="X32" s="7" t="s">
        <v>107</v>
      </c>
      <c r="Y32" s="7" t="s">
        <v>107</v>
      </c>
      <c r="Z32" s="12">
        <v>-5.8638494000000003</v>
      </c>
      <c r="AA32" s="12">
        <v>63.007387399999999</v>
      </c>
      <c r="AB32" s="12">
        <v>20.120740300000001</v>
      </c>
      <c r="AC32" s="12">
        <v>23.663515799999999</v>
      </c>
      <c r="AD32" s="12">
        <v>50.508380299999999</v>
      </c>
      <c r="AE32" s="12">
        <v>57.300023799999998</v>
      </c>
      <c r="AF32" s="12">
        <v>96.318354099999993</v>
      </c>
      <c r="AG32" s="12">
        <v>18.685818099999999</v>
      </c>
    </row>
    <row r="33" spans="1:33" s="11" customFormat="1" hidden="1" outlineLevel="1" x14ac:dyDescent="0.3">
      <c r="A33" s="11" t="s">
        <v>39</v>
      </c>
      <c r="B33" s="12">
        <v>1.1277817999999999</v>
      </c>
      <c r="C33" s="12">
        <v>81.773333300000004</v>
      </c>
      <c r="D33" s="12">
        <v>2.0720646</v>
      </c>
      <c r="E33" s="17">
        <v>2</v>
      </c>
      <c r="F33" s="13">
        <v>47.696666700000002</v>
      </c>
      <c r="G33" s="12">
        <v>15.1805512</v>
      </c>
      <c r="H33" s="12">
        <v>14.9507251</v>
      </c>
      <c r="I33" s="12">
        <v>-0.45146730000000002</v>
      </c>
      <c r="J33" s="12">
        <v>5.5007555999999997</v>
      </c>
      <c r="K33" s="12">
        <v>7.4331465999999997</v>
      </c>
      <c r="L33" s="12">
        <v>4.2725900000000001</v>
      </c>
      <c r="M33" s="12">
        <v>1.1276128000000001</v>
      </c>
      <c r="N33" s="12">
        <v>23.243052599999999</v>
      </c>
      <c r="O33" s="12">
        <v>22.0081208</v>
      </c>
      <c r="P33" s="7">
        <v>1411.8</v>
      </c>
      <c r="Q33" s="7">
        <v>165.3</v>
      </c>
      <c r="R33" s="7">
        <v>10.3</v>
      </c>
      <c r="S33" s="12">
        <v>10.812461799999999</v>
      </c>
      <c r="T33" s="12">
        <v>2.25</v>
      </c>
      <c r="U33" s="12">
        <v>71.013333299999999</v>
      </c>
      <c r="V33" s="12">
        <v>1</v>
      </c>
      <c r="W33" s="12">
        <v>5.9740260000000003</v>
      </c>
      <c r="X33" s="7" t="s">
        <v>107</v>
      </c>
      <c r="Y33" s="7" t="s">
        <v>107</v>
      </c>
      <c r="Z33" s="12">
        <v>-5.1296258000000003</v>
      </c>
      <c r="AA33" s="12">
        <v>65.740930800000001</v>
      </c>
      <c r="AB33" s="12">
        <v>17.7531523</v>
      </c>
      <c r="AC33" s="12">
        <v>20.838178599999999</v>
      </c>
      <c r="AD33" s="12">
        <v>53.815810499999998</v>
      </c>
      <c r="AE33" s="12">
        <v>58.1480721</v>
      </c>
      <c r="AF33" s="12">
        <v>78.490120300000001</v>
      </c>
      <c r="AG33" s="12">
        <v>16.9099948</v>
      </c>
    </row>
    <row r="34" spans="1:33" s="11" customFormat="1" hidden="1" outlineLevel="1" x14ac:dyDescent="0.3">
      <c r="A34" s="11" t="s">
        <v>40</v>
      </c>
      <c r="B34" s="12">
        <v>2.2042253999999999</v>
      </c>
      <c r="C34" s="12">
        <v>82.71</v>
      </c>
      <c r="D34" s="12">
        <v>2.0229431</v>
      </c>
      <c r="E34" s="17">
        <v>2</v>
      </c>
      <c r="F34" s="13">
        <v>51.626666700000001</v>
      </c>
      <c r="G34" s="12">
        <v>8.9856563999999999</v>
      </c>
      <c r="H34" s="12">
        <v>20.6069952</v>
      </c>
      <c r="I34" s="12">
        <v>0.50863519999999995</v>
      </c>
      <c r="J34" s="12">
        <v>7.0959402000000003</v>
      </c>
      <c r="K34" s="12">
        <v>12.435900500000001</v>
      </c>
      <c r="L34" s="12">
        <v>3.5787388999999998</v>
      </c>
      <c r="M34" s="12">
        <v>3.5452153000000002</v>
      </c>
      <c r="N34" s="12">
        <v>21.272528699999999</v>
      </c>
      <c r="O34" s="12">
        <v>22.5712692</v>
      </c>
      <c r="P34" s="7">
        <v>1430.4</v>
      </c>
      <c r="Q34" s="7">
        <v>136.80000000000001</v>
      </c>
      <c r="R34" s="7">
        <v>8.5</v>
      </c>
      <c r="S34" s="12">
        <v>8.9518042999999992</v>
      </c>
      <c r="T34" s="12">
        <v>2.23</v>
      </c>
      <c r="U34" s="12">
        <v>71.713333300000002</v>
      </c>
      <c r="V34" s="12">
        <v>1</v>
      </c>
      <c r="W34" s="12">
        <v>10.4314841</v>
      </c>
      <c r="X34" s="7" t="s">
        <v>107</v>
      </c>
      <c r="Y34" s="7" t="s">
        <v>107</v>
      </c>
      <c r="Z34" s="12">
        <v>-7.5604849999999999</v>
      </c>
      <c r="AA34" s="12">
        <v>65.043417700000006</v>
      </c>
      <c r="AB34" s="12">
        <v>20.0669155</v>
      </c>
      <c r="AC34" s="12">
        <v>23.8265612</v>
      </c>
      <c r="AD34" s="12">
        <v>53.689055600000003</v>
      </c>
      <c r="AE34" s="12">
        <v>62.625950099999997</v>
      </c>
      <c r="AF34" s="12">
        <v>76.347305399999996</v>
      </c>
      <c r="AG34" s="12">
        <v>16.697887000000001</v>
      </c>
    </row>
    <row r="35" spans="1:33" s="11" customFormat="1" hidden="1" outlineLevel="1" x14ac:dyDescent="0.3">
      <c r="A35" s="11" t="s">
        <v>41</v>
      </c>
      <c r="B35" s="12">
        <v>2.0830310000000001</v>
      </c>
      <c r="C35" s="12">
        <v>83.016666700000002</v>
      </c>
      <c r="D35" s="12">
        <v>2.2918634999999998</v>
      </c>
      <c r="E35" s="17">
        <v>2</v>
      </c>
      <c r="F35" s="13">
        <v>61.47</v>
      </c>
      <c r="G35" s="12">
        <v>9.0897114999999999</v>
      </c>
      <c r="H35" s="12">
        <v>15.841456300000001</v>
      </c>
      <c r="I35" s="12">
        <v>2.4825878000000001</v>
      </c>
      <c r="J35" s="12">
        <v>9.0433378999999992</v>
      </c>
      <c r="K35" s="12">
        <v>11.8468008</v>
      </c>
      <c r="L35" s="12">
        <v>1.7604675999999999</v>
      </c>
      <c r="M35" s="12">
        <v>7.0130489000000003</v>
      </c>
      <c r="N35" s="12">
        <v>16.466327400000001</v>
      </c>
      <c r="O35" s="12">
        <v>15.1402962</v>
      </c>
      <c r="P35" s="7">
        <v>1449.9</v>
      </c>
      <c r="Q35" s="7">
        <v>116.4</v>
      </c>
      <c r="R35" s="7">
        <v>7.2</v>
      </c>
      <c r="S35" s="12">
        <v>9.3829314999999998</v>
      </c>
      <c r="T35" s="12">
        <v>2.23</v>
      </c>
      <c r="U35" s="12">
        <v>71.97</v>
      </c>
      <c r="V35" s="12">
        <v>1</v>
      </c>
      <c r="W35" s="12">
        <v>6.6486972</v>
      </c>
      <c r="X35" s="7" t="s">
        <v>107</v>
      </c>
      <c r="Y35" s="7" t="s">
        <v>107</v>
      </c>
      <c r="Z35" s="12">
        <v>-7.3757808999999996</v>
      </c>
      <c r="AA35" s="12">
        <v>63.378688799999999</v>
      </c>
      <c r="AB35" s="12">
        <v>15.57945</v>
      </c>
      <c r="AC35" s="12">
        <v>27.6746607</v>
      </c>
      <c r="AD35" s="12">
        <v>55.175199300000003</v>
      </c>
      <c r="AE35" s="12">
        <v>61.809793900000003</v>
      </c>
      <c r="AF35" s="12">
        <v>81.769479200000006</v>
      </c>
      <c r="AG35" s="12">
        <v>16.323719400000002</v>
      </c>
    </row>
    <row r="36" spans="1:33" s="11" customFormat="1" hidden="1" outlineLevel="1" x14ac:dyDescent="0.3">
      <c r="A36" s="11" t="s">
        <v>42</v>
      </c>
      <c r="B36" s="12">
        <v>2.0666498999999998</v>
      </c>
      <c r="C36" s="12">
        <v>83.51</v>
      </c>
      <c r="D36" s="12">
        <v>2.2613167999999999</v>
      </c>
      <c r="E36" s="17">
        <v>2.0833333000000001</v>
      </c>
      <c r="F36" s="13">
        <v>56.88</v>
      </c>
      <c r="G36" s="12">
        <v>25.683906799999999</v>
      </c>
      <c r="H36" s="12">
        <v>23.462072200000001</v>
      </c>
      <c r="I36" s="12">
        <v>-3.7059185000000001</v>
      </c>
      <c r="J36" s="12">
        <v>8.9248528999999994</v>
      </c>
      <c r="K36" s="12">
        <v>14.5402708</v>
      </c>
      <c r="L36" s="12">
        <v>4.5267220999999997</v>
      </c>
      <c r="M36" s="12">
        <v>2.0282765999999999</v>
      </c>
      <c r="N36" s="12">
        <v>19.219828100000001</v>
      </c>
      <c r="O36" s="12">
        <v>19.586473000000002</v>
      </c>
      <c r="P36" s="7">
        <v>1484.3</v>
      </c>
      <c r="Q36" s="7">
        <v>113.4</v>
      </c>
      <c r="R36" s="7">
        <v>7.1</v>
      </c>
      <c r="S36" s="12">
        <v>10.9296291</v>
      </c>
      <c r="T36" s="12">
        <v>2.46</v>
      </c>
      <c r="U36" s="12">
        <v>72.876666700000001</v>
      </c>
      <c r="V36" s="12">
        <v>1</v>
      </c>
      <c r="W36" s="12">
        <v>5.6709265000000002</v>
      </c>
      <c r="X36" s="7" t="s">
        <v>107</v>
      </c>
      <c r="Y36" s="7" t="s">
        <v>107</v>
      </c>
      <c r="Z36" s="12">
        <v>-7.7661974000000003</v>
      </c>
      <c r="AA36" s="12">
        <v>63.916416099999999</v>
      </c>
      <c r="AB36" s="12">
        <v>20.5423045</v>
      </c>
      <c r="AC36" s="12">
        <v>23.9782668</v>
      </c>
      <c r="AD36" s="12">
        <v>57.343493700000003</v>
      </c>
      <c r="AE36" s="12">
        <v>65.780481100000003</v>
      </c>
      <c r="AF36" s="12">
        <v>86.782956400000003</v>
      </c>
      <c r="AG36" s="12">
        <v>17.644984000000001</v>
      </c>
    </row>
    <row r="37" spans="1:33" s="11" customFormat="1" hidden="1" outlineLevel="1" x14ac:dyDescent="0.3">
      <c r="A37" s="11" t="s">
        <v>43</v>
      </c>
      <c r="B37" s="12">
        <v>3.8191847000000001</v>
      </c>
      <c r="C37" s="12">
        <v>83.573333300000002</v>
      </c>
      <c r="D37" s="12">
        <v>2.2012065999999999</v>
      </c>
      <c r="E37" s="17">
        <v>2.3333333000000001</v>
      </c>
      <c r="F37" s="13">
        <v>61.753333300000001</v>
      </c>
      <c r="G37" s="12">
        <v>9.9828119999999991</v>
      </c>
      <c r="H37" s="12">
        <v>15.3830069</v>
      </c>
      <c r="I37" s="12">
        <v>1.1064099999999999</v>
      </c>
      <c r="J37" s="12">
        <v>7.5844860000000001</v>
      </c>
      <c r="K37" s="12">
        <v>7.8043141</v>
      </c>
      <c r="L37" s="12">
        <v>-0.27759339999999999</v>
      </c>
      <c r="M37" s="12">
        <v>26.561508499999999</v>
      </c>
      <c r="N37" s="12">
        <v>20.920395599999999</v>
      </c>
      <c r="O37" s="12">
        <v>22.954313200000001</v>
      </c>
      <c r="P37" s="7">
        <v>1484.3</v>
      </c>
      <c r="Q37" s="7">
        <v>101.7</v>
      </c>
      <c r="R37" s="7">
        <v>6.4</v>
      </c>
      <c r="S37" s="12">
        <v>13.1674279</v>
      </c>
      <c r="T37" s="12">
        <v>2.66</v>
      </c>
      <c r="U37" s="12">
        <v>73.366666699999996</v>
      </c>
      <c r="V37" s="12">
        <v>1</v>
      </c>
      <c r="W37" s="12">
        <v>10.4983661</v>
      </c>
      <c r="X37" s="7" t="s">
        <v>107</v>
      </c>
      <c r="Y37" s="7" t="s">
        <v>107</v>
      </c>
      <c r="Z37" s="12">
        <v>-9.7928212000000006</v>
      </c>
      <c r="AA37" s="12">
        <v>64.243290999999999</v>
      </c>
      <c r="AB37" s="12">
        <v>17.658860199999999</v>
      </c>
      <c r="AC37" s="12">
        <v>27.205371199999998</v>
      </c>
      <c r="AD37" s="12">
        <v>62.048348300000001</v>
      </c>
      <c r="AE37" s="12">
        <v>71.157857100000001</v>
      </c>
      <c r="AF37" s="12">
        <v>85.837193900000003</v>
      </c>
      <c r="AG37" s="12">
        <v>15.6173997</v>
      </c>
    </row>
    <row r="38" spans="1:33" s="11" customFormat="1" hidden="1" outlineLevel="1" x14ac:dyDescent="0.3">
      <c r="A38" s="11" t="s">
        <v>44</v>
      </c>
      <c r="B38" s="12">
        <v>2.9723983</v>
      </c>
      <c r="C38" s="12">
        <v>84.693333300000006</v>
      </c>
      <c r="D38" s="12">
        <v>2.3979365000000001</v>
      </c>
      <c r="E38" s="17">
        <v>2.5833333000000001</v>
      </c>
      <c r="F38" s="13">
        <v>69.533333299999995</v>
      </c>
      <c r="G38" s="12">
        <v>5.7896600999999999</v>
      </c>
      <c r="H38" s="12">
        <v>14.290695599999999</v>
      </c>
      <c r="I38" s="12">
        <v>2.9605318999999999</v>
      </c>
      <c r="J38" s="12">
        <v>8.3099422000000001</v>
      </c>
      <c r="K38" s="12">
        <v>7.8169746</v>
      </c>
      <c r="L38" s="12">
        <v>1.4406833999999999</v>
      </c>
      <c r="M38" s="12">
        <v>-2.0262137</v>
      </c>
      <c r="N38" s="12">
        <v>18.973767200000001</v>
      </c>
      <c r="O38" s="12">
        <v>11.018228000000001</v>
      </c>
      <c r="P38" s="7">
        <v>1502</v>
      </c>
      <c r="Q38" s="7">
        <v>88.8</v>
      </c>
      <c r="R38" s="7">
        <v>5.6</v>
      </c>
      <c r="S38" s="12">
        <v>14.134434799999999</v>
      </c>
      <c r="T38" s="12">
        <v>2.88</v>
      </c>
      <c r="U38" s="12">
        <v>74.266666700000002</v>
      </c>
      <c r="V38" s="12">
        <v>1</v>
      </c>
      <c r="W38" s="12">
        <v>12.838127999999999</v>
      </c>
      <c r="X38" s="7" t="s">
        <v>107</v>
      </c>
      <c r="Y38" s="7" t="s">
        <v>107</v>
      </c>
      <c r="Z38" s="12">
        <v>-8.7744655999999992</v>
      </c>
      <c r="AA38" s="12">
        <v>65.033074299999996</v>
      </c>
      <c r="AB38" s="12">
        <v>18.825990099999999</v>
      </c>
      <c r="AC38" s="12">
        <v>24.587209000000001</v>
      </c>
      <c r="AD38" s="12">
        <v>60.569319999999998</v>
      </c>
      <c r="AE38" s="12">
        <v>69.013892900000002</v>
      </c>
      <c r="AF38" s="12">
        <v>83.438802300000006</v>
      </c>
      <c r="AG38" s="12">
        <v>15.405370599999999</v>
      </c>
    </row>
    <row r="39" spans="1:33" s="11" customFormat="1" hidden="1" outlineLevel="1" x14ac:dyDescent="0.3">
      <c r="A39" s="11" t="s">
        <v>45</v>
      </c>
      <c r="B39" s="12">
        <v>3.3099788999999999</v>
      </c>
      <c r="C39" s="12">
        <v>84.873333299999999</v>
      </c>
      <c r="D39" s="12">
        <v>2.2364986</v>
      </c>
      <c r="E39" s="17">
        <v>2.9166666999999999</v>
      </c>
      <c r="F39" s="13">
        <v>69.62</v>
      </c>
      <c r="G39" s="12">
        <v>21.9116049</v>
      </c>
      <c r="H39" s="12">
        <v>17.001950399999998</v>
      </c>
      <c r="I39" s="12">
        <v>1.2479846000000001</v>
      </c>
      <c r="J39" s="12">
        <v>6.8651726000000002</v>
      </c>
      <c r="K39" s="12">
        <v>12.3234499</v>
      </c>
      <c r="L39" s="12">
        <v>1.2624407</v>
      </c>
      <c r="M39" s="12">
        <v>12.2048998</v>
      </c>
      <c r="N39" s="12">
        <v>10.3155242</v>
      </c>
      <c r="O39" s="12">
        <v>17.2327926</v>
      </c>
      <c r="P39" s="7">
        <v>1511.5</v>
      </c>
      <c r="Q39" s="7">
        <v>91.2</v>
      </c>
      <c r="R39" s="7">
        <v>5.7</v>
      </c>
      <c r="S39" s="12">
        <v>19.897034300000001</v>
      </c>
      <c r="T39" s="12">
        <v>3.2</v>
      </c>
      <c r="U39" s="12">
        <v>74.813333299999996</v>
      </c>
      <c r="V39" s="12">
        <v>1</v>
      </c>
      <c r="W39" s="12">
        <v>4.4229149000000003</v>
      </c>
      <c r="X39" s="7" t="s">
        <v>107</v>
      </c>
      <c r="Y39" s="7" t="s">
        <v>107</v>
      </c>
      <c r="Z39" s="12">
        <v>-11.5496713</v>
      </c>
      <c r="AA39" s="12">
        <v>64.076646400000001</v>
      </c>
      <c r="AB39" s="12">
        <v>17.712079899999999</v>
      </c>
      <c r="AC39" s="12">
        <v>28.945491799999999</v>
      </c>
      <c r="AD39" s="12">
        <v>55.247736600000003</v>
      </c>
      <c r="AE39" s="12">
        <v>65.981954599999995</v>
      </c>
      <c r="AF39" s="12">
        <v>76.703363400000001</v>
      </c>
      <c r="AG39" s="12">
        <v>15.2723327</v>
      </c>
    </row>
    <row r="40" spans="1:33" s="11" customFormat="1" hidden="1" outlineLevel="1" x14ac:dyDescent="0.3">
      <c r="A40" s="11" t="s">
        <v>46</v>
      </c>
      <c r="B40" s="12">
        <v>3.7478780999999999</v>
      </c>
      <c r="C40" s="12">
        <v>85.166666699999993</v>
      </c>
      <c r="D40" s="12">
        <v>1.9837944000000001</v>
      </c>
      <c r="E40" s="17">
        <v>3.3333333000000001</v>
      </c>
      <c r="F40" s="13">
        <v>59.68</v>
      </c>
      <c r="G40" s="12">
        <v>21.170769</v>
      </c>
      <c r="H40" s="12">
        <v>15.8846118</v>
      </c>
      <c r="I40" s="12">
        <v>-5.6176079000000003</v>
      </c>
      <c r="J40" s="12">
        <v>7.0054786</v>
      </c>
      <c r="K40" s="12">
        <v>8.1479464999999998</v>
      </c>
      <c r="L40" s="12">
        <v>6.0141435999999997</v>
      </c>
      <c r="M40" s="12">
        <v>15.985499600000001</v>
      </c>
      <c r="N40" s="12">
        <v>3.1323772000000001</v>
      </c>
      <c r="O40" s="12">
        <v>8.1848904000000005</v>
      </c>
      <c r="P40" s="7">
        <v>1498.2</v>
      </c>
      <c r="Q40" s="7">
        <v>76.099999999999994</v>
      </c>
      <c r="R40" s="7">
        <v>4.8</v>
      </c>
      <c r="S40" s="12">
        <v>19.120682500000001</v>
      </c>
      <c r="T40" s="12">
        <v>3.65</v>
      </c>
      <c r="U40" s="12">
        <v>75.930000000000007</v>
      </c>
      <c r="V40" s="12">
        <v>1</v>
      </c>
      <c r="W40" s="12">
        <v>-3.3635676999999999</v>
      </c>
      <c r="X40" s="7" t="s">
        <v>107</v>
      </c>
      <c r="Y40" s="7" t="s">
        <v>107</v>
      </c>
      <c r="Z40" s="12">
        <v>-11.917044199999999</v>
      </c>
      <c r="AA40" s="12">
        <v>63.433962899999997</v>
      </c>
      <c r="AB40" s="12">
        <v>21.933641399999999</v>
      </c>
      <c r="AC40" s="12">
        <v>26.900820899999999</v>
      </c>
      <c r="AD40" s="12">
        <v>51.886242299999999</v>
      </c>
      <c r="AE40" s="12">
        <v>64.153172100000006</v>
      </c>
      <c r="AF40" s="12">
        <v>69.288693699999996</v>
      </c>
      <c r="AG40" s="12">
        <v>17.261248999999999</v>
      </c>
    </row>
    <row r="41" spans="1:33" s="11" customFormat="1" hidden="1" outlineLevel="1" x14ac:dyDescent="0.3">
      <c r="A41" s="11" t="s">
        <v>47</v>
      </c>
      <c r="B41" s="12">
        <v>3.5234725999999998</v>
      </c>
      <c r="C41" s="12">
        <v>85.39</v>
      </c>
      <c r="D41" s="12">
        <v>2.1737397000000001</v>
      </c>
      <c r="E41" s="17">
        <v>3.5833333000000001</v>
      </c>
      <c r="F41" s="13">
        <v>57.763333299999999</v>
      </c>
      <c r="G41" s="12">
        <v>21.972869899999999</v>
      </c>
      <c r="H41" s="12">
        <v>18.231243200000002</v>
      </c>
      <c r="I41" s="12">
        <v>9.9604899999999996E-2</v>
      </c>
      <c r="J41" s="12">
        <v>9.8115854999999996</v>
      </c>
      <c r="K41" s="12">
        <v>17.8051563</v>
      </c>
      <c r="L41" s="12">
        <v>3.5824508000000002</v>
      </c>
      <c r="M41" s="12">
        <v>21.660339499999999</v>
      </c>
      <c r="N41" s="12">
        <v>1.3150626999999999</v>
      </c>
      <c r="O41" s="12">
        <v>12.001994399999999</v>
      </c>
      <c r="P41" s="7">
        <v>1507.7</v>
      </c>
      <c r="Q41" s="7">
        <v>79.599999999999994</v>
      </c>
      <c r="R41" s="7">
        <v>5</v>
      </c>
      <c r="S41" s="12">
        <v>20.932498299999999</v>
      </c>
      <c r="T41" s="12">
        <v>3.96</v>
      </c>
      <c r="U41" s="12">
        <v>76.586666699999995</v>
      </c>
      <c r="V41" s="12">
        <v>1</v>
      </c>
      <c r="W41" s="12">
        <v>-3.9926062999999998</v>
      </c>
      <c r="X41" s="7" t="s">
        <v>107</v>
      </c>
      <c r="Y41" s="7" t="s">
        <v>107</v>
      </c>
      <c r="Z41" s="12">
        <v>-14.193698299999999</v>
      </c>
      <c r="AA41" s="12">
        <v>66.159234999999995</v>
      </c>
      <c r="AB41" s="12">
        <v>16.705401899999998</v>
      </c>
      <c r="AC41" s="12">
        <v>31.2062153</v>
      </c>
      <c r="AD41" s="12">
        <v>54.108702100000002</v>
      </c>
      <c r="AE41" s="12">
        <v>68.181214499999996</v>
      </c>
      <c r="AF41" s="12">
        <v>65.232452699999996</v>
      </c>
      <c r="AG41" s="12">
        <v>14.448902500000001</v>
      </c>
    </row>
    <row r="42" spans="1:33" s="11" customFormat="1" hidden="1" outlineLevel="1" x14ac:dyDescent="0.3">
      <c r="A42" s="11" t="s">
        <v>48</v>
      </c>
      <c r="B42" s="12">
        <v>3.1678283999999999</v>
      </c>
      <c r="C42" s="12">
        <v>86.5</v>
      </c>
      <c r="D42" s="12">
        <v>2.1331864</v>
      </c>
      <c r="E42" s="17">
        <v>3.8333333000000001</v>
      </c>
      <c r="F42" s="13">
        <v>68.583333300000007</v>
      </c>
      <c r="G42" s="12">
        <v>34.5160391</v>
      </c>
      <c r="H42" s="12">
        <v>19.480321400000001</v>
      </c>
      <c r="I42" s="12">
        <v>-0.85788419999999999</v>
      </c>
      <c r="J42" s="12">
        <v>11.598616099999999</v>
      </c>
      <c r="K42" s="12">
        <v>13.7114862</v>
      </c>
      <c r="L42" s="12">
        <v>6.7931879999999998</v>
      </c>
      <c r="M42" s="12">
        <v>54.760767199999997</v>
      </c>
      <c r="N42" s="12">
        <v>0.74995860000000003</v>
      </c>
      <c r="O42" s="12">
        <v>17.053226599999999</v>
      </c>
      <c r="P42" s="7">
        <v>1543.8</v>
      </c>
      <c r="Q42" s="7">
        <v>66</v>
      </c>
      <c r="R42" s="7">
        <v>4.0999999999999996</v>
      </c>
      <c r="S42" s="12">
        <v>20.175034499999999</v>
      </c>
      <c r="T42" s="12">
        <v>4.74</v>
      </c>
      <c r="U42" s="12">
        <v>77.953333299999997</v>
      </c>
      <c r="V42" s="12">
        <v>1</v>
      </c>
      <c r="W42" s="12">
        <v>1.3698630000000001</v>
      </c>
      <c r="X42" s="7" t="s">
        <v>107</v>
      </c>
      <c r="Y42" s="7" t="s">
        <v>107</v>
      </c>
      <c r="Z42" s="12">
        <v>-17.241379299999998</v>
      </c>
      <c r="AA42" s="12">
        <v>63.173752899999997</v>
      </c>
      <c r="AB42" s="12">
        <v>18.507978999999999</v>
      </c>
      <c r="AC42" s="12">
        <v>33.490960800000003</v>
      </c>
      <c r="AD42" s="12">
        <v>52.936335200000002</v>
      </c>
      <c r="AE42" s="12">
        <v>68.109027999999995</v>
      </c>
      <c r="AF42" s="12">
        <v>63.805917800000003</v>
      </c>
      <c r="AG42" s="12">
        <v>14.319642099999999</v>
      </c>
    </row>
    <row r="43" spans="1:33" s="11" customFormat="1" hidden="1" outlineLevel="1" x14ac:dyDescent="0.3">
      <c r="A43" s="11" t="s">
        <v>49</v>
      </c>
      <c r="B43" s="12">
        <v>3.1476855000000001</v>
      </c>
      <c r="C43" s="12">
        <v>86.6</v>
      </c>
      <c r="D43" s="12">
        <v>2.0344042999999998</v>
      </c>
      <c r="E43" s="17">
        <v>4</v>
      </c>
      <c r="F43" s="13">
        <v>74.953333299999997</v>
      </c>
      <c r="G43" s="12">
        <v>19.672131100000001</v>
      </c>
      <c r="H43" s="12">
        <v>23.9140789</v>
      </c>
      <c r="I43" s="12">
        <v>2.3687841999999999</v>
      </c>
      <c r="J43" s="12">
        <v>12.344293</v>
      </c>
      <c r="K43" s="12">
        <v>7.2822998999999999</v>
      </c>
      <c r="L43" s="12">
        <v>-5.2704484999999996</v>
      </c>
      <c r="M43" s="12">
        <v>31.411274299999999</v>
      </c>
      <c r="N43" s="12">
        <v>10.456611000000001</v>
      </c>
      <c r="O43" s="12">
        <v>9.9750469000000006</v>
      </c>
      <c r="P43" s="7">
        <v>1560.2</v>
      </c>
      <c r="Q43" s="7">
        <v>63.5</v>
      </c>
      <c r="R43" s="7">
        <v>3.9</v>
      </c>
      <c r="S43" s="12">
        <v>17.919564600000001</v>
      </c>
      <c r="T43" s="12">
        <v>5.25</v>
      </c>
      <c r="U43" s="12">
        <v>79.253333299999994</v>
      </c>
      <c r="V43" s="12">
        <v>1</v>
      </c>
      <c r="W43" s="12">
        <v>9.3586124000000002</v>
      </c>
      <c r="X43" s="7" t="s">
        <v>107</v>
      </c>
      <c r="Y43" s="7" t="s">
        <v>107</v>
      </c>
      <c r="Z43" s="12">
        <v>-12.6616242</v>
      </c>
      <c r="AA43" s="12">
        <v>60.372055000000003</v>
      </c>
      <c r="AB43" s="12">
        <v>14.9090305</v>
      </c>
      <c r="AC43" s="12">
        <v>35.038585400000002</v>
      </c>
      <c r="AD43" s="12">
        <v>52.359840499999997</v>
      </c>
      <c r="AE43" s="12">
        <v>62.679511400000003</v>
      </c>
      <c r="AF43" s="12">
        <v>62.714317299999998</v>
      </c>
      <c r="AG43" s="12">
        <v>13.928069199999999</v>
      </c>
    </row>
    <row r="44" spans="1:33" s="11" customFormat="1" hidden="1" outlineLevel="1" x14ac:dyDescent="0.3">
      <c r="A44" s="11" t="s">
        <v>50</v>
      </c>
      <c r="B44" s="12">
        <v>2.7223932</v>
      </c>
      <c r="C44" s="12">
        <v>87.72</v>
      </c>
      <c r="D44" s="12">
        <v>2.998043</v>
      </c>
      <c r="E44" s="17">
        <v>4</v>
      </c>
      <c r="F44" s="13">
        <v>88.56</v>
      </c>
      <c r="G44" s="12">
        <v>21.387222399999999</v>
      </c>
      <c r="H44" s="12">
        <v>24.9979795</v>
      </c>
      <c r="I44" s="12">
        <v>-4.5883957999999998</v>
      </c>
      <c r="J44" s="12">
        <v>10.496528700000001</v>
      </c>
      <c r="K44" s="12">
        <v>12.149818399999999</v>
      </c>
      <c r="L44" s="12">
        <v>1.8890201</v>
      </c>
      <c r="M44" s="12">
        <v>16.257498600000002</v>
      </c>
      <c r="N44" s="12">
        <v>0.1353713</v>
      </c>
      <c r="O44" s="12">
        <v>4.1758196999999999</v>
      </c>
      <c r="P44" s="7">
        <v>1525</v>
      </c>
      <c r="Q44" s="7">
        <v>66.900000000000006</v>
      </c>
      <c r="R44" s="7">
        <v>4.2</v>
      </c>
      <c r="S44" s="12">
        <v>18.5236527</v>
      </c>
      <c r="T44" s="12">
        <v>6.8</v>
      </c>
      <c r="U44" s="12">
        <v>81.943333300000006</v>
      </c>
      <c r="V44" s="12">
        <v>1</v>
      </c>
      <c r="W44" s="12">
        <v>4.6147830000000001</v>
      </c>
      <c r="X44" s="7" t="s">
        <v>107</v>
      </c>
      <c r="Y44" s="7" t="s">
        <v>107</v>
      </c>
      <c r="Z44" s="12">
        <v>-13.3510179</v>
      </c>
      <c r="AA44" s="12">
        <v>64.233786699999996</v>
      </c>
      <c r="AB44" s="12">
        <v>19.606101200000001</v>
      </c>
      <c r="AC44" s="12">
        <v>29.4085261</v>
      </c>
      <c r="AD44" s="12">
        <v>47.916015000000002</v>
      </c>
      <c r="AE44" s="12">
        <v>61.164428999999998</v>
      </c>
      <c r="AF44" s="12">
        <v>58.067681299999997</v>
      </c>
      <c r="AG44" s="12">
        <v>15.8893807</v>
      </c>
    </row>
    <row r="45" spans="1:33" s="11" customFormat="1" hidden="1" outlineLevel="1" x14ac:dyDescent="0.3">
      <c r="A45" s="11" t="s">
        <v>51</v>
      </c>
      <c r="B45" s="12">
        <v>1.9060995000000001</v>
      </c>
      <c r="C45" s="12">
        <v>88.42</v>
      </c>
      <c r="D45" s="12">
        <v>3.5484249000000001</v>
      </c>
      <c r="E45" s="17">
        <v>4</v>
      </c>
      <c r="F45" s="13">
        <v>96.936666700000004</v>
      </c>
      <c r="G45" s="12">
        <v>28.1724067</v>
      </c>
      <c r="H45" s="12">
        <v>23.9014919</v>
      </c>
      <c r="I45" s="12">
        <v>-1.0602632000000001</v>
      </c>
      <c r="J45" s="12">
        <v>7.0718002000000002</v>
      </c>
      <c r="K45" s="12">
        <v>11.794554</v>
      </c>
      <c r="L45" s="12">
        <v>4.0895000000000001E-2</v>
      </c>
      <c r="M45" s="12">
        <v>26.1937003</v>
      </c>
      <c r="N45" s="12">
        <v>10.482593899999999</v>
      </c>
      <c r="O45" s="12">
        <v>19.958450800000001</v>
      </c>
      <c r="P45" s="7">
        <v>1510.3</v>
      </c>
      <c r="Q45" s="7">
        <v>77.5</v>
      </c>
      <c r="R45" s="7">
        <v>4.9000000000000004</v>
      </c>
      <c r="S45" s="12">
        <v>23.794452799999998</v>
      </c>
      <c r="T45" s="12">
        <v>4.4000000000000004</v>
      </c>
      <c r="U45" s="12">
        <v>84.836666699999995</v>
      </c>
      <c r="V45" s="12">
        <v>1</v>
      </c>
      <c r="W45" s="12">
        <v>7.4701578</v>
      </c>
      <c r="X45" s="7" t="s">
        <v>107</v>
      </c>
      <c r="Y45" s="7" t="s">
        <v>107</v>
      </c>
      <c r="Z45" s="12">
        <v>-22.0755455</v>
      </c>
      <c r="AA45" s="12">
        <v>68.931075899999996</v>
      </c>
      <c r="AB45" s="12">
        <v>16.7281312</v>
      </c>
      <c r="AC45" s="12">
        <v>32.574805099999999</v>
      </c>
      <c r="AD45" s="12">
        <v>58.417847100000003</v>
      </c>
      <c r="AE45" s="12">
        <v>76.650462399999995</v>
      </c>
      <c r="AF45" s="12">
        <v>49.801124700000003</v>
      </c>
      <c r="AG45" s="12">
        <v>12.8655454</v>
      </c>
    </row>
    <row r="46" spans="1:33" s="11" customFormat="1" hidden="1" outlineLevel="1" x14ac:dyDescent="0.3">
      <c r="A46" s="11" t="s">
        <v>52</v>
      </c>
      <c r="B46" s="12">
        <v>1.9101475000000001</v>
      </c>
      <c r="C46" s="12">
        <v>89.906666700000002</v>
      </c>
      <c r="D46" s="12">
        <v>3.9383430000000001</v>
      </c>
      <c r="E46" s="17">
        <v>4</v>
      </c>
      <c r="F46" s="13">
        <v>121.3966667</v>
      </c>
      <c r="G46" s="12">
        <v>25.078798899999999</v>
      </c>
      <c r="H46" s="12">
        <v>20.474954199999999</v>
      </c>
      <c r="I46" s="12">
        <v>-2.1843284999999999</v>
      </c>
      <c r="J46" s="12">
        <v>5.4026752</v>
      </c>
      <c r="K46" s="12">
        <v>6.1666233999999998</v>
      </c>
      <c r="L46" s="12">
        <v>-0.84147349999999999</v>
      </c>
      <c r="M46" s="12">
        <v>4.6881890999999998</v>
      </c>
      <c r="N46" s="12">
        <v>15.7493073</v>
      </c>
      <c r="O46" s="12">
        <v>12.296094200000001</v>
      </c>
      <c r="P46" s="7">
        <v>1525.1</v>
      </c>
      <c r="Q46" s="7">
        <v>72.5</v>
      </c>
      <c r="R46" s="7">
        <v>4.5</v>
      </c>
      <c r="S46" s="12">
        <v>22.477139600000001</v>
      </c>
      <c r="T46" s="12">
        <v>4.74</v>
      </c>
      <c r="U46" s="12">
        <v>87.52</v>
      </c>
      <c r="V46" s="12">
        <v>1</v>
      </c>
      <c r="W46" s="12">
        <v>8.0705705999999999</v>
      </c>
      <c r="X46" s="7" t="s">
        <v>107</v>
      </c>
      <c r="Y46" s="7" t="s">
        <v>107</v>
      </c>
      <c r="Z46" s="12">
        <v>-16.430257300000001</v>
      </c>
      <c r="AA46" s="12">
        <v>63.738494199999998</v>
      </c>
      <c r="AB46" s="12">
        <v>18.985130999999999</v>
      </c>
      <c r="AC46" s="12">
        <v>29.910313899999998</v>
      </c>
      <c r="AD46" s="12">
        <v>59.524427699999997</v>
      </c>
      <c r="AE46" s="12">
        <v>72.157186699999997</v>
      </c>
      <c r="AF46" s="12">
        <v>39.991439100000001</v>
      </c>
      <c r="AG46" s="12">
        <v>13.454949600000001</v>
      </c>
    </row>
    <row r="47" spans="1:33" s="11" customFormat="1" hidden="1" outlineLevel="1" x14ac:dyDescent="0.3">
      <c r="A47" s="11" t="s">
        <v>53</v>
      </c>
      <c r="B47" s="12">
        <v>0.87131639999999999</v>
      </c>
      <c r="C47" s="12">
        <v>90.323333300000002</v>
      </c>
      <c r="D47" s="12">
        <v>4.2994611000000003</v>
      </c>
      <c r="E47" s="17">
        <v>4.25</v>
      </c>
      <c r="F47" s="13">
        <v>114.3966667</v>
      </c>
      <c r="G47" s="12">
        <v>25.121052800000001</v>
      </c>
      <c r="H47" s="12">
        <v>14.648114700000001</v>
      </c>
      <c r="I47" s="12">
        <v>-0.46378999999999998</v>
      </c>
      <c r="J47" s="12">
        <v>1.6063019000000001</v>
      </c>
      <c r="K47" s="12">
        <v>3.4875877000000002</v>
      </c>
      <c r="L47" s="12">
        <v>3.3702388000000001</v>
      </c>
      <c r="M47" s="12">
        <v>4.8145910000000001</v>
      </c>
      <c r="N47" s="12">
        <v>10.179522199999999</v>
      </c>
      <c r="O47" s="12">
        <v>13.002550299999999</v>
      </c>
      <c r="P47" s="7">
        <v>1537.6</v>
      </c>
      <c r="Q47" s="7">
        <v>97.2</v>
      </c>
      <c r="R47" s="7">
        <v>6</v>
      </c>
      <c r="S47" s="12">
        <v>18.981434</v>
      </c>
      <c r="T47" s="12">
        <v>5.07</v>
      </c>
      <c r="U47" s="12">
        <v>88.733333299999998</v>
      </c>
      <c r="V47" s="12">
        <v>1</v>
      </c>
      <c r="W47" s="12">
        <v>1.6599041000000001</v>
      </c>
      <c r="X47" s="7" t="s">
        <v>107</v>
      </c>
      <c r="Y47" s="7" t="s">
        <v>107</v>
      </c>
      <c r="Z47" s="12">
        <v>-11.077138</v>
      </c>
      <c r="AA47" s="12">
        <v>62.577298399999997</v>
      </c>
      <c r="AB47" s="12">
        <v>16.247537900000001</v>
      </c>
      <c r="AC47" s="12">
        <v>31.151802499999999</v>
      </c>
      <c r="AD47" s="12">
        <v>60.1529934</v>
      </c>
      <c r="AE47" s="12">
        <v>70.130777300000005</v>
      </c>
      <c r="AF47" s="12">
        <v>30.198833199999999</v>
      </c>
      <c r="AG47" s="12">
        <v>13.2495002</v>
      </c>
    </row>
    <row r="48" spans="1:33" s="11" customFormat="1" hidden="1" outlineLevel="1" x14ac:dyDescent="0.3">
      <c r="A48" s="11" t="s">
        <v>54</v>
      </c>
      <c r="B48" s="12">
        <v>-1.9881508000000001</v>
      </c>
      <c r="C48" s="12">
        <v>90.23</v>
      </c>
      <c r="D48" s="12">
        <v>2.8613770999999999</v>
      </c>
      <c r="E48" s="17">
        <v>3.1666666999999999</v>
      </c>
      <c r="F48" s="13">
        <v>54.66</v>
      </c>
      <c r="G48" s="12">
        <v>13.130437300000001</v>
      </c>
      <c r="H48" s="12">
        <v>3.7016681999999999</v>
      </c>
      <c r="I48" s="12">
        <v>-8.5171790000000005</v>
      </c>
      <c r="J48" s="12">
        <v>-2.6716438999999998</v>
      </c>
      <c r="K48" s="12">
        <v>-4.4812493</v>
      </c>
      <c r="L48" s="12">
        <v>-1.1181924000000001</v>
      </c>
      <c r="M48" s="12">
        <v>-15.961321699999999</v>
      </c>
      <c r="N48" s="12">
        <v>9.9744370999999994</v>
      </c>
      <c r="O48" s="12">
        <v>-1.3232478000000001</v>
      </c>
      <c r="P48" s="7">
        <v>1507.1</v>
      </c>
      <c r="Q48" s="7">
        <v>129.80000000000001</v>
      </c>
      <c r="R48" s="7">
        <v>7.9</v>
      </c>
      <c r="S48" s="12">
        <v>13.016569199999999</v>
      </c>
      <c r="T48" s="12">
        <v>7.84</v>
      </c>
      <c r="U48" s="12">
        <v>89.666666699999993</v>
      </c>
      <c r="V48" s="12">
        <v>1</v>
      </c>
      <c r="W48" s="12">
        <v>-3.1775701999999999</v>
      </c>
      <c r="X48" s="7" t="s">
        <v>107</v>
      </c>
      <c r="Y48" s="7" t="s">
        <v>107</v>
      </c>
      <c r="Z48" s="12">
        <v>-4.5834840000000003</v>
      </c>
      <c r="AA48" s="12">
        <v>64.670283299999994</v>
      </c>
      <c r="AB48" s="12">
        <v>22.613622700000001</v>
      </c>
      <c r="AC48" s="12">
        <v>19.270644999999998</v>
      </c>
      <c r="AD48" s="12">
        <v>52.324291700000003</v>
      </c>
      <c r="AE48" s="12">
        <v>58.877637100000001</v>
      </c>
      <c r="AF48" s="12">
        <v>20.575779699999998</v>
      </c>
      <c r="AG48" s="12">
        <v>14.580788200000001</v>
      </c>
    </row>
    <row r="49" spans="1:33" s="11" customFormat="1" hidden="1" outlineLevel="1" x14ac:dyDescent="0.3">
      <c r="A49" s="11" t="s">
        <v>55</v>
      </c>
      <c r="B49" s="12">
        <v>-5.4359460999999998</v>
      </c>
      <c r="C49" s="12">
        <v>89.88</v>
      </c>
      <c r="D49" s="12">
        <v>1.6512100999999999</v>
      </c>
      <c r="E49" s="17">
        <v>1.8333333000000001</v>
      </c>
      <c r="F49" s="13">
        <v>44.433333300000001</v>
      </c>
      <c r="G49" s="12">
        <v>14.7506898</v>
      </c>
      <c r="H49" s="12">
        <v>-3.3113402000000001</v>
      </c>
      <c r="I49" s="12">
        <v>-8.2228034000000001</v>
      </c>
      <c r="J49" s="12">
        <v>-13.942500900000001</v>
      </c>
      <c r="K49" s="12">
        <v>-17.065691900000001</v>
      </c>
      <c r="L49" s="12">
        <v>1.2555478</v>
      </c>
      <c r="M49" s="12">
        <v>-69.837641099999999</v>
      </c>
      <c r="N49" s="12">
        <v>-12.8128011</v>
      </c>
      <c r="O49" s="12">
        <v>-32.701279399999997</v>
      </c>
      <c r="P49" s="7">
        <v>1433.1</v>
      </c>
      <c r="Q49" s="7">
        <v>193.9</v>
      </c>
      <c r="R49" s="7">
        <v>11.9</v>
      </c>
      <c r="S49" s="12">
        <v>1.9430111999999999</v>
      </c>
      <c r="T49" s="12">
        <v>3.12</v>
      </c>
      <c r="U49" s="12">
        <v>91.996666700000006</v>
      </c>
      <c r="V49" s="12">
        <v>1</v>
      </c>
      <c r="W49" s="12">
        <v>-13.7943389</v>
      </c>
      <c r="X49" s="12">
        <v>-23.3578039</v>
      </c>
      <c r="Y49" s="12">
        <v>-39.696743300000001</v>
      </c>
      <c r="Z49" s="12">
        <v>-2.5227453999999998</v>
      </c>
      <c r="AA49" s="12">
        <v>69.382545899999997</v>
      </c>
      <c r="AB49" s="12">
        <v>21.054197500000001</v>
      </c>
      <c r="AC49" s="12">
        <v>11.1871467</v>
      </c>
      <c r="AD49" s="12">
        <v>50.1902629</v>
      </c>
      <c r="AE49" s="12">
        <v>51.815719000000001</v>
      </c>
      <c r="AF49" s="12">
        <v>13.1137678</v>
      </c>
      <c r="AG49" s="12">
        <v>20.780012599999999</v>
      </c>
    </row>
    <row r="50" spans="1:33" s="11" customFormat="1" hidden="1" outlineLevel="1" x14ac:dyDescent="0.3">
      <c r="A50" s="11" t="s">
        <v>56</v>
      </c>
      <c r="B50" s="12">
        <v>-5.8020649999999998</v>
      </c>
      <c r="C50" s="12">
        <v>90.723333299999993</v>
      </c>
      <c r="D50" s="12">
        <v>0.90834930000000003</v>
      </c>
      <c r="E50" s="17">
        <v>1.0833333000000001</v>
      </c>
      <c r="F50" s="13">
        <v>58.696666700000002</v>
      </c>
      <c r="G50" s="12">
        <v>3.0306044999999999</v>
      </c>
      <c r="H50" s="12">
        <v>-16.1579765</v>
      </c>
      <c r="I50" s="12">
        <v>-10.4006349</v>
      </c>
      <c r="J50" s="12">
        <v>-15.733060099999999</v>
      </c>
      <c r="K50" s="12">
        <v>-17.040694899999998</v>
      </c>
      <c r="L50" s="12">
        <v>0.96730159999999998</v>
      </c>
      <c r="M50" s="12">
        <v>-56.0475207</v>
      </c>
      <c r="N50" s="12">
        <v>-21.7089648</v>
      </c>
      <c r="O50" s="12">
        <v>-33.334974699999997</v>
      </c>
      <c r="P50" s="7">
        <v>1422.4</v>
      </c>
      <c r="Q50" s="7">
        <v>223.1</v>
      </c>
      <c r="R50" s="7">
        <v>13.6</v>
      </c>
      <c r="S50" s="12">
        <v>-2.8701717000000002</v>
      </c>
      <c r="T50" s="12">
        <v>5.3</v>
      </c>
      <c r="U50" s="12">
        <v>91.8</v>
      </c>
      <c r="V50" s="12">
        <v>1</v>
      </c>
      <c r="W50" s="12">
        <v>-20.6668983</v>
      </c>
      <c r="X50" s="12">
        <v>-33.595686000000001</v>
      </c>
      <c r="Y50" s="12">
        <v>-41.959540099999998</v>
      </c>
      <c r="Z50" s="12">
        <v>-0.85172119999999996</v>
      </c>
      <c r="AA50" s="12">
        <v>66.720519199999998</v>
      </c>
      <c r="AB50" s="12">
        <v>22.643595099999999</v>
      </c>
      <c r="AC50" s="12">
        <v>13.461729200000001</v>
      </c>
      <c r="AD50" s="12">
        <v>47.4696371</v>
      </c>
      <c r="AE50" s="12">
        <v>50.295480599999998</v>
      </c>
      <c r="AF50" s="12">
        <v>4.4641764999999998</v>
      </c>
      <c r="AG50" s="12">
        <v>23.408186799999999</v>
      </c>
    </row>
    <row r="51" spans="1:33" s="11" customFormat="1" hidden="1" outlineLevel="1" x14ac:dyDescent="0.3">
      <c r="A51" s="11" t="s">
        <v>57</v>
      </c>
      <c r="B51" s="12">
        <v>-4.1677857999999999</v>
      </c>
      <c r="C51" s="12">
        <v>90.663333300000005</v>
      </c>
      <c r="D51" s="12">
        <v>0.37642540000000002</v>
      </c>
      <c r="E51" s="17">
        <v>1</v>
      </c>
      <c r="F51" s="13">
        <v>68.2</v>
      </c>
      <c r="G51" s="12">
        <v>-8.8446400000000001</v>
      </c>
      <c r="H51" s="12">
        <v>-20.158911100000001</v>
      </c>
      <c r="I51" s="12">
        <v>-5.4931188999999998</v>
      </c>
      <c r="J51" s="12">
        <v>-14.3401201</v>
      </c>
      <c r="K51" s="12">
        <v>-16.323903300000001</v>
      </c>
      <c r="L51" s="12">
        <v>-3.6375883999999998</v>
      </c>
      <c r="M51" s="12">
        <v>-41.726411400000003</v>
      </c>
      <c r="N51" s="12">
        <v>-16.004073399999999</v>
      </c>
      <c r="O51" s="12">
        <v>-28.918721600000001</v>
      </c>
      <c r="P51" s="7">
        <v>1424.2</v>
      </c>
      <c r="Q51" s="7">
        <v>228.1</v>
      </c>
      <c r="R51" s="7">
        <v>13.8</v>
      </c>
      <c r="S51" s="12">
        <v>-7.6598129000000004</v>
      </c>
      <c r="T51" s="12">
        <v>3.41</v>
      </c>
      <c r="U51" s="12">
        <v>90.86</v>
      </c>
      <c r="V51" s="12">
        <v>1</v>
      </c>
      <c r="W51" s="12">
        <v>-15.094339700000001</v>
      </c>
      <c r="X51" s="12">
        <v>-30.996801699999999</v>
      </c>
      <c r="Y51" s="12">
        <v>-37.9663951</v>
      </c>
      <c r="Z51" s="12">
        <v>1.0108865</v>
      </c>
      <c r="AA51" s="12">
        <v>69.035182899999995</v>
      </c>
      <c r="AB51" s="12">
        <v>17.997887299999999</v>
      </c>
      <c r="AC51" s="12">
        <v>15.525690300000001</v>
      </c>
      <c r="AD51" s="12">
        <v>53.179377299999999</v>
      </c>
      <c r="AE51" s="12">
        <v>55.736670699999998</v>
      </c>
      <c r="AF51" s="12">
        <v>-2.0585852</v>
      </c>
      <c r="AG51" s="12">
        <v>25.4868573</v>
      </c>
    </row>
    <row r="52" spans="1:33" s="11" customFormat="1" hidden="1" outlineLevel="1" x14ac:dyDescent="0.3">
      <c r="A52" s="11" t="s">
        <v>58</v>
      </c>
      <c r="B52" s="12">
        <v>-1.8288317999999999</v>
      </c>
      <c r="C52" s="12">
        <v>91.146666699999997</v>
      </c>
      <c r="D52" s="12">
        <v>1.0159222999999999</v>
      </c>
      <c r="E52" s="17">
        <v>1</v>
      </c>
      <c r="F52" s="13">
        <v>74.63</v>
      </c>
      <c r="G52" s="12">
        <v>-14.2174646</v>
      </c>
      <c r="H52" s="12">
        <v>-20.862300099999999</v>
      </c>
      <c r="I52" s="12">
        <v>-12.339021900000001</v>
      </c>
      <c r="J52" s="12">
        <v>-15.286929600000001</v>
      </c>
      <c r="K52" s="12">
        <v>-18.918692100000001</v>
      </c>
      <c r="L52" s="12">
        <v>-4.1249193999999996</v>
      </c>
      <c r="M52" s="12">
        <v>-53.1190341</v>
      </c>
      <c r="N52" s="12">
        <v>-3.0418845999999999</v>
      </c>
      <c r="O52" s="12">
        <v>-18.258278300000001</v>
      </c>
      <c r="P52" s="7">
        <v>1383.8</v>
      </c>
      <c r="Q52" s="7">
        <v>255.2</v>
      </c>
      <c r="R52" s="7">
        <v>15.6</v>
      </c>
      <c r="S52" s="12">
        <v>-8.6585312999999999</v>
      </c>
      <c r="T52" s="12">
        <v>1.57</v>
      </c>
      <c r="U52" s="12">
        <v>90.696666699999994</v>
      </c>
      <c r="V52" s="12">
        <v>1</v>
      </c>
      <c r="W52" s="12">
        <v>-6.3320463</v>
      </c>
      <c r="X52" s="12">
        <v>-13.5889224</v>
      </c>
      <c r="Y52" s="12">
        <v>-23.2908127</v>
      </c>
      <c r="Z52" s="12">
        <v>10.5466102</v>
      </c>
      <c r="AA52" s="12">
        <v>66.308686399999999</v>
      </c>
      <c r="AB52" s="12">
        <v>23.358587799999999</v>
      </c>
      <c r="AC52" s="12">
        <v>10.270970500000001</v>
      </c>
      <c r="AD52" s="12">
        <v>56.491090700000001</v>
      </c>
      <c r="AE52" s="12">
        <v>56.429335299999998</v>
      </c>
      <c r="AF52" s="12">
        <v>-4.3313617999999998</v>
      </c>
      <c r="AG52" s="12">
        <v>27.990110399999999</v>
      </c>
    </row>
    <row r="53" spans="1:33" s="11" customFormat="1" hidden="1" outlineLevel="1" x14ac:dyDescent="0.3">
      <c r="A53" s="11" t="s">
        <v>59</v>
      </c>
      <c r="B53" s="12">
        <v>1.1991562</v>
      </c>
      <c r="C53" s="12">
        <v>91.416666699999993</v>
      </c>
      <c r="D53" s="12">
        <v>1.709687</v>
      </c>
      <c r="E53" s="17">
        <v>1</v>
      </c>
      <c r="F53" s="13">
        <v>76.25</v>
      </c>
      <c r="G53" s="12">
        <v>-3.6343996000000001</v>
      </c>
      <c r="H53" s="12">
        <v>-5.0113021</v>
      </c>
      <c r="I53" s="12">
        <v>-8.5647006000000001</v>
      </c>
      <c r="J53" s="12">
        <v>-1.0003820000000001</v>
      </c>
      <c r="K53" s="12">
        <v>-7.3799428000000002</v>
      </c>
      <c r="L53" s="12">
        <v>-2.6472115000000001</v>
      </c>
      <c r="M53" s="12">
        <v>42.8770302</v>
      </c>
      <c r="N53" s="12">
        <v>4.7027435000000004</v>
      </c>
      <c r="O53" s="12">
        <v>4.0884384000000003</v>
      </c>
      <c r="P53" s="7">
        <v>1328.4</v>
      </c>
      <c r="Q53" s="7">
        <v>293.3</v>
      </c>
      <c r="R53" s="7">
        <v>18.100000000000001</v>
      </c>
      <c r="S53" s="12">
        <v>-7.3822443</v>
      </c>
      <c r="T53" s="12">
        <v>0.92</v>
      </c>
      <c r="U53" s="12">
        <v>91.613333299999994</v>
      </c>
      <c r="V53" s="12">
        <v>1</v>
      </c>
      <c r="W53" s="12">
        <v>-1.7871986</v>
      </c>
      <c r="X53" s="12">
        <v>9.8748868999999999</v>
      </c>
      <c r="Y53" s="12">
        <v>11.6594639</v>
      </c>
      <c r="Z53" s="12">
        <v>-0.82258039999999999</v>
      </c>
      <c r="AA53" s="12">
        <v>65.349795599999993</v>
      </c>
      <c r="AB53" s="12">
        <v>20.761801699999999</v>
      </c>
      <c r="AC53" s="12">
        <v>16.6409445</v>
      </c>
      <c r="AD53" s="12">
        <v>56.030930300000001</v>
      </c>
      <c r="AE53" s="12">
        <v>58.783472000000003</v>
      </c>
      <c r="AF53" s="12">
        <v>-4.6877890999999998</v>
      </c>
      <c r="AG53" s="12">
        <v>32.5132519</v>
      </c>
    </row>
    <row r="54" spans="1:33" s="11" customFormat="1" hidden="1" outlineLevel="1" x14ac:dyDescent="0.3">
      <c r="A54" s="11" t="s">
        <v>60</v>
      </c>
      <c r="B54" s="12">
        <v>2.6157658000000001</v>
      </c>
      <c r="C54" s="12">
        <v>92.57</v>
      </c>
      <c r="D54" s="12">
        <v>2.0354926</v>
      </c>
      <c r="E54" s="17">
        <v>1</v>
      </c>
      <c r="F54" s="13">
        <v>78.510000000000005</v>
      </c>
      <c r="G54" s="12">
        <v>-6.0470505000000001</v>
      </c>
      <c r="H54" s="12">
        <v>0.21909500000000001</v>
      </c>
      <c r="I54" s="12">
        <v>-7.5916670999999996</v>
      </c>
      <c r="J54" s="12">
        <v>1.3177331999999999</v>
      </c>
      <c r="K54" s="12">
        <v>-7.2805138999999999</v>
      </c>
      <c r="L54" s="12">
        <v>-4.6785000999999999</v>
      </c>
      <c r="M54" s="12">
        <v>41.186619399999998</v>
      </c>
      <c r="N54" s="12">
        <v>19.309701499999999</v>
      </c>
      <c r="O54" s="12">
        <v>14.5291149</v>
      </c>
      <c r="P54" s="7">
        <v>1328</v>
      </c>
      <c r="Q54" s="7">
        <v>297.2</v>
      </c>
      <c r="R54" s="7">
        <v>18.3</v>
      </c>
      <c r="S54" s="12">
        <v>-5.3760471000000001</v>
      </c>
      <c r="T54" s="12">
        <v>1</v>
      </c>
      <c r="U54" s="12">
        <v>92.2933333</v>
      </c>
      <c r="V54" s="12">
        <v>1</v>
      </c>
      <c r="W54" s="12">
        <v>3.9404553</v>
      </c>
      <c r="X54" s="12">
        <v>30.855351500000001</v>
      </c>
      <c r="Y54" s="12">
        <v>26.5905889</v>
      </c>
      <c r="Z54" s="12">
        <v>1.36869</v>
      </c>
      <c r="AA54" s="12">
        <v>61.963052400000002</v>
      </c>
      <c r="AB54" s="12">
        <v>20.833567299999999</v>
      </c>
      <c r="AC54" s="12">
        <v>18.743331999999999</v>
      </c>
      <c r="AD54" s="12">
        <v>61.527879200000001</v>
      </c>
      <c r="AE54" s="12">
        <v>63.067830899999997</v>
      </c>
      <c r="AF54" s="12">
        <v>-4.6527419999999999</v>
      </c>
      <c r="AG54" s="12">
        <v>31.816236100000001</v>
      </c>
    </row>
    <row r="55" spans="1:33" s="11" customFormat="1" hidden="1" outlineLevel="1" x14ac:dyDescent="0.3">
      <c r="A55" s="11" t="s">
        <v>61</v>
      </c>
      <c r="B55" s="12">
        <v>2.4618717000000001</v>
      </c>
      <c r="C55" s="12">
        <v>92.583333300000007</v>
      </c>
      <c r="D55" s="12">
        <v>2.1177248999999998</v>
      </c>
      <c r="E55" s="17">
        <v>1</v>
      </c>
      <c r="F55" s="13">
        <v>76.819999999999993</v>
      </c>
      <c r="G55" s="12">
        <v>-1.6655176</v>
      </c>
      <c r="H55" s="12">
        <v>4.7994960999999998</v>
      </c>
      <c r="I55" s="12">
        <v>-2.9180573999999999</v>
      </c>
      <c r="J55" s="12">
        <v>0.99423490000000003</v>
      </c>
      <c r="K55" s="12">
        <v>-1.657351</v>
      </c>
      <c r="L55" s="12">
        <v>-0.51730160000000003</v>
      </c>
      <c r="M55" s="12">
        <v>17.811437399999999</v>
      </c>
      <c r="N55" s="12">
        <v>19.535967299999999</v>
      </c>
      <c r="O55" s="12">
        <v>18.860744700000001</v>
      </c>
      <c r="P55" s="7">
        <v>1351.2</v>
      </c>
      <c r="Q55" s="7">
        <v>292</v>
      </c>
      <c r="R55" s="7">
        <v>17.8</v>
      </c>
      <c r="S55" s="12">
        <v>-2.8195313</v>
      </c>
      <c r="T55" s="12">
        <v>0.94</v>
      </c>
      <c r="U55" s="12">
        <v>92.46</v>
      </c>
      <c r="V55" s="12">
        <v>1</v>
      </c>
      <c r="W55" s="12">
        <v>7.2649572999999998</v>
      </c>
      <c r="X55" s="12">
        <v>32.911217800000003</v>
      </c>
      <c r="Y55" s="12">
        <v>30.739668300000002</v>
      </c>
      <c r="Z55" s="12">
        <v>4.0869200000000001E-2</v>
      </c>
      <c r="AA55" s="12">
        <v>64.168653399999997</v>
      </c>
      <c r="AB55" s="12">
        <v>16.380355600000001</v>
      </c>
      <c r="AC55" s="12">
        <v>21.4849125</v>
      </c>
      <c r="AD55" s="12">
        <v>65.629044300000004</v>
      </c>
      <c r="AE55" s="12">
        <v>67.662965700000001</v>
      </c>
      <c r="AF55" s="12">
        <v>-5.2191697000000001</v>
      </c>
      <c r="AG55" s="12">
        <v>34.382424100000001</v>
      </c>
    </row>
    <row r="56" spans="1:33" s="11" customFormat="1" hidden="1" outlineLevel="1" x14ac:dyDescent="0.3">
      <c r="A56" s="11" t="s">
        <v>62</v>
      </c>
      <c r="B56" s="12">
        <v>2.3931737000000002</v>
      </c>
      <c r="C56" s="12">
        <v>93.383333300000004</v>
      </c>
      <c r="D56" s="12">
        <v>2.4539203000000001</v>
      </c>
      <c r="E56" s="17">
        <v>1</v>
      </c>
      <c r="F56" s="13">
        <v>86.466666700000005</v>
      </c>
      <c r="G56" s="12">
        <v>3.8329808999999999</v>
      </c>
      <c r="H56" s="12">
        <v>12.089816799999999</v>
      </c>
      <c r="I56" s="12">
        <v>-8.7992641999999996</v>
      </c>
      <c r="J56" s="12">
        <v>5.1632008000000003</v>
      </c>
      <c r="K56" s="12">
        <v>3.8546733999999998</v>
      </c>
      <c r="L56" s="12">
        <v>-4.4490619000000002</v>
      </c>
      <c r="M56" s="12">
        <v>71.307506099999998</v>
      </c>
      <c r="N56" s="12">
        <v>20.707222099999999</v>
      </c>
      <c r="O56" s="12">
        <v>28.548472199999999</v>
      </c>
      <c r="P56" s="7">
        <v>1367.1</v>
      </c>
      <c r="Q56" s="7">
        <v>281.89999999999998</v>
      </c>
      <c r="R56" s="7">
        <v>17.100000000000001</v>
      </c>
      <c r="S56" s="12">
        <v>0.15106449999999999</v>
      </c>
      <c r="T56" s="12">
        <v>1.07</v>
      </c>
      <c r="U56" s="12">
        <v>93.336666699999995</v>
      </c>
      <c r="V56" s="12">
        <v>1</v>
      </c>
      <c r="W56" s="12">
        <v>15.4987633</v>
      </c>
      <c r="X56" s="12">
        <v>38.738834799999999</v>
      </c>
      <c r="Y56" s="12">
        <v>42.344650899999998</v>
      </c>
      <c r="Z56" s="12">
        <v>0.1633561</v>
      </c>
      <c r="AA56" s="12">
        <v>64.7796065</v>
      </c>
      <c r="AB56" s="12">
        <v>21.5767293</v>
      </c>
      <c r="AC56" s="12">
        <v>15.418617100000001</v>
      </c>
      <c r="AD56" s="12">
        <v>71.4291597</v>
      </c>
      <c r="AE56" s="12">
        <v>73.205485499999995</v>
      </c>
      <c r="AF56" s="12">
        <v>-5.3262858</v>
      </c>
      <c r="AG56" s="12">
        <v>36.209504199999998</v>
      </c>
    </row>
    <row r="57" spans="1:33" s="11" customFormat="1" hidden="1" outlineLevel="1" x14ac:dyDescent="0.3">
      <c r="A57" s="11" t="s">
        <v>63</v>
      </c>
      <c r="B57" s="12">
        <v>3.2110127999999998</v>
      </c>
      <c r="C57" s="12">
        <v>94.073333300000002</v>
      </c>
      <c r="D57" s="12">
        <v>2.9061075000000001</v>
      </c>
      <c r="E57" s="17">
        <v>1</v>
      </c>
      <c r="F57" s="13">
        <v>104.96</v>
      </c>
      <c r="G57" s="12">
        <v>2.3540046999999999</v>
      </c>
      <c r="H57" s="12">
        <v>3.3180675000000002</v>
      </c>
      <c r="I57" s="12">
        <v>-7.6575990000000003</v>
      </c>
      <c r="J57" s="12">
        <v>5.9986278999999998</v>
      </c>
      <c r="K57" s="12">
        <v>3.3581416000000002</v>
      </c>
      <c r="L57" s="12">
        <v>-1.25</v>
      </c>
      <c r="M57" s="12">
        <v>62.163039900000001</v>
      </c>
      <c r="N57" s="12">
        <v>24.5630743</v>
      </c>
      <c r="O57" s="12">
        <v>29.394551</v>
      </c>
      <c r="P57" s="7">
        <v>1340.4</v>
      </c>
      <c r="Q57" s="7">
        <v>277.60000000000002</v>
      </c>
      <c r="R57" s="7">
        <v>17.2</v>
      </c>
      <c r="S57" s="12">
        <v>1.988972</v>
      </c>
      <c r="T57" s="12">
        <v>1.1000000000000001</v>
      </c>
      <c r="U57" s="12">
        <v>94.546666700000003</v>
      </c>
      <c r="V57" s="12">
        <v>1</v>
      </c>
      <c r="W57" s="12">
        <v>12.780363899999999</v>
      </c>
      <c r="X57" s="12">
        <v>44.457065</v>
      </c>
      <c r="Y57" s="12">
        <v>47.051181399999997</v>
      </c>
      <c r="Z57" s="12">
        <v>-6.7349269999999999</v>
      </c>
      <c r="AA57" s="12">
        <v>63.710645399999997</v>
      </c>
      <c r="AB57" s="12">
        <v>19.930004199999999</v>
      </c>
      <c r="AC57" s="12">
        <v>21.3617366</v>
      </c>
      <c r="AD57" s="12">
        <v>73.572244600000005</v>
      </c>
      <c r="AE57" s="12">
        <v>78.573184699999999</v>
      </c>
      <c r="AF57" s="12">
        <v>-4.4682503000000002</v>
      </c>
      <c r="AG57" s="12">
        <v>34.204526600000001</v>
      </c>
    </row>
    <row r="58" spans="1:33" s="11" customFormat="1" hidden="1" outlineLevel="1" x14ac:dyDescent="0.3">
      <c r="A58" s="11" t="s">
        <v>64</v>
      </c>
      <c r="B58" s="12">
        <v>2.1036085</v>
      </c>
      <c r="C58" s="12">
        <v>95.516666700000002</v>
      </c>
      <c r="D58" s="12">
        <v>3.1831767000000002</v>
      </c>
      <c r="E58" s="17">
        <v>1.25</v>
      </c>
      <c r="F58" s="13">
        <v>117.36</v>
      </c>
      <c r="G58" s="12">
        <v>2.3086935999999998</v>
      </c>
      <c r="H58" s="12">
        <v>9.2365256999999996</v>
      </c>
      <c r="I58" s="12">
        <v>-4.8639716000000002</v>
      </c>
      <c r="J58" s="12">
        <v>5.3726953000000002</v>
      </c>
      <c r="K58" s="12">
        <v>5.0808314000000001</v>
      </c>
      <c r="L58" s="12">
        <v>6.1659899999999997E-2</v>
      </c>
      <c r="M58" s="12">
        <v>11.602172400000001</v>
      </c>
      <c r="N58" s="12">
        <v>17.038050599999998</v>
      </c>
      <c r="O58" s="12">
        <v>16.624387299999999</v>
      </c>
      <c r="P58" s="7">
        <v>1385.1</v>
      </c>
      <c r="Q58" s="7">
        <v>255.6</v>
      </c>
      <c r="R58" s="7">
        <v>15.6</v>
      </c>
      <c r="S58" s="12">
        <v>2.5245647</v>
      </c>
      <c r="T58" s="12">
        <v>1.43</v>
      </c>
      <c r="U58" s="12">
        <v>96.643333299999995</v>
      </c>
      <c r="V58" s="12">
        <v>1</v>
      </c>
      <c r="W58" s="12">
        <v>9.6461669000000008</v>
      </c>
      <c r="X58" s="12">
        <v>30.924024599999999</v>
      </c>
      <c r="Y58" s="12">
        <v>31.802702199999999</v>
      </c>
      <c r="Z58" s="12">
        <v>-3.4604935000000001</v>
      </c>
      <c r="AA58" s="12">
        <v>60.909193299999998</v>
      </c>
      <c r="AB58" s="12">
        <v>18.725977499999999</v>
      </c>
      <c r="AC58" s="12">
        <v>22.6547144</v>
      </c>
      <c r="AD58" s="12">
        <v>71.844052399999995</v>
      </c>
      <c r="AE58" s="12">
        <v>74.135189600000004</v>
      </c>
      <c r="AF58" s="12">
        <v>-3.6101082999999998</v>
      </c>
      <c r="AG58" s="12">
        <v>34.224324000000003</v>
      </c>
    </row>
    <row r="59" spans="1:33" s="11" customFormat="1" hidden="1" outlineLevel="1" x14ac:dyDescent="0.3">
      <c r="A59" s="11" t="s">
        <v>65</v>
      </c>
      <c r="B59" s="12">
        <v>1.8176159000000001</v>
      </c>
      <c r="C59" s="12">
        <v>95.433333300000001</v>
      </c>
      <c r="D59" s="12">
        <v>3.0783078000000001</v>
      </c>
      <c r="E59" s="17">
        <v>1.5</v>
      </c>
      <c r="F59" s="13">
        <v>113.34</v>
      </c>
      <c r="G59" s="12">
        <v>3.4354244</v>
      </c>
      <c r="H59" s="12">
        <v>9.1794214000000007</v>
      </c>
      <c r="I59" s="12">
        <v>-0.93463529999999995</v>
      </c>
      <c r="J59" s="12">
        <v>7.0459328000000001</v>
      </c>
      <c r="K59" s="12">
        <v>2.6556559000000002</v>
      </c>
      <c r="L59" s="12">
        <v>0.44269550000000002</v>
      </c>
      <c r="M59" s="12">
        <v>15.890008399999999</v>
      </c>
      <c r="N59" s="12">
        <v>13.0240235</v>
      </c>
      <c r="O59" s="12">
        <v>10.4116746</v>
      </c>
      <c r="P59" s="7">
        <v>1378.9</v>
      </c>
      <c r="Q59" s="7">
        <v>239.8</v>
      </c>
      <c r="R59" s="7">
        <v>14.8</v>
      </c>
      <c r="S59" s="12">
        <v>1.6428091</v>
      </c>
      <c r="T59" s="12">
        <v>1.52</v>
      </c>
      <c r="U59" s="12">
        <v>96.663333300000005</v>
      </c>
      <c r="V59" s="12">
        <v>1</v>
      </c>
      <c r="W59" s="12">
        <v>7.0119521000000002</v>
      </c>
      <c r="X59" s="12">
        <v>25.272444199999999</v>
      </c>
      <c r="Y59" s="12">
        <v>24.005395799999999</v>
      </c>
      <c r="Z59" s="12">
        <v>-1.5011534</v>
      </c>
      <c r="AA59" s="12">
        <v>60.1907517</v>
      </c>
      <c r="AB59" s="12">
        <v>15.5900035</v>
      </c>
      <c r="AC59" s="12">
        <v>25.703665600000001</v>
      </c>
      <c r="AD59" s="12">
        <v>72.129462500000002</v>
      </c>
      <c r="AE59" s="12">
        <v>73.6126881</v>
      </c>
      <c r="AF59" s="12">
        <v>-0.76331119999999997</v>
      </c>
      <c r="AG59" s="12">
        <v>34.773862299999998</v>
      </c>
    </row>
    <row r="60" spans="1:33" s="11" customFormat="1" hidden="1" outlineLevel="1" x14ac:dyDescent="0.3">
      <c r="A60" s="11" t="s">
        <v>66</v>
      </c>
      <c r="B60" s="12">
        <v>0.47384009999999999</v>
      </c>
      <c r="C60" s="12">
        <v>96.41</v>
      </c>
      <c r="D60" s="12">
        <v>3.2411208999999999</v>
      </c>
      <c r="E60" s="17">
        <v>1.25</v>
      </c>
      <c r="F60" s="13">
        <v>109.3966667</v>
      </c>
      <c r="G60" s="12">
        <v>34.783731099999997</v>
      </c>
      <c r="H60" s="12">
        <v>1.6834188999999999</v>
      </c>
      <c r="I60" s="12">
        <v>-22.4370364</v>
      </c>
      <c r="J60" s="12">
        <v>5.6793863</v>
      </c>
      <c r="K60" s="12">
        <v>5.9959733999999996</v>
      </c>
      <c r="L60" s="12">
        <v>-0.55004799999999998</v>
      </c>
      <c r="M60" s="12">
        <v>3.6813362999999999</v>
      </c>
      <c r="N60" s="12">
        <v>6.3879764999999997</v>
      </c>
      <c r="O60" s="12">
        <v>4.5170439</v>
      </c>
      <c r="P60" s="7">
        <v>1379.1</v>
      </c>
      <c r="Q60" s="7">
        <v>222.1</v>
      </c>
      <c r="R60" s="7">
        <v>13.9</v>
      </c>
      <c r="S60" s="12">
        <v>2.5218006000000002</v>
      </c>
      <c r="T60" s="12">
        <v>1.24</v>
      </c>
      <c r="U60" s="12">
        <v>97.0966667</v>
      </c>
      <c r="V60" s="12">
        <v>1</v>
      </c>
      <c r="W60" s="12">
        <v>-1.6773733</v>
      </c>
      <c r="X60" s="12">
        <v>14.609678300000001</v>
      </c>
      <c r="Y60" s="12">
        <v>15.3521602</v>
      </c>
      <c r="Z60" s="12">
        <v>-3.5026030000000001</v>
      </c>
      <c r="AA60" s="12">
        <v>65.063429600000006</v>
      </c>
      <c r="AB60" s="12">
        <v>19.369307800000001</v>
      </c>
      <c r="AC60" s="12">
        <v>17.9019172</v>
      </c>
      <c r="AD60" s="12">
        <v>74.097635499999996</v>
      </c>
      <c r="AE60" s="12">
        <v>76.432289999999995</v>
      </c>
      <c r="AF60" s="12">
        <v>-4.4992358000000001</v>
      </c>
      <c r="AG60" s="12">
        <v>37.133907200000003</v>
      </c>
    </row>
    <row r="61" spans="1:33" s="11" customFormat="1" hidden="1" outlineLevel="1" x14ac:dyDescent="0.3">
      <c r="A61" s="11" t="s">
        <v>67</v>
      </c>
      <c r="B61" s="12">
        <v>3.7986600000000002E-2</v>
      </c>
      <c r="C61" s="12">
        <v>96.803333300000006</v>
      </c>
      <c r="D61" s="12">
        <v>2.9019914</v>
      </c>
      <c r="E61" s="17">
        <v>1</v>
      </c>
      <c r="F61" s="13">
        <v>118.49</v>
      </c>
      <c r="G61" s="12">
        <v>1.6215643</v>
      </c>
      <c r="H61" s="12">
        <v>6.2144192</v>
      </c>
      <c r="I61" s="12">
        <v>-5.7677173000000002</v>
      </c>
      <c r="J61" s="12">
        <v>3.7619837</v>
      </c>
      <c r="K61" s="12">
        <v>6.3911496999999997</v>
      </c>
      <c r="L61" s="12">
        <v>1.7997479999999999</v>
      </c>
      <c r="M61" s="12">
        <v>-12.3773283</v>
      </c>
      <c r="N61" s="12">
        <v>7.7282308000000004</v>
      </c>
      <c r="O61" s="12">
        <v>4.2638227999999998</v>
      </c>
      <c r="P61" s="7">
        <v>1251.4000000000001</v>
      </c>
      <c r="Q61" s="7">
        <v>212.7</v>
      </c>
      <c r="R61" s="7">
        <v>14.6</v>
      </c>
      <c r="S61" s="12">
        <v>3.2100792</v>
      </c>
      <c r="T61" s="12">
        <v>0.79</v>
      </c>
      <c r="U61" s="12">
        <v>97.97</v>
      </c>
      <c r="V61" s="12">
        <v>1</v>
      </c>
      <c r="W61" s="12">
        <v>2.9268293000000001</v>
      </c>
      <c r="X61" s="12">
        <v>12.3486397</v>
      </c>
      <c r="Y61" s="12">
        <v>12.028123900000001</v>
      </c>
      <c r="Z61" s="12">
        <v>-9.4145579999999995</v>
      </c>
      <c r="AA61" s="12">
        <v>64.608037899999999</v>
      </c>
      <c r="AB61" s="12">
        <v>18.971841699999999</v>
      </c>
      <c r="AC61" s="12">
        <v>21.370166300000001</v>
      </c>
      <c r="AD61" s="12">
        <v>76.236844599999998</v>
      </c>
      <c r="AE61" s="12">
        <v>81.188224500000004</v>
      </c>
      <c r="AF61" s="12">
        <v>-4.6518420999999996</v>
      </c>
      <c r="AG61" s="12">
        <v>39.755823100000001</v>
      </c>
    </row>
    <row r="62" spans="1:33" s="11" customFormat="1" hidden="1" outlineLevel="1" x14ac:dyDescent="0.3">
      <c r="A62" s="11" t="s">
        <v>68</v>
      </c>
      <c r="B62" s="12">
        <v>-0.91019320000000004</v>
      </c>
      <c r="C62" s="12">
        <v>97.993333300000003</v>
      </c>
      <c r="D62" s="12">
        <v>2.5929156999999998</v>
      </c>
      <c r="E62" s="17">
        <v>1</v>
      </c>
      <c r="F62" s="13">
        <v>108.41666669999999</v>
      </c>
      <c r="G62" s="12">
        <v>-2.0222311999999998</v>
      </c>
      <c r="H62" s="12">
        <v>5.6844859999999997</v>
      </c>
      <c r="I62" s="12">
        <v>-2.1634327</v>
      </c>
      <c r="J62" s="12">
        <v>1.9383594</v>
      </c>
      <c r="K62" s="12">
        <v>2.6696240000000002</v>
      </c>
      <c r="L62" s="12">
        <v>0.96746359999999998</v>
      </c>
      <c r="M62" s="12">
        <v>-23.809234100000001</v>
      </c>
      <c r="N62" s="12">
        <v>2.7129840999999999</v>
      </c>
      <c r="O62" s="12">
        <v>-4.1291083999999998</v>
      </c>
      <c r="P62" s="7">
        <v>1284.0999999999999</v>
      </c>
      <c r="Q62" s="7">
        <v>196.5</v>
      </c>
      <c r="R62" s="7">
        <v>13.3</v>
      </c>
      <c r="S62" s="12">
        <v>2.1777293000000002</v>
      </c>
      <c r="T62" s="12">
        <v>0.75</v>
      </c>
      <c r="U62" s="12">
        <v>99.376666700000001</v>
      </c>
      <c r="V62" s="12">
        <v>1</v>
      </c>
      <c r="W62" s="12">
        <v>-2.8428735999999999</v>
      </c>
      <c r="X62" s="12">
        <v>5.8256657000000001</v>
      </c>
      <c r="Y62" s="12">
        <v>-1.5452166000000001</v>
      </c>
      <c r="Z62" s="12">
        <v>1.8096563000000001</v>
      </c>
      <c r="AA62" s="12">
        <v>61.672223199999998</v>
      </c>
      <c r="AB62" s="12">
        <v>18.124145500000001</v>
      </c>
      <c r="AC62" s="12">
        <v>17.291871499999999</v>
      </c>
      <c r="AD62" s="12">
        <v>72.826373700000005</v>
      </c>
      <c r="AE62" s="12">
        <v>69.915813200000002</v>
      </c>
      <c r="AF62" s="12">
        <v>-4.5618996999999997</v>
      </c>
      <c r="AG62" s="12">
        <v>38.147631599999997</v>
      </c>
    </row>
    <row r="63" spans="1:33" s="11" customFormat="1" hidden="1" outlineLevel="1" x14ac:dyDescent="0.3">
      <c r="A63" s="11" t="s">
        <v>69</v>
      </c>
      <c r="B63" s="12">
        <v>-1.0352741000000001</v>
      </c>
      <c r="C63" s="12">
        <v>97.9566667</v>
      </c>
      <c r="D63" s="12">
        <v>2.6440796999999998</v>
      </c>
      <c r="E63" s="17">
        <v>0.75</v>
      </c>
      <c r="F63" s="13">
        <v>109.61333329999999</v>
      </c>
      <c r="G63" s="12">
        <v>-1.5268809999999999</v>
      </c>
      <c r="H63" s="12">
        <v>-1.5523505</v>
      </c>
      <c r="I63" s="12">
        <v>-0.86541999999999997</v>
      </c>
      <c r="J63" s="12">
        <v>5.1834778999999997</v>
      </c>
      <c r="K63" s="12">
        <v>2.5734514000000002</v>
      </c>
      <c r="L63" s="12">
        <v>2.1407584000000002</v>
      </c>
      <c r="M63" s="12">
        <v>2.5403007</v>
      </c>
      <c r="N63" s="12">
        <v>11.658719400000001</v>
      </c>
      <c r="O63" s="12">
        <v>8.5457617999999993</v>
      </c>
      <c r="P63" s="7">
        <v>1298</v>
      </c>
      <c r="Q63" s="7">
        <v>185.5</v>
      </c>
      <c r="R63" s="7">
        <v>12.5</v>
      </c>
      <c r="S63" s="12">
        <v>2.5992438999999998</v>
      </c>
      <c r="T63" s="12">
        <v>0.56000000000000005</v>
      </c>
      <c r="U63" s="12">
        <v>99.783333299999995</v>
      </c>
      <c r="V63" s="12">
        <v>1</v>
      </c>
      <c r="W63" s="12">
        <v>6.6269546999999998</v>
      </c>
      <c r="X63" s="12">
        <v>16.062965999999999</v>
      </c>
      <c r="Y63" s="12">
        <v>12.8606452</v>
      </c>
      <c r="Z63" s="12">
        <v>-1.6116637</v>
      </c>
      <c r="AA63" s="12">
        <v>59.731797800000002</v>
      </c>
      <c r="AB63" s="12">
        <v>14.451510900000001</v>
      </c>
      <c r="AC63" s="12">
        <v>25.224151599999999</v>
      </c>
      <c r="AD63" s="12">
        <v>78.013655099999994</v>
      </c>
      <c r="AE63" s="12">
        <v>77.422229200000004</v>
      </c>
      <c r="AF63" s="12">
        <v>-5.8317098999999999</v>
      </c>
      <c r="AG63" s="12">
        <v>38.930326700000002</v>
      </c>
    </row>
    <row r="64" spans="1:33" s="11" customFormat="1" hidden="1" outlineLevel="1" x14ac:dyDescent="0.3">
      <c r="A64" s="11" t="s">
        <v>70</v>
      </c>
      <c r="B64" s="12">
        <v>-0.98067590000000004</v>
      </c>
      <c r="C64" s="12">
        <v>98.773333300000004</v>
      </c>
      <c r="D64" s="12">
        <v>2.4513362999999999</v>
      </c>
      <c r="E64" s="17">
        <v>0.75</v>
      </c>
      <c r="F64" s="13">
        <v>110.08666669999999</v>
      </c>
      <c r="G64" s="12">
        <v>-24.981379400000002</v>
      </c>
      <c r="H64" s="12">
        <v>9.0934226999999996</v>
      </c>
      <c r="I64" s="12">
        <v>-4.2901680000000004</v>
      </c>
      <c r="J64" s="12">
        <v>4.3533355</v>
      </c>
      <c r="K64" s="12">
        <v>1.0681711</v>
      </c>
      <c r="L64" s="12">
        <v>0.34728920000000002</v>
      </c>
      <c r="M64" s="12">
        <v>-13.3225926</v>
      </c>
      <c r="N64" s="12">
        <v>20.598108</v>
      </c>
      <c r="O64" s="12">
        <v>11.615909200000001</v>
      </c>
      <c r="P64" s="7">
        <v>1269.4000000000001</v>
      </c>
      <c r="Q64" s="7">
        <v>192.5</v>
      </c>
      <c r="R64" s="7">
        <v>13.2</v>
      </c>
      <c r="S64" s="12">
        <v>2.6206896999999998</v>
      </c>
      <c r="T64" s="12">
        <v>0.52</v>
      </c>
      <c r="U64" s="12">
        <v>100</v>
      </c>
      <c r="V64" s="12">
        <v>1</v>
      </c>
      <c r="W64" s="12">
        <v>8.6751362000000007</v>
      </c>
      <c r="X64" s="12">
        <v>23.133677599999999</v>
      </c>
      <c r="Y64" s="12">
        <v>14.835406000000001</v>
      </c>
      <c r="Z64" s="12">
        <v>2.0310828000000001</v>
      </c>
      <c r="AA64" s="12">
        <v>63.091526700000003</v>
      </c>
      <c r="AB64" s="12">
        <v>18.6182588</v>
      </c>
      <c r="AC64" s="12">
        <v>15.043506600000001</v>
      </c>
      <c r="AD64" s="12">
        <v>85.421804499999993</v>
      </c>
      <c r="AE64" s="12">
        <v>82.173933300000002</v>
      </c>
      <c r="AF64" s="12">
        <v>-1.8979724</v>
      </c>
      <c r="AG64" s="12">
        <v>39.7007501</v>
      </c>
    </row>
    <row r="65" spans="1:33" s="11" customFormat="1" hidden="1" outlineLevel="1" x14ac:dyDescent="0.3">
      <c r="A65" s="11" t="s">
        <v>71</v>
      </c>
      <c r="B65" s="12">
        <v>-1.6415721999999999</v>
      </c>
      <c r="C65" s="12">
        <v>98.726666699999996</v>
      </c>
      <c r="D65" s="12">
        <v>1.9868463000000001</v>
      </c>
      <c r="E65" s="17">
        <v>0.75</v>
      </c>
      <c r="F65" s="13">
        <v>112.4933333</v>
      </c>
      <c r="G65" s="12">
        <v>11.204588899999999</v>
      </c>
      <c r="H65" s="12">
        <v>-7.7738199999999993E-2</v>
      </c>
      <c r="I65" s="12">
        <v>-9.8061071000000002</v>
      </c>
      <c r="J65" s="12">
        <v>3.4163709999999998</v>
      </c>
      <c r="K65" s="12">
        <v>2.3770457999999999</v>
      </c>
      <c r="L65" s="12">
        <v>0.76610290000000003</v>
      </c>
      <c r="M65" s="12">
        <v>-25.836190500000001</v>
      </c>
      <c r="N65" s="12">
        <v>16.988913199999999</v>
      </c>
      <c r="O65" s="12">
        <v>7.8068027000000004</v>
      </c>
      <c r="P65" s="7">
        <v>1267.2</v>
      </c>
      <c r="Q65" s="7">
        <v>191.2</v>
      </c>
      <c r="R65" s="7">
        <v>13.1</v>
      </c>
      <c r="S65" s="12">
        <v>4.4338430999999998</v>
      </c>
      <c r="T65" s="12">
        <v>0.34</v>
      </c>
      <c r="U65" s="12">
        <v>100.1466667</v>
      </c>
      <c r="V65" s="12">
        <v>1</v>
      </c>
      <c r="W65" s="12">
        <v>6.3434195999999998</v>
      </c>
      <c r="X65" s="12">
        <v>17.139657799999998</v>
      </c>
      <c r="Y65" s="12">
        <v>7.3374297999999998</v>
      </c>
      <c r="Z65" s="12">
        <v>-0.42252060000000002</v>
      </c>
      <c r="AA65" s="12">
        <v>65.519207800000004</v>
      </c>
      <c r="AB65" s="12">
        <v>18.216340899999999</v>
      </c>
      <c r="AC65" s="12">
        <v>14.167401099999999</v>
      </c>
      <c r="AD65" s="12">
        <v>86.770957499999994</v>
      </c>
      <c r="AE65" s="12">
        <v>84.6764996</v>
      </c>
      <c r="AF65" s="12">
        <v>-1.8114011999999999</v>
      </c>
      <c r="AG65" s="12">
        <v>38.403801399999999</v>
      </c>
    </row>
    <row r="66" spans="1:33" s="11" customFormat="1" hidden="1" outlineLevel="1" x14ac:dyDescent="0.3">
      <c r="A66" s="11" t="s">
        <v>72</v>
      </c>
      <c r="B66" s="12">
        <v>-0.1331087</v>
      </c>
      <c r="C66" s="12">
        <v>99.533333299999995</v>
      </c>
      <c r="D66" s="12">
        <v>1.5715355</v>
      </c>
      <c r="E66" s="17">
        <v>0.58333330000000005</v>
      </c>
      <c r="F66" s="13">
        <v>102.5766667</v>
      </c>
      <c r="G66" s="12">
        <v>3.5196828999999998</v>
      </c>
      <c r="H66" s="12">
        <v>5.6518572000000002</v>
      </c>
      <c r="I66" s="12">
        <v>-1.4594218999999999</v>
      </c>
      <c r="J66" s="12">
        <v>4.0516516999999999</v>
      </c>
      <c r="K66" s="12">
        <v>4.0868830999999997</v>
      </c>
      <c r="L66" s="12">
        <v>0.89716200000000002</v>
      </c>
      <c r="M66" s="12">
        <v>3.0019960000000001</v>
      </c>
      <c r="N66" s="12">
        <v>12.077469199999999</v>
      </c>
      <c r="O66" s="12">
        <v>11.1903709</v>
      </c>
      <c r="P66" s="7">
        <v>1297.0999999999999</v>
      </c>
      <c r="Q66" s="7">
        <v>171.8</v>
      </c>
      <c r="R66" s="7">
        <v>11.7</v>
      </c>
      <c r="S66" s="12">
        <v>4.6155274999999998</v>
      </c>
      <c r="T66" s="12">
        <v>0.38</v>
      </c>
      <c r="U66" s="12">
        <v>100.7666667</v>
      </c>
      <c r="V66" s="12">
        <v>1</v>
      </c>
      <c r="W66" s="12">
        <v>8.7781731999999995</v>
      </c>
      <c r="X66" s="12">
        <v>10.5620235</v>
      </c>
      <c r="Y66" s="12">
        <v>10.5077187</v>
      </c>
      <c r="Z66" s="12">
        <v>2.0661863</v>
      </c>
      <c r="AA66" s="12">
        <v>61.663422300000001</v>
      </c>
      <c r="AB66" s="12">
        <v>17.436790599999998</v>
      </c>
      <c r="AC66" s="12">
        <v>17.809045699999999</v>
      </c>
      <c r="AD66" s="12">
        <v>76.432954199999998</v>
      </c>
      <c r="AE66" s="12">
        <v>73.342212799999999</v>
      </c>
      <c r="AF66" s="12">
        <v>-1.6111162999999999</v>
      </c>
      <c r="AG66" s="12">
        <v>38.521668400000003</v>
      </c>
    </row>
    <row r="67" spans="1:33" s="11" customFormat="1" hidden="1" outlineLevel="1" x14ac:dyDescent="0.3">
      <c r="A67" s="11" t="s">
        <v>73</v>
      </c>
      <c r="B67" s="12">
        <v>0.53477319999999995</v>
      </c>
      <c r="C67" s="12">
        <v>99.423333299999996</v>
      </c>
      <c r="D67" s="12">
        <v>1.4972605999999999</v>
      </c>
      <c r="E67" s="17">
        <v>0.5</v>
      </c>
      <c r="F67" s="13">
        <v>110.27</v>
      </c>
      <c r="G67" s="12">
        <v>3.0974894000000002</v>
      </c>
      <c r="H67" s="12">
        <v>8.9055394000000003</v>
      </c>
      <c r="I67" s="12">
        <v>0.79414200000000001</v>
      </c>
      <c r="J67" s="12">
        <v>3.1353382999999999</v>
      </c>
      <c r="K67" s="12">
        <v>6.1838220000000002</v>
      </c>
      <c r="L67" s="12">
        <v>1.0753425000000001</v>
      </c>
      <c r="M67" s="12">
        <v>-2.6540075000000001</v>
      </c>
      <c r="N67" s="12">
        <v>3.1642478000000001</v>
      </c>
      <c r="O67" s="12">
        <v>3.6119897000000001</v>
      </c>
      <c r="P67" s="7">
        <v>1308.2</v>
      </c>
      <c r="Q67" s="7">
        <v>159.6</v>
      </c>
      <c r="R67" s="7">
        <v>10.9</v>
      </c>
      <c r="S67" s="12">
        <v>6.1860894000000002</v>
      </c>
      <c r="T67" s="12">
        <v>0.28000000000000003</v>
      </c>
      <c r="U67" s="12">
        <v>100.33333330000001</v>
      </c>
      <c r="V67" s="12">
        <v>1</v>
      </c>
      <c r="W67" s="12">
        <v>0.31424580000000002</v>
      </c>
      <c r="X67" s="12">
        <v>0.98223970000000005</v>
      </c>
      <c r="Y67" s="12">
        <v>1.6112325999999999</v>
      </c>
      <c r="Z67" s="12">
        <v>1.2704173999999999</v>
      </c>
      <c r="AA67" s="12">
        <v>59.905793899999999</v>
      </c>
      <c r="AB67" s="12">
        <v>13.753239000000001</v>
      </c>
      <c r="AC67" s="12">
        <v>26.236060599999998</v>
      </c>
      <c r="AD67" s="12">
        <v>74.202448500000003</v>
      </c>
      <c r="AE67" s="12">
        <v>74.097542000000004</v>
      </c>
      <c r="AF67" s="12">
        <v>-1.2252251999999999</v>
      </c>
      <c r="AG67" s="12">
        <v>38.343869099999999</v>
      </c>
    </row>
    <row r="68" spans="1:33" s="11" customFormat="1" hidden="1" outlineLevel="1" x14ac:dyDescent="0.3">
      <c r="A68" s="11" t="s">
        <v>74</v>
      </c>
      <c r="B68" s="12">
        <v>0.83200640000000003</v>
      </c>
      <c r="C68" s="12">
        <v>99.72</v>
      </c>
      <c r="D68" s="12">
        <v>0.95842340000000004</v>
      </c>
      <c r="E68" s="17">
        <v>0.3333333</v>
      </c>
      <c r="F68" s="13">
        <v>109.21</v>
      </c>
      <c r="G68" s="12">
        <v>-3.9458753999999998</v>
      </c>
      <c r="H68" s="12">
        <v>3.7511089000000002</v>
      </c>
      <c r="I68" s="12">
        <v>-1.2356507000000001</v>
      </c>
      <c r="J68" s="12">
        <v>3.6315352999999999</v>
      </c>
      <c r="K68" s="12">
        <v>4.3112591</v>
      </c>
      <c r="L68" s="12">
        <v>6.40902E-2</v>
      </c>
      <c r="M68" s="12">
        <v>16.221046600000001</v>
      </c>
      <c r="N68" s="12">
        <v>-0.35425099999999998</v>
      </c>
      <c r="O68" s="12">
        <v>1.7800879999999999</v>
      </c>
      <c r="P68" s="7">
        <v>1298.5999999999999</v>
      </c>
      <c r="Q68" s="7">
        <v>167.2</v>
      </c>
      <c r="R68" s="7">
        <v>11.4</v>
      </c>
      <c r="S68" s="12">
        <v>4.8476701999999996</v>
      </c>
      <c r="T68" s="12">
        <v>0.27</v>
      </c>
      <c r="U68" s="12">
        <v>100.5066667</v>
      </c>
      <c r="V68" s="12">
        <v>1</v>
      </c>
      <c r="W68" s="12">
        <v>-1.9706079000000001</v>
      </c>
      <c r="X68" s="12">
        <v>-3.5447761</v>
      </c>
      <c r="Y68" s="12">
        <v>-0.65401109999999996</v>
      </c>
      <c r="Z68" s="12">
        <v>3.5592956999999998</v>
      </c>
      <c r="AA68" s="12">
        <v>62.958234300000001</v>
      </c>
      <c r="AB68" s="12">
        <v>17.632169099999999</v>
      </c>
      <c r="AC68" s="12">
        <v>18.687967700000002</v>
      </c>
      <c r="AD68" s="12">
        <v>78.6342341</v>
      </c>
      <c r="AE68" s="12">
        <v>77.912605200000002</v>
      </c>
      <c r="AF68" s="12">
        <v>-0.4368225</v>
      </c>
      <c r="AG68" s="12">
        <v>38.6729263</v>
      </c>
    </row>
    <row r="69" spans="1:33" s="11" customFormat="1" hidden="1" outlineLevel="1" x14ac:dyDescent="0.3">
      <c r="A69" s="11" t="s">
        <v>75</v>
      </c>
      <c r="B69" s="12">
        <v>1.8456245</v>
      </c>
      <c r="C69" s="12">
        <v>99.49</v>
      </c>
      <c r="D69" s="12">
        <v>0.77317840000000004</v>
      </c>
      <c r="E69" s="17">
        <v>0.25</v>
      </c>
      <c r="F69" s="13">
        <v>108.16666669999999</v>
      </c>
      <c r="G69" s="12">
        <v>-5.5208202999999996</v>
      </c>
      <c r="H69" s="12">
        <v>16.468757700000001</v>
      </c>
      <c r="I69" s="12">
        <v>-2.1716826</v>
      </c>
      <c r="J69" s="12">
        <v>4.7686662999999996</v>
      </c>
      <c r="K69" s="12">
        <v>4.1368672000000002</v>
      </c>
      <c r="L69" s="12">
        <v>4.0938099999999998E-2</v>
      </c>
      <c r="M69" s="12">
        <v>27.367988499999999</v>
      </c>
      <c r="N69" s="12">
        <v>-7.7486841999999996</v>
      </c>
      <c r="O69" s="12">
        <v>-6.2788358000000004</v>
      </c>
      <c r="P69" s="7">
        <v>1295.3</v>
      </c>
      <c r="Q69" s="7">
        <v>183.4</v>
      </c>
      <c r="R69" s="7">
        <v>12.4</v>
      </c>
      <c r="S69" s="12">
        <v>3.7171390999999998</v>
      </c>
      <c r="T69" s="12">
        <v>0.3</v>
      </c>
      <c r="U69" s="12">
        <v>100.46</v>
      </c>
      <c r="V69" s="12">
        <v>1</v>
      </c>
      <c r="W69" s="12">
        <v>-6.9934865000000004</v>
      </c>
      <c r="X69" s="12">
        <v>-10.349514599999999</v>
      </c>
      <c r="Y69" s="12">
        <v>-8.9404886000000001</v>
      </c>
      <c r="Z69" s="12">
        <v>0.80980070000000004</v>
      </c>
      <c r="AA69" s="12">
        <v>64.3309067</v>
      </c>
      <c r="AB69" s="12">
        <v>17.618966199999999</v>
      </c>
      <c r="AC69" s="12">
        <v>17.402775099999999</v>
      </c>
      <c r="AD69" s="12">
        <v>73.310777799999997</v>
      </c>
      <c r="AE69" s="12">
        <v>72.663425799999999</v>
      </c>
      <c r="AF69" s="12">
        <v>-0.40423219999999999</v>
      </c>
      <c r="AG69" s="12">
        <v>38.301809900000002</v>
      </c>
    </row>
    <row r="70" spans="1:33" s="11" customFormat="1" hidden="1" outlineLevel="1" x14ac:dyDescent="0.3">
      <c r="A70" s="11" t="s">
        <v>76</v>
      </c>
      <c r="B70" s="12">
        <v>1.1953549000000001</v>
      </c>
      <c r="C70" s="12">
        <v>100.22333329999999</v>
      </c>
      <c r="D70" s="12">
        <v>0.69323509999999999</v>
      </c>
      <c r="E70" s="17">
        <v>0.21666669999999999</v>
      </c>
      <c r="F70" s="13">
        <v>109.7</v>
      </c>
      <c r="G70" s="12">
        <v>12.263154399999999</v>
      </c>
      <c r="H70" s="12">
        <v>9.1444919000000002</v>
      </c>
      <c r="I70" s="12">
        <v>-2.5453084000000001</v>
      </c>
      <c r="J70" s="12">
        <v>4.2402132999999997</v>
      </c>
      <c r="K70" s="12">
        <v>4.3509434000000002</v>
      </c>
      <c r="L70" s="12">
        <v>0.4536656</v>
      </c>
      <c r="M70" s="12">
        <v>17.665297299999999</v>
      </c>
      <c r="N70" s="12">
        <v>0.3884841</v>
      </c>
      <c r="O70" s="12">
        <v>2.2116931000000002</v>
      </c>
      <c r="P70" s="7">
        <v>1309.2</v>
      </c>
      <c r="Q70" s="7">
        <v>165.5</v>
      </c>
      <c r="R70" s="7">
        <v>11.2</v>
      </c>
      <c r="S70" s="12">
        <v>4.5583666000000003</v>
      </c>
      <c r="T70" s="12">
        <v>0.26</v>
      </c>
      <c r="U70" s="12">
        <v>100.99666670000001</v>
      </c>
      <c r="V70" s="12">
        <v>1</v>
      </c>
      <c r="W70" s="12">
        <v>3.562341</v>
      </c>
      <c r="X70" s="12">
        <v>-1.5177016000000001</v>
      </c>
      <c r="Y70" s="12">
        <v>0.49669390000000002</v>
      </c>
      <c r="Z70" s="12">
        <v>0.74274359999999995</v>
      </c>
      <c r="AA70" s="12">
        <v>61.351272100000003</v>
      </c>
      <c r="AB70" s="12">
        <v>17.483793200000001</v>
      </c>
      <c r="AC70" s="12">
        <v>19.6696746</v>
      </c>
      <c r="AD70" s="12">
        <v>71.800718900000007</v>
      </c>
      <c r="AE70" s="12">
        <v>70.306544599999995</v>
      </c>
      <c r="AF70" s="12">
        <v>-0.4653371</v>
      </c>
      <c r="AG70" s="12">
        <v>37.599538600000002</v>
      </c>
    </row>
    <row r="71" spans="1:33" s="11" customFormat="1" hidden="1" outlineLevel="1" x14ac:dyDescent="0.3">
      <c r="A71" s="11" t="s">
        <v>77</v>
      </c>
      <c r="B71" s="12">
        <v>1.5779679</v>
      </c>
      <c r="C71" s="12">
        <v>99.91</v>
      </c>
      <c r="D71" s="12">
        <v>0.48948940000000002</v>
      </c>
      <c r="E71" s="17">
        <v>0.1166667</v>
      </c>
      <c r="F71" s="13">
        <v>101.8233333</v>
      </c>
      <c r="G71" s="12">
        <v>0.91011310000000001</v>
      </c>
      <c r="H71" s="12">
        <v>8.6291288999999995</v>
      </c>
      <c r="I71" s="12">
        <v>3.0495565999999998</v>
      </c>
      <c r="J71" s="12">
        <v>3.0285673000000002</v>
      </c>
      <c r="K71" s="12">
        <v>2.2689031000000002</v>
      </c>
      <c r="L71" s="12">
        <v>-0.2642814</v>
      </c>
      <c r="M71" s="12">
        <v>-3.1482489999999999</v>
      </c>
      <c r="N71" s="12">
        <v>0.14663880000000001</v>
      </c>
      <c r="O71" s="12">
        <v>-2.7410910999999998</v>
      </c>
      <c r="P71" s="7">
        <v>1349.2</v>
      </c>
      <c r="Q71" s="7">
        <v>135.4</v>
      </c>
      <c r="R71" s="7">
        <v>9.1</v>
      </c>
      <c r="S71" s="12">
        <v>4.3465059000000004</v>
      </c>
      <c r="T71" s="12">
        <v>0.15</v>
      </c>
      <c r="U71" s="12">
        <v>100.58333330000001</v>
      </c>
      <c r="V71" s="12">
        <v>1</v>
      </c>
      <c r="W71" s="12">
        <v>0.48729539999999999</v>
      </c>
      <c r="X71" s="12">
        <v>-1.9213369</v>
      </c>
      <c r="Y71" s="12">
        <v>-5.4748555999999997</v>
      </c>
      <c r="Z71" s="12">
        <v>7.0627689</v>
      </c>
      <c r="AA71" s="12">
        <v>58.987050199999999</v>
      </c>
      <c r="AB71" s="12">
        <v>13.8416938</v>
      </c>
      <c r="AC71" s="12">
        <v>24.5368593</v>
      </c>
      <c r="AD71" s="12">
        <v>70.074142899999998</v>
      </c>
      <c r="AE71" s="12">
        <v>67.440756399999998</v>
      </c>
      <c r="AF71" s="12">
        <v>-0.16079560000000001</v>
      </c>
      <c r="AG71" s="12">
        <v>37.503041199999998</v>
      </c>
    </row>
    <row r="72" spans="1:33" s="11" customFormat="1" hidden="1" outlineLevel="1" x14ac:dyDescent="0.3">
      <c r="A72" s="11" t="s">
        <v>78</v>
      </c>
      <c r="B72" s="12">
        <v>1.7505474000000001</v>
      </c>
      <c r="C72" s="12">
        <v>99.97</v>
      </c>
      <c r="D72" s="12">
        <v>0.25070199999999998</v>
      </c>
      <c r="E72" s="17">
        <v>0.05</v>
      </c>
      <c r="F72" s="13">
        <v>76.4033333</v>
      </c>
      <c r="G72" s="12">
        <v>0.87416199999999999</v>
      </c>
      <c r="H72" s="12">
        <v>0.94967630000000003</v>
      </c>
      <c r="I72" s="12">
        <v>-1.1825270000000001</v>
      </c>
      <c r="J72" s="12">
        <v>2.3314387999999999</v>
      </c>
      <c r="K72" s="12">
        <v>4.1794506</v>
      </c>
      <c r="L72" s="12">
        <v>0.87106899999999998</v>
      </c>
      <c r="M72" s="12">
        <v>-0.62127080000000001</v>
      </c>
      <c r="N72" s="12">
        <v>-0.39882889999999999</v>
      </c>
      <c r="O72" s="12">
        <v>3.2999199999999999E-2</v>
      </c>
      <c r="P72" s="7">
        <v>1322.4</v>
      </c>
      <c r="Q72" s="7">
        <v>147.80000000000001</v>
      </c>
      <c r="R72" s="7">
        <v>10.1</v>
      </c>
      <c r="S72" s="12">
        <v>5.4183402999999997</v>
      </c>
      <c r="T72" s="12">
        <v>0.12</v>
      </c>
      <c r="U72" s="12">
        <v>100.6866667</v>
      </c>
      <c r="V72" s="12">
        <v>1</v>
      </c>
      <c r="W72" s="12">
        <v>3.7137989999999999</v>
      </c>
      <c r="X72" s="12">
        <v>-2.7799347999999999</v>
      </c>
      <c r="Y72" s="12">
        <v>-4.9316747000000003</v>
      </c>
      <c r="Z72" s="12">
        <v>4.6644122000000001</v>
      </c>
      <c r="AA72" s="12">
        <v>63.580752199999999</v>
      </c>
      <c r="AB72" s="12">
        <v>17.8197562</v>
      </c>
      <c r="AC72" s="12">
        <v>16.2936716</v>
      </c>
      <c r="AD72" s="12">
        <v>74.1599535</v>
      </c>
      <c r="AE72" s="12">
        <v>71.854133500000003</v>
      </c>
      <c r="AF72" s="12">
        <v>-5.5519399999999997E-2</v>
      </c>
      <c r="AG72" s="12">
        <v>40.533277900000002</v>
      </c>
    </row>
    <row r="73" spans="1:33" s="11" customFormat="1" hidden="1" outlineLevel="1" x14ac:dyDescent="0.3">
      <c r="A73" s="11" t="s">
        <v>79</v>
      </c>
      <c r="B73" s="12">
        <v>2.0633189000000001</v>
      </c>
      <c r="C73" s="12">
        <v>99.203333299999997</v>
      </c>
      <c r="D73" s="12">
        <v>-0.28813620000000001</v>
      </c>
      <c r="E73" s="17">
        <v>0.05</v>
      </c>
      <c r="F73" s="13">
        <v>53.9166667</v>
      </c>
      <c r="G73" s="12">
        <v>1.7900867</v>
      </c>
      <c r="H73" s="12">
        <v>0.59766560000000002</v>
      </c>
      <c r="I73" s="12">
        <v>-2.6169020999999999</v>
      </c>
      <c r="J73" s="12">
        <v>1.4416446000000001</v>
      </c>
      <c r="K73" s="12">
        <v>3.3646262</v>
      </c>
      <c r="L73" s="12">
        <v>0.37413770000000002</v>
      </c>
      <c r="M73" s="12">
        <v>27.036618799999999</v>
      </c>
      <c r="N73" s="12">
        <v>1.8643917000000001</v>
      </c>
      <c r="O73" s="12">
        <v>9.5569456000000006</v>
      </c>
      <c r="P73" s="7">
        <v>1317.5</v>
      </c>
      <c r="Q73" s="7">
        <v>145.80000000000001</v>
      </c>
      <c r="R73" s="7">
        <v>10</v>
      </c>
      <c r="S73" s="12">
        <v>2.3361078000000002</v>
      </c>
      <c r="T73" s="12">
        <v>0.05</v>
      </c>
      <c r="U73" s="12">
        <v>99.136666700000006</v>
      </c>
      <c r="V73" s="12">
        <v>1</v>
      </c>
      <c r="W73" s="12">
        <v>4.9760413000000003</v>
      </c>
      <c r="X73" s="12">
        <v>-4.2185234999999999</v>
      </c>
      <c r="Y73" s="12">
        <v>0.1176649</v>
      </c>
      <c r="Z73" s="12">
        <v>-4.2705795999999996</v>
      </c>
      <c r="AA73" s="12">
        <v>65.160740399999995</v>
      </c>
      <c r="AB73" s="12">
        <v>18.158791999999998</v>
      </c>
      <c r="AC73" s="12">
        <v>19.202386799999999</v>
      </c>
      <c r="AD73" s="12">
        <v>70.006088700000006</v>
      </c>
      <c r="AE73" s="12">
        <v>72.529225499999995</v>
      </c>
      <c r="AF73" s="12">
        <v>0.61425730000000001</v>
      </c>
      <c r="AG73" s="12">
        <v>37.176703099999997</v>
      </c>
    </row>
    <row r="74" spans="1:33" s="11" customFormat="1" hidden="1" outlineLevel="1" x14ac:dyDescent="0.3">
      <c r="A74" s="11" t="s">
        <v>80</v>
      </c>
      <c r="B74" s="12">
        <v>2.2703967</v>
      </c>
      <c r="C74" s="12">
        <v>100.5233333</v>
      </c>
      <c r="D74" s="12">
        <v>0.29933149999999997</v>
      </c>
      <c r="E74" s="17">
        <v>0.05</v>
      </c>
      <c r="F74" s="13">
        <v>61.693333299999999</v>
      </c>
      <c r="G74" s="12">
        <v>-3.2373783</v>
      </c>
      <c r="H74" s="12">
        <v>9.1899574000000008</v>
      </c>
      <c r="I74" s="12">
        <v>1.779671</v>
      </c>
      <c r="J74" s="12">
        <v>1.7586603999999999</v>
      </c>
      <c r="K74" s="12">
        <v>3.4010775999999998</v>
      </c>
      <c r="L74" s="12">
        <v>0.3914012</v>
      </c>
      <c r="M74" s="12">
        <v>38.438735200000004</v>
      </c>
      <c r="N74" s="12">
        <v>2.6783564000000002</v>
      </c>
      <c r="O74" s="12">
        <v>13.504094200000001</v>
      </c>
      <c r="P74" s="7">
        <v>1336.3</v>
      </c>
      <c r="Q74" s="7">
        <v>138</v>
      </c>
      <c r="R74" s="7">
        <v>9.4</v>
      </c>
      <c r="S74" s="12">
        <v>2.7324158000000001</v>
      </c>
      <c r="T74" s="12">
        <v>0.05</v>
      </c>
      <c r="U74" s="12">
        <v>100.69333330000001</v>
      </c>
      <c r="V74" s="12">
        <v>1</v>
      </c>
      <c r="W74" s="12">
        <v>4.5981044999999998</v>
      </c>
      <c r="X74" s="12">
        <v>-0.84389460000000005</v>
      </c>
      <c r="Y74" s="12">
        <v>6.6382478999999996</v>
      </c>
      <c r="Z74" s="12">
        <v>-6.0628383000000001</v>
      </c>
      <c r="AA74" s="12">
        <v>61.884935300000002</v>
      </c>
      <c r="AB74" s="12">
        <v>17.6632611</v>
      </c>
      <c r="AC74" s="12">
        <v>24.167013600000001</v>
      </c>
      <c r="AD74" s="12">
        <v>69.9954094</v>
      </c>
      <c r="AE74" s="12">
        <v>73.710619300000005</v>
      </c>
      <c r="AF74" s="12">
        <v>2.2462415</v>
      </c>
      <c r="AG74" s="12">
        <v>36.9600784</v>
      </c>
    </row>
    <row r="75" spans="1:33" s="11" customFormat="1" hidden="1" outlineLevel="1" x14ac:dyDescent="0.3">
      <c r="A75" s="11" t="s">
        <v>81</v>
      </c>
      <c r="B75" s="12">
        <v>2.2457793000000001</v>
      </c>
      <c r="C75" s="12">
        <v>100.1533333</v>
      </c>
      <c r="D75" s="12">
        <v>0.24355250000000001</v>
      </c>
      <c r="E75" s="17">
        <v>0.05</v>
      </c>
      <c r="F75" s="13">
        <v>50.233333299999998</v>
      </c>
      <c r="G75" s="12">
        <v>4.9865933</v>
      </c>
      <c r="H75" s="12">
        <v>-0.63335010000000003</v>
      </c>
      <c r="I75" s="12">
        <v>1.3680646999999999</v>
      </c>
      <c r="J75" s="12">
        <v>2.2511549</v>
      </c>
      <c r="K75" s="12">
        <v>5.1316245</v>
      </c>
      <c r="L75" s="12">
        <v>0.62508490000000005</v>
      </c>
      <c r="M75" s="12">
        <v>15.5737705</v>
      </c>
      <c r="N75" s="12">
        <v>2.3732897999999998</v>
      </c>
      <c r="O75" s="12">
        <v>8.9738168999999992</v>
      </c>
      <c r="P75" s="7">
        <v>1347.4</v>
      </c>
      <c r="Q75" s="7">
        <v>122.5</v>
      </c>
      <c r="R75" s="7">
        <v>8.3000000000000007</v>
      </c>
      <c r="S75" s="12">
        <v>3.6772995000000002</v>
      </c>
      <c r="T75" s="12">
        <v>0.05</v>
      </c>
      <c r="U75" s="12">
        <v>99.893333299999995</v>
      </c>
      <c r="V75" s="12">
        <v>1</v>
      </c>
      <c r="W75" s="12">
        <v>3.2213370000000001</v>
      </c>
      <c r="X75" s="12">
        <v>-3.6181223</v>
      </c>
      <c r="Y75" s="12">
        <v>-3.1453599999999998E-2</v>
      </c>
      <c r="Z75" s="12">
        <v>-1.0847785999999999</v>
      </c>
      <c r="AA75" s="12">
        <v>60.0300066</v>
      </c>
      <c r="AB75" s="12">
        <v>14.2659731</v>
      </c>
      <c r="AC75" s="12">
        <v>25.586560200000001</v>
      </c>
      <c r="AD75" s="12">
        <v>65.996782199999998</v>
      </c>
      <c r="AE75" s="12">
        <v>65.879322099999996</v>
      </c>
      <c r="AF75" s="12">
        <v>3.2183845999999998</v>
      </c>
      <c r="AG75" s="12">
        <v>37.705278</v>
      </c>
    </row>
    <row r="76" spans="1:33" s="11" customFormat="1" hidden="1" outlineLevel="1" x14ac:dyDescent="0.3">
      <c r="A76" s="11" t="s">
        <v>82</v>
      </c>
      <c r="B76" s="12">
        <v>2.5478125</v>
      </c>
      <c r="C76" s="12">
        <v>100.1233333</v>
      </c>
      <c r="D76" s="12">
        <v>0.1533793</v>
      </c>
      <c r="E76" s="17">
        <v>0.05</v>
      </c>
      <c r="F76" s="13">
        <v>43.57</v>
      </c>
      <c r="G76" s="12">
        <v>9.8164359000000001</v>
      </c>
      <c r="H76" s="12">
        <v>7.3474697000000004</v>
      </c>
      <c r="I76" s="12">
        <v>-2.0984463999999998</v>
      </c>
      <c r="J76" s="12">
        <v>2.5608373000000002</v>
      </c>
      <c r="K76" s="12">
        <v>4.2052633999999998</v>
      </c>
      <c r="L76" s="12">
        <v>-0.76195310000000005</v>
      </c>
      <c r="M76" s="12">
        <v>11.370388699999999</v>
      </c>
      <c r="N76" s="12">
        <v>2.6950014000000002</v>
      </c>
      <c r="O76" s="12">
        <v>5.6928321000000004</v>
      </c>
      <c r="P76" s="7">
        <v>1338.5</v>
      </c>
      <c r="Q76" s="7">
        <v>129.5</v>
      </c>
      <c r="R76" s="7">
        <v>8.8000000000000007</v>
      </c>
      <c r="S76" s="12">
        <v>4.1578337999999997</v>
      </c>
      <c r="T76" s="12">
        <v>0.05</v>
      </c>
      <c r="U76" s="12">
        <v>100.27666670000001</v>
      </c>
      <c r="V76" s="12">
        <v>1</v>
      </c>
      <c r="W76" s="12">
        <v>4.8291721000000001</v>
      </c>
      <c r="X76" s="12">
        <v>-2.7897183000000001</v>
      </c>
      <c r="Y76" s="12">
        <v>-2.2287838</v>
      </c>
      <c r="Z76" s="12">
        <v>1.2381040999999999</v>
      </c>
      <c r="AA76" s="12">
        <v>63.483711599999999</v>
      </c>
      <c r="AB76" s="12">
        <v>19.066596100000002</v>
      </c>
      <c r="AC76" s="12">
        <v>15.6760796</v>
      </c>
      <c r="AD76" s="12">
        <v>69.470821999999998</v>
      </c>
      <c r="AE76" s="12">
        <v>67.696171500000005</v>
      </c>
      <c r="AF76" s="12">
        <v>5.0184942000000001</v>
      </c>
      <c r="AG76" s="12">
        <v>42.523771099999998</v>
      </c>
    </row>
    <row r="77" spans="1:33" s="11" customFormat="1" hidden="1" outlineLevel="1" x14ac:dyDescent="0.3">
      <c r="A77" s="11" t="s">
        <v>83</v>
      </c>
      <c r="B77" s="12">
        <v>1.9366078</v>
      </c>
      <c r="C77" s="12">
        <v>99.246666700000006</v>
      </c>
      <c r="D77" s="12">
        <v>4.3681400000000002E-2</v>
      </c>
      <c r="E77" s="17">
        <v>3.3333300000000003E-2</v>
      </c>
      <c r="F77" s="13">
        <v>33.696666700000002</v>
      </c>
      <c r="G77" s="12">
        <v>-1.0597146</v>
      </c>
      <c r="H77" s="12">
        <v>-0.47179700000000002</v>
      </c>
      <c r="I77" s="12">
        <v>-2.2861278999999999</v>
      </c>
      <c r="J77" s="12">
        <v>2.2688847000000001</v>
      </c>
      <c r="K77" s="12">
        <v>3.3891049999999998</v>
      </c>
      <c r="L77" s="12">
        <v>6.9889300000000001E-2</v>
      </c>
      <c r="M77" s="12">
        <v>-12.3301587</v>
      </c>
      <c r="N77" s="12">
        <v>8.8966046999999993</v>
      </c>
      <c r="O77" s="12">
        <v>5.8633737999999997</v>
      </c>
      <c r="P77" s="7">
        <v>1350.8</v>
      </c>
      <c r="Q77" s="7">
        <v>122.5</v>
      </c>
      <c r="R77" s="7">
        <v>8.4</v>
      </c>
      <c r="S77" s="12">
        <v>7.3717949000000003</v>
      </c>
      <c r="T77" s="12">
        <v>0</v>
      </c>
      <c r="U77" s="12">
        <v>99.7933333</v>
      </c>
      <c r="V77" s="12">
        <v>1</v>
      </c>
      <c r="W77" s="12">
        <v>4.9157304000000002</v>
      </c>
      <c r="X77" s="12">
        <v>2.9518691000000001</v>
      </c>
      <c r="Y77" s="12">
        <v>-1.6890247</v>
      </c>
      <c r="Z77" s="12">
        <v>-2.2137378000000001</v>
      </c>
      <c r="AA77" s="12">
        <v>65.239879900000005</v>
      </c>
      <c r="AB77" s="12">
        <v>18.0146415</v>
      </c>
      <c r="AC77" s="12">
        <v>16.0099011</v>
      </c>
      <c r="AD77" s="12">
        <v>69.103412800000001</v>
      </c>
      <c r="AE77" s="12">
        <v>68.367835400000004</v>
      </c>
      <c r="AF77" s="12">
        <v>5.8857768999999998</v>
      </c>
      <c r="AG77" s="12">
        <v>38.507684500000003</v>
      </c>
    </row>
    <row r="78" spans="1:33" s="11" customFormat="1" hidden="1" outlineLevel="1" x14ac:dyDescent="0.3">
      <c r="A78" s="11" t="s">
        <v>84</v>
      </c>
      <c r="B78" s="12">
        <v>2.4666936000000002</v>
      </c>
      <c r="C78" s="12">
        <v>100.42</v>
      </c>
      <c r="D78" s="12">
        <v>-0.10279530000000001</v>
      </c>
      <c r="E78" s="17">
        <v>0</v>
      </c>
      <c r="F78" s="13">
        <v>45.523333299999997</v>
      </c>
      <c r="G78" s="12">
        <v>-0.21879180000000001</v>
      </c>
      <c r="H78" s="12">
        <v>5.6630513000000002</v>
      </c>
      <c r="I78" s="12">
        <v>3.794597</v>
      </c>
      <c r="J78" s="12">
        <v>1.7228243999999999</v>
      </c>
      <c r="K78" s="12">
        <v>5.0221204000000004</v>
      </c>
      <c r="L78" s="12">
        <v>-1.1636276000000001</v>
      </c>
      <c r="M78" s="12">
        <v>-8.0180822999999997</v>
      </c>
      <c r="N78" s="12">
        <v>5.2466964000000003</v>
      </c>
      <c r="O78" s="12">
        <v>4.2256669999999996</v>
      </c>
      <c r="P78" s="7">
        <v>1367.7</v>
      </c>
      <c r="Q78" s="7">
        <v>119.1</v>
      </c>
      <c r="R78" s="7">
        <v>8</v>
      </c>
      <c r="S78" s="12">
        <v>8.6032244000000002</v>
      </c>
      <c r="T78" s="12">
        <v>0</v>
      </c>
      <c r="U78" s="12">
        <v>101.1333333</v>
      </c>
      <c r="V78" s="12">
        <v>1</v>
      </c>
      <c r="W78" s="12">
        <v>0.60402679999999997</v>
      </c>
      <c r="X78" s="12">
        <v>0.16777500000000001</v>
      </c>
      <c r="Y78" s="12">
        <v>-2.9459474999999999</v>
      </c>
      <c r="Z78" s="12">
        <v>-3.6857986999999999</v>
      </c>
      <c r="AA78" s="12">
        <v>62.894650400000003</v>
      </c>
      <c r="AB78" s="12">
        <v>17.6981976</v>
      </c>
      <c r="AC78" s="12">
        <v>20.777394600000001</v>
      </c>
      <c r="AD78" s="12">
        <v>67.408753099999998</v>
      </c>
      <c r="AE78" s="12">
        <v>68.778995800000004</v>
      </c>
      <c r="AF78" s="12">
        <v>7.0079317000000003</v>
      </c>
      <c r="AG78" s="12">
        <v>38.806990999999996</v>
      </c>
    </row>
    <row r="79" spans="1:33" s="11" customFormat="1" hidden="1" outlineLevel="1" x14ac:dyDescent="0.3">
      <c r="A79" s="11" t="s">
        <v>85</v>
      </c>
      <c r="B79" s="12">
        <v>1.6225508</v>
      </c>
      <c r="C79" s="12">
        <v>100.42</v>
      </c>
      <c r="D79" s="12">
        <v>0.26625840000000001</v>
      </c>
      <c r="E79" s="17">
        <v>0</v>
      </c>
      <c r="F79" s="13">
        <v>45.786666699999998</v>
      </c>
      <c r="G79" s="12">
        <v>3.5556735000000002</v>
      </c>
      <c r="H79" s="12">
        <v>3.0759474</v>
      </c>
      <c r="I79" s="12">
        <v>1.2259629000000001</v>
      </c>
      <c r="J79" s="12">
        <v>2.1106432000000002</v>
      </c>
      <c r="K79" s="12">
        <v>3.7526975999999999</v>
      </c>
      <c r="L79" s="12">
        <v>0.64821070000000003</v>
      </c>
      <c r="M79" s="12">
        <v>-0.29179329999999998</v>
      </c>
      <c r="N79" s="12">
        <v>2.270594</v>
      </c>
      <c r="O79" s="12">
        <v>1.5819007</v>
      </c>
      <c r="P79" s="7">
        <v>1368.7</v>
      </c>
      <c r="Q79" s="7">
        <v>111</v>
      </c>
      <c r="R79" s="7">
        <v>7.5</v>
      </c>
      <c r="S79" s="12">
        <v>8.4452444</v>
      </c>
      <c r="T79" s="12">
        <v>0</v>
      </c>
      <c r="U79" s="12">
        <v>100.2666667</v>
      </c>
      <c r="V79" s="12">
        <v>1</v>
      </c>
      <c r="W79" s="12">
        <v>3.3557047999999998</v>
      </c>
      <c r="X79" s="12">
        <v>0.58627339999999994</v>
      </c>
      <c r="Y79" s="12">
        <v>-1.7619560999999999</v>
      </c>
      <c r="Z79" s="12">
        <v>-0.63780630000000005</v>
      </c>
      <c r="AA79" s="12">
        <v>60.648881899999999</v>
      </c>
      <c r="AB79" s="12">
        <v>14.1529971</v>
      </c>
      <c r="AC79" s="12">
        <v>23.586418900000002</v>
      </c>
      <c r="AD79" s="12">
        <v>64.215059100000005</v>
      </c>
      <c r="AE79" s="12">
        <v>62.603357099999997</v>
      </c>
      <c r="AF79" s="12">
        <v>7.6062728000000002</v>
      </c>
      <c r="AG79" s="12">
        <v>40.2592961</v>
      </c>
    </row>
    <row r="80" spans="1:33" s="11" customFormat="1" hidden="1" outlineLevel="1" x14ac:dyDescent="0.3">
      <c r="A80" s="11" t="s">
        <v>86</v>
      </c>
      <c r="B80" s="12">
        <v>1.866331</v>
      </c>
      <c r="C80" s="12">
        <v>100.89333329999999</v>
      </c>
      <c r="D80" s="12">
        <v>0.7690515</v>
      </c>
      <c r="E80" s="17">
        <v>0</v>
      </c>
      <c r="F80" s="13">
        <v>49.186666700000004</v>
      </c>
      <c r="G80" s="12">
        <v>3.0658490999999999</v>
      </c>
      <c r="H80" s="12">
        <v>3.1757214</v>
      </c>
      <c r="I80" s="12">
        <v>-2.0229498000000001</v>
      </c>
      <c r="J80" s="12">
        <v>3.9357673000000002</v>
      </c>
      <c r="K80" s="12">
        <v>4.3822606000000004</v>
      </c>
      <c r="L80" s="12">
        <v>1.1709001999999999</v>
      </c>
      <c r="M80" s="12">
        <v>7.5029177999999996</v>
      </c>
      <c r="N80" s="12">
        <v>3.9108592999999998</v>
      </c>
      <c r="O80" s="12">
        <v>4.7040113999999997</v>
      </c>
      <c r="P80" s="7">
        <v>1358.4</v>
      </c>
      <c r="Q80" s="7">
        <v>112</v>
      </c>
      <c r="R80" s="7">
        <v>7.7</v>
      </c>
      <c r="S80" s="12">
        <v>9.2179521999999992</v>
      </c>
      <c r="T80" s="12">
        <v>0</v>
      </c>
      <c r="U80" s="12">
        <v>101.52</v>
      </c>
      <c r="V80" s="12">
        <v>1</v>
      </c>
      <c r="W80" s="12">
        <v>2.6324036</v>
      </c>
      <c r="X80" s="12">
        <v>5.6663528999999997</v>
      </c>
      <c r="Y80" s="12">
        <v>5.6430224999999998</v>
      </c>
      <c r="Z80" s="12">
        <v>1.9705212999999999</v>
      </c>
      <c r="AA80" s="12">
        <v>63.9153229</v>
      </c>
      <c r="AB80" s="12">
        <v>18.413295099999999</v>
      </c>
      <c r="AC80" s="12">
        <v>15.8700168</v>
      </c>
      <c r="AD80" s="12">
        <v>69.9693343</v>
      </c>
      <c r="AE80" s="12">
        <v>68.168958399999994</v>
      </c>
      <c r="AF80" s="12">
        <v>7.4260428000000003</v>
      </c>
      <c r="AG80" s="12">
        <v>39.719053000000002</v>
      </c>
    </row>
    <row r="81" spans="1:33" s="11" customFormat="1" hidden="1" outlineLevel="1" x14ac:dyDescent="0.3">
      <c r="A81" s="11" t="s">
        <v>87</v>
      </c>
      <c r="B81" s="12">
        <v>3.0351661999999999</v>
      </c>
      <c r="C81" s="12">
        <v>101</v>
      </c>
      <c r="D81" s="12">
        <v>1.766642</v>
      </c>
      <c r="E81" s="17">
        <v>0</v>
      </c>
      <c r="F81" s="13">
        <v>53.68</v>
      </c>
      <c r="G81" s="12">
        <v>4.4682459000000003</v>
      </c>
      <c r="H81" s="12">
        <v>13.978721200000001</v>
      </c>
      <c r="I81" s="12">
        <v>0.71183929999999995</v>
      </c>
      <c r="J81" s="12">
        <v>4.7503989000000004</v>
      </c>
      <c r="K81" s="12">
        <v>5.0835252999999998</v>
      </c>
      <c r="L81" s="12">
        <v>-4.6560400000000002E-2</v>
      </c>
      <c r="M81" s="12">
        <v>11.116743899999999</v>
      </c>
      <c r="N81" s="12">
        <v>11.7459504</v>
      </c>
      <c r="O81" s="12">
        <v>12.483045799999999</v>
      </c>
      <c r="P81" s="7">
        <v>1345.3</v>
      </c>
      <c r="Q81" s="7">
        <v>117.7</v>
      </c>
      <c r="R81" s="7">
        <v>8.1</v>
      </c>
      <c r="S81" s="12">
        <v>9.7286295999999997</v>
      </c>
      <c r="T81" s="12">
        <v>0</v>
      </c>
      <c r="U81" s="12">
        <v>102.74</v>
      </c>
      <c r="V81" s="12">
        <v>1</v>
      </c>
      <c r="W81" s="12">
        <v>6.2918339999999997</v>
      </c>
      <c r="X81" s="12">
        <v>20.3578549</v>
      </c>
      <c r="Y81" s="12">
        <v>20.785586200000001</v>
      </c>
      <c r="Z81" s="12">
        <v>-2.1612857999999999</v>
      </c>
      <c r="AA81" s="12">
        <v>64.668935700000006</v>
      </c>
      <c r="AB81" s="12">
        <v>17.279549899999999</v>
      </c>
      <c r="AC81" s="12">
        <v>17.506093</v>
      </c>
      <c r="AD81" s="12">
        <v>76.482461700000002</v>
      </c>
      <c r="AE81" s="12">
        <v>75.935966699999994</v>
      </c>
      <c r="AF81" s="12">
        <v>7.8265427000000001</v>
      </c>
      <c r="AG81" s="12">
        <v>36.341401699999999</v>
      </c>
    </row>
    <row r="82" spans="1:33" s="11" customFormat="1" hidden="1" outlineLevel="1" x14ac:dyDescent="0.3">
      <c r="A82" s="11" t="s">
        <v>88</v>
      </c>
      <c r="B82" s="12">
        <v>2.3084487</v>
      </c>
      <c r="C82" s="12">
        <v>102.11333329999999</v>
      </c>
      <c r="D82" s="12">
        <v>1.6862509999999999</v>
      </c>
      <c r="E82" s="17">
        <v>0</v>
      </c>
      <c r="F82" s="13">
        <v>49.67</v>
      </c>
      <c r="G82" s="12">
        <v>4.6534291999999997</v>
      </c>
      <c r="H82" s="12">
        <v>3.1067802000000002</v>
      </c>
      <c r="I82" s="12">
        <v>3.1493660999999999</v>
      </c>
      <c r="J82" s="12">
        <v>4.5278013000000001</v>
      </c>
      <c r="K82" s="12">
        <v>4.6071362999999996</v>
      </c>
      <c r="L82" s="12">
        <v>0.41267140000000002</v>
      </c>
      <c r="M82" s="12">
        <v>-8.2617692999999992</v>
      </c>
      <c r="N82" s="12">
        <v>13.142644900000001</v>
      </c>
      <c r="O82" s="12">
        <v>8.5934930000000005</v>
      </c>
      <c r="P82" s="7">
        <v>1362.8</v>
      </c>
      <c r="Q82" s="7">
        <v>102.2</v>
      </c>
      <c r="R82" s="7">
        <v>7</v>
      </c>
      <c r="S82" s="12">
        <v>9.0383604999999996</v>
      </c>
      <c r="T82" s="12">
        <v>0</v>
      </c>
      <c r="U82" s="12">
        <v>104.5733333</v>
      </c>
      <c r="V82" s="12">
        <v>1</v>
      </c>
      <c r="W82" s="12">
        <v>6.7044696000000004</v>
      </c>
      <c r="X82" s="12">
        <v>17.870085599999999</v>
      </c>
      <c r="Y82" s="12">
        <v>12.796597500000001</v>
      </c>
      <c r="Z82" s="12">
        <v>-1.2496426</v>
      </c>
      <c r="AA82" s="12">
        <v>63.087408199999999</v>
      </c>
      <c r="AB82" s="12">
        <v>17.175674399999998</v>
      </c>
      <c r="AC82" s="12">
        <v>17.986845899999999</v>
      </c>
      <c r="AD82" s="12">
        <v>73.787055600000002</v>
      </c>
      <c r="AE82" s="12">
        <v>72.036984099999998</v>
      </c>
      <c r="AF82" s="12">
        <v>7.5742475999999996</v>
      </c>
      <c r="AG82" s="12">
        <v>39.481932</v>
      </c>
    </row>
    <row r="83" spans="1:33" s="11" customFormat="1" hidden="1" outlineLevel="1" x14ac:dyDescent="0.3">
      <c r="A83" s="11" t="s">
        <v>89</v>
      </c>
      <c r="B83" s="12">
        <v>3.0333996999999999</v>
      </c>
      <c r="C83" s="12">
        <v>102.1166667</v>
      </c>
      <c r="D83" s="12">
        <v>1.6895705000000001</v>
      </c>
      <c r="E83" s="17">
        <v>0</v>
      </c>
      <c r="F83" s="13">
        <v>52.11</v>
      </c>
      <c r="G83" s="12">
        <v>3.6866211999999998</v>
      </c>
      <c r="H83" s="12">
        <v>6.0359945000000002</v>
      </c>
      <c r="I83" s="12">
        <v>1.8288317999999999</v>
      </c>
      <c r="J83" s="12">
        <v>3.8251895</v>
      </c>
      <c r="K83" s="12">
        <v>2.3292739</v>
      </c>
      <c r="L83" s="12">
        <v>-0.80504489999999995</v>
      </c>
      <c r="M83" s="12">
        <v>6.4463682999999996</v>
      </c>
      <c r="N83" s="12">
        <v>13.6998674</v>
      </c>
      <c r="O83" s="12">
        <v>11.8469766</v>
      </c>
      <c r="P83" s="7">
        <v>1358.8</v>
      </c>
      <c r="Q83" s="7">
        <v>95.5</v>
      </c>
      <c r="R83" s="7">
        <v>6.6</v>
      </c>
      <c r="S83" s="12">
        <v>7.5833013999999999</v>
      </c>
      <c r="T83" s="12">
        <v>0</v>
      </c>
      <c r="U83" s="12">
        <v>104.73</v>
      </c>
      <c r="V83" s="12">
        <v>1</v>
      </c>
      <c r="W83" s="12">
        <v>7.1753245999999997</v>
      </c>
      <c r="X83" s="12">
        <v>16.884989999999998</v>
      </c>
      <c r="Y83" s="12">
        <v>15.0866276</v>
      </c>
      <c r="Z83" s="12">
        <v>0.86509420000000004</v>
      </c>
      <c r="AA83" s="12">
        <v>59.070831200000001</v>
      </c>
      <c r="AB83" s="12">
        <v>13.583986599999999</v>
      </c>
      <c r="AC83" s="12">
        <v>24.584039000000001</v>
      </c>
      <c r="AD83" s="12">
        <v>68.623531299999996</v>
      </c>
      <c r="AE83" s="12">
        <v>65.862387999999996</v>
      </c>
      <c r="AF83" s="12">
        <v>7.8326245999999999</v>
      </c>
      <c r="AG83" s="12">
        <v>38.032656600000003</v>
      </c>
    </row>
    <row r="84" spans="1:33" s="11" customFormat="1" hidden="1" outlineLevel="1" x14ac:dyDescent="0.3">
      <c r="A84" s="11" t="s">
        <v>90</v>
      </c>
      <c r="B84" s="12">
        <v>2.9900169999999999</v>
      </c>
      <c r="C84" s="12">
        <v>102.6233333</v>
      </c>
      <c r="D84" s="12">
        <v>1.7146821999999999</v>
      </c>
      <c r="E84" s="17">
        <v>0</v>
      </c>
      <c r="F84" s="13">
        <v>61.53</v>
      </c>
      <c r="G84" s="12">
        <v>8.4893947000000001</v>
      </c>
      <c r="H84" s="12">
        <v>2.8130548000000002</v>
      </c>
      <c r="I84" s="12">
        <v>-3.9006899000000002</v>
      </c>
      <c r="J84" s="12">
        <v>4.1200269</v>
      </c>
      <c r="K84" s="12">
        <v>2.5548593999999998</v>
      </c>
      <c r="L84" s="12">
        <v>-1.0371869</v>
      </c>
      <c r="M84" s="12">
        <v>0.50147339999999996</v>
      </c>
      <c r="N84" s="12">
        <v>15.265480500000001</v>
      </c>
      <c r="O84" s="12">
        <v>11.793095599999999</v>
      </c>
      <c r="P84" s="7">
        <v>1352.3</v>
      </c>
      <c r="Q84" s="7">
        <v>97.1</v>
      </c>
      <c r="R84" s="7">
        <v>6.7</v>
      </c>
      <c r="S84" s="12">
        <v>7.8248030999999996</v>
      </c>
      <c r="T84" s="12">
        <v>0</v>
      </c>
      <c r="U84" s="12">
        <v>105.64333329999999</v>
      </c>
      <c r="V84" s="12">
        <v>1</v>
      </c>
      <c r="W84" s="12">
        <v>7.4503816</v>
      </c>
      <c r="X84" s="12">
        <v>18.584233399999999</v>
      </c>
      <c r="Y84" s="12">
        <v>15.495124199999999</v>
      </c>
      <c r="Z84" s="12">
        <v>4.1712055000000001</v>
      </c>
      <c r="AA84" s="12">
        <v>62.534495300000003</v>
      </c>
      <c r="AB84" s="12">
        <v>17.457334800000002</v>
      </c>
      <c r="AC84" s="12">
        <v>16.116557700000001</v>
      </c>
      <c r="AD84" s="12">
        <v>76.141067500000005</v>
      </c>
      <c r="AE84" s="12">
        <v>72.249455299999994</v>
      </c>
      <c r="AF84" s="12">
        <v>7.1853195000000003</v>
      </c>
      <c r="AG84" s="12">
        <v>39.124284799999998</v>
      </c>
    </row>
    <row r="85" spans="1:33" s="11" customFormat="1" hidden="1" outlineLevel="1" x14ac:dyDescent="0.3">
      <c r="A85" s="11" t="s">
        <v>91</v>
      </c>
      <c r="B85" s="12">
        <v>2.2828298</v>
      </c>
      <c r="C85" s="12">
        <v>102.5466667</v>
      </c>
      <c r="D85" s="12">
        <v>1.5313532000000001</v>
      </c>
      <c r="E85" s="17">
        <v>0</v>
      </c>
      <c r="F85" s="13">
        <v>66.806666699999994</v>
      </c>
      <c r="G85" s="12">
        <v>7.5604617000000003</v>
      </c>
      <c r="H85" s="12">
        <v>6.3585951999999999</v>
      </c>
      <c r="I85" s="12">
        <v>0.3225806</v>
      </c>
      <c r="J85" s="12">
        <v>3.9191232</v>
      </c>
      <c r="K85" s="12">
        <v>2.8230780000000002</v>
      </c>
      <c r="L85" s="12">
        <v>0.24455569999999999</v>
      </c>
      <c r="M85" s="12">
        <v>8.7205891999999992</v>
      </c>
      <c r="N85" s="12">
        <v>7.7612411000000003</v>
      </c>
      <c r="O85" s="12">
        <v>6.8291437000000004</v>
      </c>
      <c r="P85" s="7">
        <v>1347.1</v>
      </c>
      <c r="Q85" s="7">
        <v>103.9</v>
      </c>
      <c r="R85" s="7">
        <v>7.2</v>
      </c>
      <c r="S85" s="12">
        <v>9.7811301999999998</v>
      </c>
      <c r="T85" s="12">
        <v>0</v>
      </c>
      <c r="U85" s="12">
        <v>105.91666669999999</v>
      </c>
      <c r="V85" s="12">
        <v>1</v>
      </c>
      <c r="W85" s="12">
        <v>7.4307303999999998</v>
      </c>
      <c r="X85" s="12">
        <v>8.3343862000000009</v>
      </c>
      <c r="Y85" s="12">
        <v>9.0221418</v>
      </c>
      <c r="Z85" s="12">
        <v>-2.0932786999999999</v>
      </c>
      <c r="AA85" s="12">
        <v>63.969839200000003</v>
      </c>
      <c r="AB85" s="12">
        <v>17.024867700000001</v>
      </c>
      <c r="AC85" s="12">
        <v>18.9403775</v>
      </c>
      <c r="AD85" s="12">
        <v>77.071806699999996</v>
      </c>
      <c r="AE85" s="12">
        <v>77.006890999999996</v>
      </c>
      <c r="AF85" s="12">
        <v>6.8814247000000002</v>
      </c>
      <c r="AG85" s="12">
        <v>33.617341000000003</v>
      </c>
    </row>
    <row r="86" spans="1:33" s="11" customFormat="1" hidden="1" outlineLevel="1" x14ac:dyDescent="0.3">
      <c r="A86" s="11" t="s">
        <v>92</v>
      </c>
      <c r="B86" s="12">
        <v>2.5023559999999998</v>
      </c>
      <c r="C86" s="12">
        <v>104.0133333</v>
      </c>
      <c r="D86" s="12">
        <v>1.8606777000000001</v>
      </c>
      <c r="E86" s="17">
        <v>0</v>
      </c>
      <c r="F86" s="13">
        <v>74.5</v>
      </c>
      <c r="G86" s="12">
        <v>7.3827261000000002</v>
      </c>
      <c r="H86" s="12">
        <v>10.648295600000001</v>
      </c>
      <c r="I86" s="12">
        <v>4.2313891000000003</v>
      </c>
      <c r="J86" s="12">
        <v>4.4125323999999999</v>
      </c>
      <c r="K86" s="12">
        <v>4.0126698999999997</v>
      </c>
      <c r="L86" s="12">
        <v>0.26592529999999998</v>
      </c>
      <c r="M86" s="12">
        <v>3.5188630999999999</v>
      </c>
      <c r="N86" s="12">
        <v>5.9386695999999999</v>
      </c>
      <c r="O86" s="12">
        <v>4.3155899</v>
      </c>
      <c r="P86" s="7">
        <v>1370.9</v>
      </c>
      <c r="Q86" s="7">
        <v>86</v>
      </c>
      <c r="R86" s="7">
        <v>5.9</v>
      </c>
      <c r="S86" s="12">
        <v>10.698795199999999</v>
      </c>
      <c r="T86" s="12">
        <v>0</v>
      </c>
      <c r="U86" s="12">
        <v>107.22333329999999</v>
      </c>
      <c r="V86" s="12">
        <v>1</v>
      </c>
      <c r="W86" s="12">
        <v>5.2829009999999998</v>
      </c>
      <c r="X86" s="12">
        <v>8.6099987000000002</v>
      </c>
      <c r="Y86" s="12">
        <v>9.5865582000000007</v>
      </c>
      <c r="Z86" s="12">
        <v>-1.5232292000000001</v>
      </c>
      <c r="AA86" s="12">
        <v>62.4692255</v>
      </c>
      <c r="AB86" s="12">
        <v>17.010573999999998</v>
      </c>
      <c r="AC86" s="12">
        <v>19.417630500000001</v>
      </c>
      <c r="AD86" s="12">
        <v>74.456685399999998</v>
      </c>
      <c r="AE86" s="12">
        <v>73.355001000000001</v>
      </c>
      <c r="AF86" s="12">
        <v>7.0177877000000004</v>
      </c>
      <c r="AG86" s="12">
        <v>33.261415999999997</v>
      </c>
    </row>
    <row r="87" spans="1:33" s="11" customFormat="1" hidden="1" outlineLevel="1" x14ac:dyDescent="0.3">
      <c r="A87" s="11" t="s">
        <v>93</v>
      </c>
      <c r="B87" s="12">
        <v>1.7229988000000001</v>
      </c>
      <c r="C87" s="12">
        <v>104.3666667</v>
      </c>
      <c r="D87" s="12">
        <v>2.2033621999999999</v>
      </c>
      <c r="E87" s="17">
        <v>0</v>
      </c>
      <c r="F87" s="13">
        <v>75.223333299999993</v>
      </c>
      <c r="G87" s="12">
        <v>14.0059311</v>
      </c>
      <c r="H87" s="12">
        <v>11.3819015</v>
      </c>
      <c r="I87" s="12">
        <v>1.2212183000000001</v>
      </c>
      <c r="J87" s="12">
        <v>3.4502050999999998</v>
      </c>
      <c r="K87" s="12">
        <v>4.6254344999999999</v>
      </c>
      <c r="L87" s="12">
        <v>0.23671039999999999</v>
      </c>
      <c r="M87" s="12">
        <v>-4.0245905000000004</v>
      </c>
      <c r="N87" s="12">
        <v>7.9964636999999996</v>
      </c>
      <c r="O87" s="12">
        <v>5.9909105</v>
      </c>
      <c r="P87" s="7">
        <v>1404.9</v>
      </c>
      <c r="Q87" s="7">
        <v>82.9</v>
      </c>
      <c r="R87" s="7">
        <v>5.6</v>
      </c>
      <c r="S87" s="12">
        <v>10.0984929</v>
      </c>
      <c r="T87" s="12">
        <v>0</v>
      </c>
      <c r="U87" s="12">
        <v>107.0133333</v>
      </c>
      <c r="V87" s="12">
        <v>1</v>
      </c>
      <c r="W87" s="12">
        <v>3.8776128999999999</v>
      </c>
      <c r="X87" s="12">
        <v>13.8644719</v>
      </c>
      <c r="Y87" s="12">
        <v>13.339517600000001</v>
      </c>
      <c r="Z87" s="12">
        <v>0.62048420000000004</v>
      </c>
      <c r="AA87" s="12">
        <v>59.415889</v>
      </c>
      <c r="AB87" s="12">
        <v>13.967478099999999</v>
      </c>
      <c r="AC87" s="12">
        <v>23.338929199999999</v>
      </c>
      <c r="AD87" s="12">
        <v>73.659869299999997</v>
      </c>
      <c r="AE87" s="12">
        <v>70.381342700000005</v>
      </c>
      <c r="AF87" s="12">
        <v>6.5958528999999997</v>
      </c>
      <c r="AG87" s="12">
        <v>33.728073299999998</v>
      </c>
    </row>
    <row r="88" spans="1:33" s="11" customFormat="1" hidden="1" outlineLevel="1" x14ac:dyDescent="0.3">
      <c r="A88" s="11" t="s">
        <v>94</v>
      </c>
      <c r="B88" s="12">
        <v>1.7730376000000001</v>
      </c>
      <c r="C88" s="12">
        <v>104.64</v>
      </c>
      <c r="D88" s="12">
        <v>1.9651152000000001</v>
      </c>
      <c r="E88" s="17">
        <v>0</v>
      </c>
      <c r="F88" s="13">
        <v>67.713333300000002</v>
      </c>
      <c r="G88" s="12">
        <v>11.5159029</v>
      </c>
      <c r="H88" s="12">
        <v>13.252756</v>
      </c>
      <c r="I88" s="12">
        <v>-3.4315758000000001</v>
      </c>
      <c r="J88" s="12">
        <v>4.2240755999999999</v>
      </c>
      <c r="K88" s="12">
        <v>3.2694285000000001</v>
      </c>
      <c r="L88" s="12">
        <v>9.5858899999999997E-2</v>
      </c>
      <c r="M88" s="12">
        <v>16.131687199999998</v>
      </c>
      <c r="N88" s="12">
        <v>5.6647483000000003</v>
      </c>
      <c r="O88" s="12">
        <v>6.9848645999999999</v>
      </c>
      <c r="P88" s="7">
        <v>1376</v>
      </c>
      <c r="Q88" s="7">
        <v>87.4</v>
      </c>
      <c r="R88" s="7">
        <v>6</v>
      </c>
      <c r="S88" s="12">
        <v>9.7329986000000002</v>
      </c>
      <c r="T88" s="12">
        <v>0</v>
      </c>
      <c r="U88" s="12">
        <v>108.10666670000001</v>
      </c>
      <c r="V88" s="12">
        <v>1</v>
      </c>
      <c r="W88" s="12">
        <v>5.6834328000000003</v>
      </c>
      <c r="X88" s="12">
        <v>9.1383811999999995</v>
      </c>
      <c r="Y88" s="12">
        <v>11.281568</v>
      </c>
      <c r="Z88" s="12">
        <v>3.6189939</v>
      </c>
      <c r="AA88" s="12">
        <v>60.474682000000001</v>
      </c>
      <c r="AB88" s="12">
        <v>17.6546199</v>
      </c>
      <c r="AC88" s="12">
        <v>19.406067</v>
      </c>
      <c r="AD88" s="12">
        <v>75.914285199999995</v>
      </c>
      <c r="AE88" s="12">
        <v>73.448824900000005</v>
      </c>
      <c r="AF88" s="12">
        <v>8.0179272000000008</v>
      </c>
      <c r="AG88" s="12">
        <v>33.6628203</v>
      </c>
    </row>
    <row r="89" spans="1:33" s="11" customFormat="1" hidden="1" outlineLevel="1" x14ac:dyDescent="0.3">
      <c r="A89" s="11" t="s">
        <v>95</v>
      </c>
      <c r="B89" s="12">
        <v>1.9308453999999999</v>
      </c>
      <c r="C89" s="12">
        <v>104.17</v>
      </c>
      <c r="D89" s="12">
        <v>1.5830191</v>
      </c>
      <c r="E89" s="17">
        <v>0</v>
      </c>
      <c r="F89" s="13">
        <v>63.17</v>
      </c>
      <c r="G89" s="12">
        <v>10.6254203</v>
      </c>
      <c r="H89" s="12">
        <v>9.9988413999999999</v>
      </c>
      <c r="I89" s="12">
        <v>0.1303395</v>
      </c>
      <c r="J89" s="12">
        <v>5.0170988999999997</v>
      </c>
      <c r="K89" s="12">
        <v>2.4423564</v>
      </c>
      <c r="L89" s="12">
        <v>-8.1319699999999995E-2</v>
      </c>
      <c r="M89" s="12">
        <v>-3.7227983999999998</v>
      </c>
      <c r="N89" s="12">
        <v>11.0435488</v>
      </c>
      <c r="O89" s="12">
        <v>5.5413911000000002</v>
      </c>
      <c r="P89" s="7">
        <v>1374</v>
      </c>
      <c r="Q89" s="7">
        <v>95.1</v>
      </c>
      <c r="R89" s="7">
        <v>6.5</v>
      </c>
      <c r="S89" s="12">
        <v>9.4</v>
      </c>
      <c r="T89" s="12">
        <v>0</v>
      </c>
      <c r="U89" s="12">
        <v>108.11333329999999</v>
      </c>
      <c r="V89" s="12">
        <v>1</v>
      </c>
      <c r="W89" s="12">
        <v>3.8980071000000001</v>
      </c>
      <c r="X89" s="12">
        <v>13.1822423</v>
      </c>
      <c r="Y89" s="12">
        <v>7.1536955000000004</v>
      </c>
      <c r="Z89" s="12">
        <v>2.5651929</v>
      </c>
      <c r="AA89" s="12">
        <v>61.857661800000002</v>
      </c>
      <c r="AB89" s="12">
        <v>18.0469407</v>
      </c>
      <c r="AC89" s="12">
        <v>15.7294854</v>
      </c>
      <c r="AD89" s="12">
        <v>80.741179000000002</v>
      </c>
      <c r="AE89" s="12">
        <v>76.3752669</v>
      </c>
      <c r="AF89" s="12">
        <v>7.9969383000000001</v>
      </c>
      <c r="AG89" s="12">
        <v>31.732136100000002</v>
      </c>
    </row>
    <row r="90" spans="1:33" s="11" customFormat="1" hidden="1" outlineLevel="1" x14ac:dyDescent="0.3">
      <c r="A90" s="11" t="s">
        <v>96</v>
      </c>
      <c r="B90" s="12">
        <v>1.5959346999999999</v>
      </c>
      <c r="C90" s="12">
        <v>105.7566667</v>
      </c>
      <c r="D90" s="12">
        <v>1.6760672000000001</v>
      </c>
      <c r="E90" s="17">
        <v>0</v>
      </c>
      <c r="F90" s="13">
        <v>68.923333299999996</v>
      </c>
      <c r="G90" s="12">
        <v>12.9698382</v>
      </c>
      <c r="H90" s="12">
        <v>8.6782312000000008</v>
      </c>
      <c r="I90" s="12">
        <v>2.9650259999999999</v>
      </c>
      <c r="J90" s="12">
        <v>4.6181747</v>
      </c>
      <c r="K90" s="12">
        <v>2.9458123999999999</v>
      </c>
      <c r="L90" s="12">
        <v>-0.24713679999999999</v>
      </c>
      <c r="M90" s="12">
        <v>6.9292368</v>
      </c>
      <c r="N90" s="12">
        <v>10.285494699999999</v>
      </c>
      <c r="O90" s="12">
        <v>8.3549001999999994</v>
      </c>
      <c r="P90" s="7">
        <v>1382.2</v>
      </c>
      <c r="Q90" s="7">
        <v>90.2</v>
      </c>
      <c r="R90" s="7">
        <v>6.2</v>
      </c>
      <c r="S90" s="12">
        <v>7.9</v>
      </c>
      <c r="T90" s="12">
        <v>0</v>
      </c>
      <c r="U90" s="12">
        <v>109.9566667</v>
      </c>
      <c r="V90" s="12">
        <v>1</v>
      </c>
      <c r="W90" s="12">
        <v>5.1068882999999996</v>
      </c>
      <c r="X90" s="12">
        <v>12.344930099999999</v>
      </c>
      <c r="Y90" s="12">
        <v>8.8481366000000001</v>
      </c>
      <c r="Z90" s="12">
        <v>0.2760456</v>
      </c>
      <c r="AA90" s="12">
        <v>61.207371000000002</v>
      </c>
      <c r="AB90" s="12">
        <v>17.631594100000001</v>
      </c>
      <c r="AC90" s="12">
        <v>17.632415600000002</v>
      </c>
      <c r="AD90" s="12">
        <v>77.600867600000001</v>
      </c>
      <c r="AE90" s="12">
        <v>74.072248400000007</v>
      </c>
      <c r="AF90" s="12">
        <v>7.9621693999999996</v>
      </c>
      <c r="AG90" s="12">
        <v>34.319800999999998</v>
      </c>
    </row>
    <row r="91" spans="1:33" s="11" customFormat="1" hidden="1" outlineLevel="1" x14ac:dyDescent="0.3">
      <c r="A91" s="11" t="s">
        <v>97</v>
      </c>
      <c r="B91" s="12">
        <v>2.3612953000000001</v>
      </c>
      <c r="C91" s="12">
        <v>105.74</v>
      </c>
      <c r="D91" s="12">
        <v>1.3158734999999999</v>
      </c>
      <c r="E91" s="17">
        <v>0</v>
      </c>
      <c r="F91" s="13">
        <v>61.93</v>
      </c>
      <c r="G91" s="12">
        <v>8.4593290999999997</v>
      </c>
      <c r="H91" s="12">
        <v>4.5688981999999996</v>
      </c>
      <c r="I91" s="12">
        <v>8.8749499999999995E-2</v>
      </c>
      <c r="J91" s="12">
        <v>4.5817559000000001</v>
      </c>
      <c r="K91" s="12">
        <v>2.4737130999999999</v>
      </c>
      <c r="L91" s="12">
        <v>-0.62748800000000005</v>
      </c>
      <c r="M91" s="12">
        <v>5.1402426999999999</v>
      </c>
      <c r="N91" s="12">
        <v>10.849705800000001</v>
      </c>
      <c r="O91" s="12">
        <v>8.6674185000000001</v>
      </c>
      <c r="P91" s="7">
        <v>1378.1</v>
      </c>
      <c r="Q91" s="7">
        <v>88.9</v>
      </c>
      <c r="R91" s="7">
        <v>6.1</v>
      </c>
      <c r="S91" s="12">
        <v>9.1999999999999993</v>
      </c>
      <c r="T91" s="12">
        <v>0</v>
      </c>
      <c r="U91" s="12">
        <v>109.52</v>
      </c>
      <c r="V91" s="12">
        <v>1</v>
      </c>
      <c r="W91" s="12">
        <v>3.8786817999999998</v>
      </c>
      <c r="X91" s="12">
        <v>9.2537146999999997</v>
      </c>
      <c r="Y91" s="12">
        <v>5.6602671000000004</v>
      </c>
      <c r="Z91" s="12">
        <v>3.1980414000000001</v>
      </c>
      <c r="AA91" s="12">
        <v>57.968708100000001</v>
      </c>
      <c r="AB91" s="12">
        <v>14.4317356</v>
      </c>
      <c r="AC91" s="12">
        <v>21.917294699999999</v>
      </c>
      <c r="AD91" s="12">
        <v>74.819631999999999</v>
      </c>
      <c r="AE91" s="12">
        <v>69.138135500000004</v>
      </c>
      <c r="AF91" s="12">
        <v>7.9517024999999997</v>
      </c>
      <c r="AG91" s="12">
        <v>34.7195216</v>
      </c>
    </row>
    <row r="92" spans="1:33" s="11" customFormat="1" hidden="1" outlineLevel="1" x14ac:dyDescent="0.3">
      <c r="A92" s="11" t="s">
        <v>98</v>
      </c>
      <c r="B92" s="12">
        <v>1.3592039</v>
      </c>
      <c r="C92" s="12">
        <v>106.0066667</v>
      </c>
      <c r="D92" s="12">
        <v>1.3060653</v>
      </c>
      <c r="E92" s="17">
        <v>0</v>
      </c>
      <c r="F92" s="13">
        <v>63.41</v>
      </c>
      <c r="G92" s="12">
        <v>9.0930470999999997</v>
      </c>
      <c r="H92" s="12">
        <v>16.217103699999999</v>
      </c>
      <c r="I92" s="12">
        <v>-1.1450589</v>
      </c>
      <c r="J92" s="12">
        <v>4.4904529000000002</v>
      </c>
      <c r="K92" s="12">
        <v>2.9162146</v>
      </c>
      <c r="L92" s="12">
        <v>-0.20430309999999999</v>
      </c>
      <c r="M92" s="12">
        <v>-11.082565600000001</v>
      </c>
      <c r="N92" s="12">
        <v>8.2562137999999994</v>
      </c>
      <c r="O92" s="12">
        <v>1.661583</v>
      </c>
      <c r="P92" s="7">
        <v>1379.4</v>
      </c>
      <c r="Q92" s="7">
        <v>93.7</v>
      </c>
      <c r="R92" s="7">
        <v>6.4</v>
      </c>
      <c r="S92" s="12">
        <v>8.6</v>
      </c>
      <c r="T92" s="12">
        <v>0</v>
      </c>
      <c r="U92" s="12">
        <v>110.2733333</v>
      </c>
      <c r="V92" s="12">
        <v>1</v>
      </c>
      <c r="W92" s="12">
        <v>-0.2688895</v>
      </c>
      <c r="X92" s="12">
        <v>7.6970134000000003</v>
      </c>
      <c r="Y92" s="12">
        <v>0.51372379999999995</v>
      </c>
      <c r="Z92" s="12">
        <v>7.7805084000000004</v>
      </c>
      <c r="AA92" s="12">
        <v>59.405840900000001</v>
      </c>
      <c r="AB92" s="12">
        <v>17.7177899</v>
      </c>
      <c r="AC92" s="12">
        <v>15.4617836</v>
      </c>
      <c r="AD92" s="12">
        <v>76.431323599999999</v>
      </c>
      <c r="AE92" s="12">
        <v>69.016737899999995</v>
      </c>
      <c r="AF92" s="12">
        <v>7.8044935000000004</v>
      </c>
      <c r="AG92" s="12">
        <v>35.7973578</v>
      </c>
    </row>
    <row r="93" spans="1:33" s="11" customFormat="1" hidden="1" outlineLevel="1" x14ac:dyDescent="0.3">
      <c r="A93" s="11" t="s">
        <v>99</v>
      </c>
      <c r="B93" s="12">
        <v>-2.2061226999999999</v>
      </c>
      <c r="C93" s="12">
        <v>105.74666670000001</v>
      </c>
      <c r="D93" s="12">
        <v>1.5135516</v>
      </c>
      <c r="E93" s="17">
        <v>0</v>
      </c>
      <c r="F93" s="13">
        <v>50.44</v>
      </c>
      <c r="G93" s="12">
        <v>15.120919799999999</v>
      </c>
      <c r="H93" s="12">
        <v>4.6002739000000004</v>
      </c>
      <c r="I93" s="12">
        <v>-3.3591278</v>
      </c>
      <c r="J93" s="12">
        <v>2.9398677000000002</v>
      </c>
      <c r="K93" s="12">
        <v>-0.26183119999999999</v>
      </c>
      <c r="L93" s="12">
        <v>-1.2731078</v>
      </c>
      <c r="M93" s="12">
        <v>-5.9775840999999996</v>
      </c>
      <c r="N93" s="12">
        <v>6.3625579999999999</v>
      </c>
      <c r="O93" s="12">
        <v>1.7161766000000001</v>
      </c>
      <c r="P93" s="7">
        <v>1386.4</v>
      </c>
      <c r="Q93" s="7">
        <v>106.3</v>
      </c>
      <c r="R93" s="7">
        <v>7.2</v>
      </c>
      <c r="S93" s="12">
        <v>9.4496365999999998</v>
      </c>
      <c r="T93" s="12">
        <v>0</v>
      </c>
      <c r="U93" s="12">
        <v>110.78</v>
      </c>
      <c r="V93" s="12">
        <v>1</v>
      </c>
      <c r="W93" s="12">
        <v>-1.4104372999999999</v>
      </c>
      <c r="X93" s="12">
        <v>4.8462991999999998</v>
      </c>
      <c r="Y93" s="12">
        <v>-1.4293841</v>
      </c>
      <c r="Z93" s="12">
        <v>8.0529677999999993</v>
      </c>
      <c r="AA93" s="12">
        <v>59.783361200000002</v>
      </c>
      <c r="AB93" s="12">
        <v>18.371353200000001</v>
      </c>
      <c r="AC93" s="12">
        <v>12.9623949</v>
      </c>
      <c r="AD93" s="12">
        <v>80.256250699999995</v>
      </c>
      <c r="AE93" s="12">
        <v>71.373360099999999</v>
      </c>
      <c r="AF93" s="12">
        <v>8.7493323000000007</v>
      </c>
      <c r="AG93" s="12">
        <v>32.548342599999998</v>
      </c>
    </row>
    <row r="94" spans="1:33" s="11" customFormat="1" hidden="1" outlineLevel="1" x14ac:dyDescent="0.3">
      <c r="A94" s="11" t="s">
        <v>100</v>
      </c>
      <c r="B94" s="12">
        <v>-13.380244299999999</v>
      </c>
      <c r="C94" s="12">
        <v>106.50333329999999</v>
      </c>
      <c r="D94" s="12">
        <v>0.70602319999999996</v>
      </c>
      <c r="E94" s="17">
        <v>0</v>
      </c>
      <c r="F94" s="13">
        <v>29.343333300000001</v>
      </c>
      <c r="G94" s="12">
        <v>21.1264903</v>
      </c>
      <c r="H94" s="12">
        <v>1.9670611</v>
      </c>
      <c r="I94" s="12">
        <v>-3.6448415999999999</v>
      </c>
      <c r="J94" s="12">
        <v>-4.3927623999999996</v>
      </c>
      <c r="K94" s="12">
        <v>-9.9134855999999996</v>
      </c>
      <c r="L94" s="12">
        <v>-2.4593631</v>
      </c>
      <c r="M94" s="12">
        <v>-11.702073499999999</v>
      </c>
      <c r="N94" s="12">
        <v>-11.3742637</v>
      </c>
      <c r="O94" s="12">
        <v>-17.257570300000001</v>
      </c>
      <c r="P94" s="7">
        <v>1351.5</v>
      </c>
      <c r="Q94" s="7">
        <v>125.9</v>
      </c>
      <c r="R94" s="7">
        <v>8.6</v>
      </c>
      <c r="S94" s="12">
        <v>8.5758998000000002</v>
      </c>
      <c r="T94" s="12">
        <v>0</v>
      </c>
      <c r="U94" s="12">
        <v>110.67</v>
      </c>
      <c r="V94" s="12">
        <v>1</v>
      </c>
      <c r="W94" s="12">
        <v>-8.1355932000000006</v>
      </c>
      <c r="X94" s="12">
        <v>-17.188261000000001</v>
      </c>
      <c r="Y94" s="12">
        <v>-24.708296399999998</v>
      </c>
      <c r="Z94" s="12">
        <v>6.1675424999999997</v>
      </c>
      <c r="AA94" s="12">
        <v>57.3738861</v>
      </c>
      <c r="AB94" s="12">
        <v>19.445361200000001</v>
      </c>
      <c r="AC94" s="12">
        <v>14.433809800000001</v>
      </c>
      <c r="AD94" s="12">
        <v>66.193607400000005</v>
      </c>
      <c r="AE94" s="12">
        <v>57.446664499999997</v>
      </c>
      <c r="AF94" s="12">
        <v>7.5092713</v>
      </c>
      <c r="AG94" s="12">
        <v>40.3671711</v>
      </c>
    </row>
    <row r="95" spans="1:33" s="11" customFormat="1" hidden="1" outlineLevel="1" x14ac:dyDescent="0.3">
      <c r="A95" s="11" t="s">
        <v>101</v>
      </c>
      <c r="B95" s="12">
        <v>-3.6984297000000002</v>
      </c>
      <c r="C95" s="12">
        <v>106.27</v>
      </c>
      <c r="D95" s="12">
        <v>0.50122940000000005</v>
      </c>
      <c r="E95" s="17">
        <v>0</v>
      </c>
      <c r="F95" s="13">
        <v>42.963333300000002</v>
      </c>
      <c r="G95" s="12">
        <v>28.252723100000001</v>
      </c>
      <c r="H95" s="12">
        <v>10.2505978</v>
      </c>
      <c r="I95" s="12">
        <v>-5.2101198999999996</v>
      </c>
      <c r="J95" s="12">
        <v>1.4264413</v>
      </c>
      <c r="K95" s="12">
        <v>-9.9859600000000007E-2</v>
      </c>
      <c r="L95" s="12">
        <v>-1.2221618999999999</v>
      </c>
      <c r="M95" s="12">
        <v>-6.0354939999999999</v>
      </c>
      <c r="N95" s="12">
        <v>0.25900909999999999</v>
      </c>
      <c r="O95" s="12">
        <v>-4.6506324000000001</v>
      </c>
      <c r="P95" s="7">
        <v>1342.3</v>
      </c>
      <c r="Q95" s="7">
        <v>137.19999999999999</v>
      </c>
      <c r="R95" s="7">
        <v>9.3000000000000007</v>
      </c>
      <c r="S95" s="12">
        <v>10.5259129</v>
      </c>
      <c r="T95" s="12">
        <v>0</v>
      </c>
      <c r="U95" s="12">
        <v>110.50333329999999</v>
      </c>
      <c r="V95" s="12">
        <v>1</v>
      </c>
      <c r="W95" s="12">
        <v>0.81414940000000002</v>
      </c>
      <c r="X95" s="12">
        <v>-3.6382971999999998</v>
      </c>
      <c r="Y95" s="12">
        <v>-9.7845452000000002</v>
      </c>
      <c r="Z95" s="12">
        <v>7.098954</v>
      </c>
      <c r="AA95" s="12">
        <v>56.455234099999998</v>
      </c>
      <c r="AB95" s="12">
        <v>15.294697899999999</v>
      </c>
      <c r="AC95" s="12">
        <v>18.8942297</v>
      </c>
      <c r="AD95" s="12">
        <v>69.366438200000005</v>
      </c>
      <c r="AE95" s="12">
        <v>60.010599800000001</v>
      </c>
      <c r="AF95" s="12">
        <v>7.1528875999999997</v>
      </c>
      <c r="AG95" s="12">
        <v>44.949993200000002</v>
      </c>
    </row>
    <row r="96" spans="1:33" s="11" customFormat="1" hidden="1" outlineLevel="1" x14ac:dyDescent="0.3">
      <c r="A96" s="11" t="s">
        <v>102</v>
      </c>
      <c r="B96" s="12">
        <v>-3.2236577</v>
      </c>
      <c r="C96" s="12">
        <v>106.2833333</v>
      </c>
      <c r="D96" s="12">
        <v>0.26098979999999999</v>
      </c>
      <c r="E96" s="17">
        <v>0</v>
      </c>
      <c r="F96" s="13">
        <v>44.29</v>
      </c>
      <c r="G96" s="12">
        <v>32.693777599999997</v>
      </c>
      <c r="H96" s="12">
        <v>2.0384273999999998</v>
      </c>
      <c r="I96" s="12">
        <v>-13.130330900000001</v>
      </c>
      <c r="J96" s="12">
        <v>1.6821599999999999E-2</v>
      </c>
      <c r="K96" s="12">
        <v>-3.1180948000000002</v>
      </c>
      <c r="L96" s="12">
        <v>-0.58217640000000004</v>
      </c>
      <c r="M96" s="12">
        <v>-0.65258539999999998</v>
      </c>
      <c r="N96" s="12">
        <v>5.6908662999999997</v>
      </c>
      <c r="O96" s="12">
        <v>3.2641816000000001</v>
      </c>
      <c r="P96" s="7">
        <v>1352.4</v>
      </c>
      <c r="Q96" s="7">
        <v>134.5</v>
      </c>
      <c r="R96" s="7">
        <v>9.1</v>
      </c>
      <c r="S96" s="12">
        <v>12.2967253</v>
      </c>
      <c r="T96" s="12">
        <v>0</v>
      </c>
      <c r="U96" s="12">
        <v>110.56</v>
      </c>
      <c r="V96" s="12">
        <v>1</v>
      </c>
      <c r="W96" s="12">
        <v>3.3432192999999999</v>
      </c>
      <c r="X96" s="12">
        <v>1.9708281000000001</v>
      </c>
      <c r="Y96" s="12">
        <v>-1.8085011</v>
      </c>
      <c r="Z96" s="12">
        <v>7.8158737</v>
      </c>
      <c r="AA96" s="12">
        <v>57.207938400000003</v>
      </c>
      <c r="AB96" s="12">
        <v>21.1092905</v>
      </c>
      <c r="AC96" s="12">
        <v>11.638822100000001</v>
      </c>
      <c r="AD96" s="12">
        <v>76.973492800000002</v>
      </c>
      <c r="AE96" s="12">
        <v>66.929543800000005</v>
      </c>
      <c r="AF96" s="12">
        <v>6.3667853000000001</v>
      </c>
      <c r="AG96" s="12">
        <v>46.242270400000002</v>
      </c>
    </row>
    <row r="97" spans="1:33" s="11" customFormat="1" hidden="1" outlineLevel="1" x14ac:dyDescent="0.3">
      <c r="A97" s="11" t="s">
        <v>103</v>
      </c>
      <c r="B97" s="12">
        <v>-0.1765746</v>
      </c>
      <c r="C97" s="12">
        <v>107.21</v>
      </c>
      <c r="D97" s="12">
        <v>1.3838102999999999</v>
      </c>
      <c r="E97" s="17">
        <v>0</v>
      </c>
      <c r="F97" s="13">
        <v>60.82</v>
      </c>
      <c r="G97" s="12">
        <v>10.8641749</v>
      </c>
      <c r="H97" s="12">
        <v>8.8840219000000005</v>
      </c>
      <c r="I97" s="12">
        <v>-4.1587870000000002</v>
      </c>
      <c r="J97" s="12">
        <v>2.9796933000000001</v>
      </c>
      <c r="K97" s="12">
        <v>2.0985178000000002</v>
      </c>
      <c r="L97" s="12">
        <v>-0.3768474</v>
      </c>
      <c r="M97" s="12">
        <v>-0.62913909999999995</v>
      </c>
      <c r="N97" s="12">
        <v>6.2376784000000001</v>
      </c>
      <c r="O97" s="12">
        <v>5.2533924000000001</v>
      </c>
      <c r="P97" s="7">
        <v>1351.8</v>
      </c>
      <c r="Q97" s="7">
        <v>108.8</v>
      </c>
      <c r="R97" s="7">
        <v>7.5</v>
      </c>
      <c r="S97" s="12">
        <v>9.9036636999999992</v>
      </c>
      <c r="T97" s="12">
        <v>0</v>
      </c>
      <c r="U97" s="12">
        <v>111.6033333</v>
      </c>
      <c r="V97" s="12">
        <v>1</v>
      </c>
      <c r="W97" s="12">
        <v>10.872675299999999</v>
      </c>
      <c r="X97" s="12">
        <v>6.8346109000000004</v>
      </c>
      <c r="Y97" s="12">
        <v>7.3352816000000001</v>
      </c>
      <c r="Z97" s="12">
        <v>4.9656048999999998</v>
      </c>
      <c r="AA97" s="12">
        <v>57.767996400000001</v>
      </c>
      <c r="AB97" s="12">
        <v>18.162073800000002</v>
      </c>
      <c r="AC97" s="12">
        <v>15.462495799999999</v>
      </c>
      <c r="AD97" s="12">
        <v>80.794926200000006</v>
      </c>
      <c r="AE97" s="12">
        <v>72.189143900000005</v>
      </c>
      <c r="AF97" s="12">
        <v>6.4340631000000004</v>
      </c>
      <c r="AG97" s="12">
        <v>39.950175399999999</v>
      </c>
    </row>
    <row r="98" spans="1:33" s="11" customFormat="1" hidden="1" outlineLevel="1" x14ac:dyDescent="0.3">
      <c r="A98" s="11" t="s">
        <v>104</v>
      </c>
      <c r="B98" s="12">
        <v>14.630134099999999</v>
      </c>
      <c r="C98" s="12">
        <v>108.82</v>
      </c>
      <c r="D98" s="12">
        <v>2.1752058000000001</v>
      </c>
      <c r="E98" s="17">
        <v>0</v>
      </c>
      <c r="F98" s="13">
        <v>68.833333300000007</v>
      </c>
      <c r="G98" s="12">
        <v>4.5926248999999997</v>
      </c>
      <c r="H98" s="12">
        <v>19.544460600000001</v>
      </c>
      <c r="I98" s="12">
        <v>1.7361438</v>
      </c>
      <c r="J98" s="12">
        <v>9.3107132000000004</v>
      </c>
      <c r="K98" s="12">
        <v>14.9266538</v>
      </c>
      <c r="L98" s="12">
        <v>2.4594225999999999</v>
      </c>
      <c r="M98" s="12">
        <v>11.147011300000001</v>
      </c>
      <c r="N98" s="12">
        <v>30.438201500000002</v>
      </c>
      <c r="O98" s="12">
        <v>37.300927899999998</v>
      </c>
      <c r="P98" s="7">
        <v>1360.4</v>
      </c>
      <c r="Q98" s="7">
        <v>108.5</v>
      </c>
      <c r="R98" s="7">
        <v>7.4</v>
      </c>
      <c r="S98" s="12">
        <v>12.020755299999999</v>
      </c>
      <c r="T98" s="12">
        <v>0</v>
      </c>
      <c r="U98" s="12">
        <v>114.16666669999999</v>
      </c>
      <c r="V98" s="12">
        <v>1</v>
      </c>
      <c r="W98" s="12">
        <v>25.861008600000002</v>
      </c>
      <c r="X98" s="12">
        <v>38.880578900000003</v>
      </c>
      <c r="Y98" s="12">
        <v>52.331216900000001</v>
      </c>
      <c r="Z98" s="12">
        <v>-0.94508119999999995</v>
      </c>
      <c r="AA98" s="12">
        <v>57.960157600000002</v>
      </c>
      <c r="AB98" s="12">
        <v>18.408474600000002</v>
      </c>
      <c r="AC98" s="12">
        <v>19.853935400000001</v>
      </c>
      <c r="AD98" s="12">
        <v>78.550200700000005</v>
      </c>
      <c r="AE98" s="12">
        <v>74.772768400000004</v>
      </c>
      <c r="AF98" s="12">
        <v>8.3496485000000007</v>
      </c>
      <c r="AG98" s="12">
        <v>40.9275454</v>
      </c>
    </row>
    <row r="99" spans="1:33" s="11" customFormat="1" hidden="1" outlineLevel="1" x14ac:dyDescent="0.3">
      <c r="A99" s="11" t="s">
        <v>105</v>
      </c>
      <c r="B99" s="12">
        <v>4.8925850000000004</v>
      </c>
      <c r="C99" s="12">
        <v>109.55666669999999</v>
      </c>
      <c r="D99" s="12">
        <v>3.0927511999999999</v>
      </c>
      <c r="E99" s="17">
        <v>0</v>
      </c>
      <c r="F99" s="13">
        <v>73.47</v>
      </c>
      <c r="G99" s="12">
        <v>-5.2165105000000001</v>
      </c>
      <c r="H99" s="12">
        <v>11.4440001</v>
      </c>
      <c r="I99" s="12">
        <v>0.431342</v>
      </c>
      <c r="J99" s="12">
        <v>6.1455837000000004</v>
      </c>
      <c r="K99" s="12">
        <v>7.1739004</v>
      </c>
      <c r="L99" s="12">
        <v>1.2785263</v>
      </c>
      <c r="M99" s="12">
        <v>22.591816999999999</v>
      </c>
      <c r="N99" s="12">
        <v>14.5908727</v>
      </c>
      <c r="O99" s="12">
        <v>18.920211900000002</v>
      </c>
      <c r="P99" s="7">
        <v>1386.5</v>
      </c>
      <c r="Q99" s="7">
        <v>99</v>
      </c>
      <c r="R99" s="7">
        <v>6.7</v>
      </c>
      <c r="S99" s="12">
        <v>9.8490096000000005</v>
      </c>
      <c r="T99" s="12">
        <v>0</v>
      </c>
      <c r="U99" s="12">
        <v>116.27</v>
      </c>
      <c r="V99" s="12">
        <v>1</v>
      </c>
      <c r="W99" s="12">
        <v>17.2653857</v>
      </c>
      <c r="X99" s="12">
        <v>23.437151799999999</v>
      </c>
      <c r="Y99" s="12">
        <v>35.513032799999998</v>
      </c>
      <c r="Z99" s="12">
        <v>0.91781800000000002</v>
      </c>
      <c r="AA99" s="12">
        <v>56.021275199999998</v>
      </c>
      <c r="AB99" s="12">
        <v>14.8290848</v>
      </c>
      <c r="AC99" s="12">
        <v>25.358370600000001</v>
      </c>
      <c r="AD99" s="12">
        <v>75.449828100000005</v>
      </c>
      <c r="AE99" s="12">
        <v>71.6592074</v>
      </c>
      <c r="AF99" s="12">
        <v>9.3706755000000008</v>
      </c>
      <c r="AG99" s="12">
        <v>42.7779971</v>
      </c>
    </row>
    <row r="100" spans="1:33" s="11" customFormat="1" hidden="1" outlineLevel="1" x14ac:dyDescent="0.3">
      <c r="A100" s="11" t="s">
        <v>106</v>
      </c>
      <c r="B100" s="12">
        <v>5.3916862999999999</v>
      </c>
      <c r="C100" s="12">
        <v>111.5333333</v>
      </c>
      <c r="D100" s="12">
        <v>4.9396268000000001</v>
      </c>
      <c r="E100" s="17">
        <v>0</v>
      </c>
      <c r="F100" s="13">
        <v>79.586666699999995</v>
      </c>
      <c r="G100" s="12">
        <v>-8.7982040000000001</v>
      </c>
      <c r="H100" s="12">
        <v>13.212548</v>
      </c>
      <c r="I100" s="12">
        <v>-2.9836730999999999</v>
      </c>
      <c r="J100" s="12">
        <v>6.6743974000000001</v>
      </c>
      <c r="K100" s="12">
        <v>8.8235294</v>
      </c>
      <c r="L100" s="12">
        <v>1.5508366</v>
      </c>
      <c r="M100" s="12">
        <v>6.1274632999999996</v>
      </c>
      <c r="N100" s="12">
        <v>18.379119800000002</v>
      </c>
      <c r="O100" s="12">
        <v>20.3656179</v>
      </c>
      <c r="P100" s="7">
        <v>1375.8</v>
      </c>
      <c r="Q100" s="7">
        <v>102.8</v>
      </c>
      <c r="R100" s="7">
        <v>7</v>
      </c>
      <c r="S100" s="12">
        <v>10.2228394</v>
      </c>
      <c r="T100" s="12">
        <v>0</v>
      </c>
      <c r="U100" s="12">
        <v>120.94</v>
      </c>
      <c r="V100" s="12">
        <v>1</v>
      </c>
      <c r="W100" s="12">
        <v>23.975997899999999</v>
      </c>
      <c r="X100" s="12">
        <v>28.724473</v>
      </c>
      <c r="Y100" s="12">
        <v>43.579975699999999</v>
      </c>
      <c r="Z100" s="12">
        <v>0.19176979999999999</v>
      </c>
      <c r="AA100" s="12">
        <v>58.6498086</v>
      </c>
      <c r="AB100" s="12">
        <v>19.0850598</v>
      </c>
      <c r="AC100" s="12">
        <v>19.685497600000001</v>
      </c>
      <c r="AD100" s="12">
        <v>85.574284300000002</v>
      </c>
      <c r="AE100" s="12">
        <v>82.995972800000004</v>
      </c>
      <c r="AF100" s="12">
        <v>11.053217200000001</v>
      </c>
      <c r="AG100" s="12">
        <v>43.442502500000003</v>
      </c>
    </row>
    <row r="101" spans="1:33" hidden="1" outlineLevel="1" x14ac:dyDescent="0.3">
      <c r="A101" t="s">
        <v>108</v>
      </c>
      <c r="B101" s="12">
        <v>5.7284746999999996</v>
      </c>
      <c r="C101" s="12">
        <v>114.2266667</v>
      </c>
      <c r="D101" s="12">
        <v>6.5447875</v>
      </c>
      <c r="E101" s="17">
        <v>0</v>
      </c>
      <c r="F101" s="12">
        <v>100.2966667</v>
      </c>
      <c r="G101" s="12">
        <v>6.1588801000000002</v>
      </c>
      <c r="H101" s="12">
        <v>20.618699700000001</v>
      </c>
      <c r="I101" s="12">
        <v>0.61779629999999996</v>
      </c>
      <c r="J101" s="12">
        <v>5.4940756999999998</v>
      </c>
      <c r="K101" s="12">
        <v>8.3493037000000001</v>
      </c>
      <c r="L101" s="12">
        <v>7.6836699999999994E-2</v>
      </c>
      <c r="M101" s="12">
        <v>11.2095968</v>
      </c>
      <c r="N101" s="12">
        <v>21.3819138</v>
      </c>
      <c r="O101" s="12">
        <v>23.0661652</v>
      </c>
      <c r="P101" s="7">
        <v>1380.6</v>
      </c>
      <c r="Q101" s="7">
        <v>93.5</v>
      </c>
      <c r="R101" s="7">
        <v>6.4</v>
      </c>
      <c r="S101" s="12">
        <v>14.1045222</v>
      </c>
      <c r="T101" s="12">
        <v>0</v>
      </c>
      <c r="U101" s="12">
        <v>127.16</v>
      </c>
      <c r="V101" s="12">
        <v>1</v>
      </c>
      <c r="W101" s="12">
        <v>24.490322500000001</v>
      </c>
      <c r="X101" s="12">
        <v>32.456023799999997</v>
      </c>
      <c r="Y101" s="12">
        <v>49.723162799999997</v>
      </c>
      <c r="Z101" s="12">
        <v>-5.2009198999999997</v>
      </c>
      <c r="AA101" s="12">
        <v>58.470886</v>
      </c>
      <c r="AB101" s="12">
        <v>17.360213399999999</v>
      </c>
      <c r="AC101" s="12">
        <v>25.0466069</v>
      </c>
      <c r="AD101" s="12">
        <v>88.172737999999995</v>
      </c>
      <c r="AE101" s="12">
        <v>89.051124700000003</v>
      </c>
      <c r="AF101" s="12">
        <v>11.666045499999999</v>
      </c>
      <c r="AG101" s="12">
        <v>34.582064199999998</v>
      </c>
    </row>
    <row r="102" spans="1:33" hidden="1" outlineLevel="1" x14ac:dyDescent="0.3">
      <c r="A102" t="s">
        <v>109</v>
      </c>
      <c r="B102" s="12">
        <v>4.2015890999999996</v>
      </c>
      <c r="C102" s="12">
        <v>118.4333333</v>
      </c>
      <c r="D102" s="12">
        <v>8.8341604</v>
      </c>
      <c r="E102" s="17">
        <v>0</v>
      </c>
      <c r="F102" s="12">
        <v>113.5433333</v>
      </c>
      <c r="G102" s="12">
        <v>3.6638706000000001</v>
      </c>
      <c r="H102" s="12">
        <v>12.839135000000001</v>
      </c>
      <c r="I102" s="12">
        <v>4.5900264999999996</v>
      </c>
      <c r="J102" s="12">
        <v>2.3822546</v>
      </c>
      <c r="K102" s="12">
        <v>1.7645622999999999</v>
      </c>
      <c r="L102" s="12">
        <v>1.5539029</v>
      </c>
      <c r="M102" s="12">
        <v>7.4854650999999999</v>
      </c>
      <c r="N102" s="12">
        <v>8.3757924999999993</v>
      </c>
      <c r="O102" s="12">
        <v>8.3952947000000009</v>
      </c>
      <c r="P102" s="7">
        <v>1436.2</v>
      </c>
      <c r="Q102" s="7">
        <v>79.400000000000006</v>
      </c>
      <c r="R102" s="7">
        <v>5.3</v>
      </c>
      <c r="S102" s="12">
        <v>13.76737</v>
      </c>
      <c r="T102" s="12">
        <v>0</v>
      </c>
      <c r="U102" s="12">
        <v>135.33666669999999</v>
      </c>
      <c r="V102" s="12">
        <v>1</v>
      </c>
      <c r="W102" s="12">
        <v>9.3574395999999993</v>
      </c>
      <c r="X102" s="12">
        <v>28.3206451</v>
      </c>
      <c r="Y102" s="12">
        <v>38.979953000000002</v>
      </c>
      <c r="Z102" s="12">
        <v>-6.6307808000000001</v>
      </c>
      <c r="AA102" s="12">
        <v>58.655738900000003</v>
      </c>
      <c r="AB102" s="12">
        <v>17.454859200000001</v>
      </c>
      <c r="AC102" s="12">
        <v>26.513402500000002</v>
      </c>
      <c r="AD102" s="12">
        <v>84.689785900000004</v>
      </c>
      <c r="AE102" s="12">
        <v>87.313786500000006</v>
      </c>
      <c r="AF102" s="12">
        <v>11.9525375</v>
      </c>
      <c r="AG102" s="12">
        <v>35.942319699999999</v>
      </c>
    </row>
    <row r="103" spans="1:33" hidden="1" outlineLevel="1" x14ac:dyDescent="0.3">
      <c r="A103" t="s">
        <v>110</v>
      </c>
      <c r="B103" s="12">
        <v>2.5907767000000002</v>
      </c>
      <c r="C103" s="12">
        <v>120.83</v>
      </c>
      <c r="D103" s="12">
        <v>10.289956500000001</v>
      </c>
      <c r="E103" s="17">
        <v>0.75</v>
      </c>
      <c r="F103" s="12">
        <v>100.7133333</v>
      </c>
      <c r="G103" s="12">
        <v>15.3825603</v>
      </c>
      <c r="H103" s="12">
        <v>15.854350800000001</v>
      </c>
      <c r="I103" s="12">
        <v>0.53508840000000002</v>
      </c>
      <c r="J103" s="12">
        <v>2.1503483000000001</v>
      </c>
      <c r="K103" s="12">
        <v>-0.10948910000000001</v>
      </c>
      <c r="L103" s="12">
        <v>-0.38686029999999999</v>
      </c>
      <c r="M103" s="12">
        <v>-10.9059852</v>
      </c>
      <c r="N103" s="12">
        <v>16.171524900000001</v>
      </c>
      <c r="O103" s="12">
        <v>12.3566802</v>
      </c>
      <c r="P103" s="7">
        <v>1451.7</v>
      </c>
      <c r="Q103" s="7">
        <v>90.1</v>
      </c>
      <c r="R103" s="7">
        <v>5.9</v>
      </c>
      <c r="S103" s="12">
        <v>12.6796974</v>
      </c>
      <c r="T103" s="12">
        <v>1.25</v>
      </c>
      <c r="U103" s="12">
        <v>141.25666670000001</v>
      </c>
      <c r="V103" s="12">
        <v>1</v>
      </c>
      <c r="W103" s="12">
        <v>9.9263832999999995</v>
      </c>
      <c r="X103" s="12">
        <v>37.9372598</v>
      </c>
      <c r="Y103" s="12">
        <v>48.210034700000001</v>
      </c>
      <c r="Z103" s="12">
        <v>-5.5055247999999999</v>
      </c>
      <c r="AA103" s="12">
        <v>55.938678899999999</v>
      </c>
      <c r="AB103" s="12">
        <v>13.499210700000001</v>
      </c>
      <c r="AC103" s="12">
        <v>32.3220162</v>
      </c>
      <c r="AD103" s="12">
        <v>85.854402399999998</v>
      </c>
      <c r="AE103" s="12">
        <v>87.614308300000005</v>
      </c>
      <c r="AF103" s="12">
        <v>12.3024585</v>
      </c>
      <c r="AG103" s="12">
        <v>35.662345600000002</v>
      </c>
    </row>
    <row r="104" spans="1:33" hidden="1" outlineLevel="1" x14ac:dyDescent="0.3">
      <c r="A104" t="s">
        <v>111</v>
      </c>
      <c r="B104" s="12">
        <v>1.4006327999999999</v>
      </c>
      <c r="C104" s="12">
        <v>123.8</v>
      </c>
      <c r="D104" s="12">
        <v>10.9982068</v>
      </c>
      <c r="E104" s="17">
        <v>1.9166666999999999</v>
      </c>
      <c r="F104" s="12">
        <v>88.556666699999994</v>
      </c>
      <c r="G104" s="12">
        <v>34.330364400000001</v>
      </c>
      <c r="H104" s="12">
        <v>20.7030295</v>
      </c>
      <c r="I104" s="12">
        <v>-7.8963859000000003</v>
      </c>
      <c r="J104" s="12">
        <v>0.13774900000000001</v>
      </c>
      <c r="K104" s="12">
        <v>-0.92327499999999996</v>
      </c>
      <c r="L104" s="12">
        <v>0.16475509999999999</v>
      </c>
      <c r="M104" s="12">
        <v>17.467517099999998</v>
      </c>
      <c r="N104" s="12">
        <v>4.5016186999999999</v>
      </c>
      <c r="O104" s="12">
        <v>7.6568326000000004</v>
      </c>
      <c r="P104" s="7">
        <v>1414.8</v>
      </c>
      <c r="Q104" s="7">
        <v>96.8</v>
      </c>
      <c r="R104" s="7">
        <v>6.4</v>
      </c>
      <c r="S104" s="12">
        <v>13.252144700000001</v>
      </c>
      <c r="T104" s="12">
        <v>2.5</v>
      </c>
      <c r="U104" s="12">
        <v>146.53333330000001</v>
      </c>
      <c r="V104" s="12">
        <v>1</v>
      </c>
      <c r="W104" s="12">
        <v>-2.8198653</v>
      </c>
      <c r="X104" s="12">
        <v>20.4770957</v>
      </c>
      <c r="Y104" s="12">
        <v>27.915926299999999</v>
      </c>
      <c r="Z104" s="12">
        <v>-4.5694331000000004</v>
      </c>
      <c r="AA104" s="12">
        <v>60.635425300000001</v>
      </c>
      <c r="AB104" s="12">
        <v>19.0695926</v>
      </c>
      <c r="AC104" s="12">
        <v>22.937745</v>
      </c>
      <c r="AD104" s="12">
        <v>88.817678400000005</v>
      </c>
      <c r="AE104" s="12">
        <v>91.460441200000005</v>
      </c>
      <c r="AF104" s="12">
        <v>10.8604988</v>
      </c>
      <c r="AG104" s="12">
        <v>38.090122899999997</v>
      </c>
    </row>
    <row r="105" spans="1:33" collapsed="1" x14ac:dyDescent="0.3">
      <c r="A105" t="s">
        <v>112</v>
      </c>
      <c r="B105" s="12">
        <v>1.3448477999999999</v>
      </c>
      <c r="C105" s="12">
        <v>124.9666667</v>
      </c>
      <c r="D105" s="12">
        <v>9.4023579000000002</v>
      </c>
      <c r="E105" s="17">
        <v>3</v>
      </c>
      <c r="F105" s="12">
        <v>81.173333299999996</v>
      </c>
      <c r="G105" s="12">
        <v>21.312083000000001</v>
      </c>
      <c r="H105" s="12">
        <v>13.7837838</v>
      </c>
      <c r="I105" s="12">
        <v>-1.7458130999999999</v>
      </c>
      <c r="J105" s="12">
        <v>-2.3629737</v>
      </c>
      <c r="K105" s="12">
        <v>-1.7333883999999999</v>
      </c>
      <c r="L105" s="12">
        <v>0.37207649999999998</v>
      </c>
      <c r="M105" s="12">
        <v>5.4593395999999998</v>
      </c>
      <c r="N105" s="12">
        <v>-6.1397072000000001</v>
      </c>
      <c r="O105" s="12">
        <v>-4.8167919000000001</v>
      </c>
      <c r="P105" s="7">
        <v>1394.3</v>
      </c>
      <c r="Q105" s="7">
        <v>117.1</v>
      </c>
      <c r="R105" s="7">
        <v>7.8</v>
      </c>
      <c r="S105" s="12">
        <v>13.3620439</v>
      </c>
      <c r="T105" s="12">
        <v>3.5</v>
      </c>
      <c r="U105" s="12">
        <v>148.72666670000001</v>
      </c>
      <c r="V105" s="12">
        <v>1</v>
      </c>
      <c r="W105" s="12">
        <v>-10.5099502</v>
      </c>
      <c r="X105" s="12">
        <v>3.5149045999999999</v>
      </c>
      <c r="Y105" s="12">
        <v>1.3019361</v>
      </c>
      <c r="Z105" s="12">
        <v>1.0508238000000001</v>
      </c>
      <c r="AA105" s="12">
        <v>61.267783999999999</v>
      </c>
      <c r="AB105" s="12">
        <v>18.157444399999999</v>
      </c>
      <c r="AC105" s="12">
        <v>19.611053099999999</v>
      </c>
      <c r="AD105" s="12">
        <v>82.871139700000001</v>
      </c>
      <c r="AE105" s="12">
        <v>81.907421200000002</v>
      </c>
      <c r="AF105" s="12">
        <v>9.7248713000000002</v>
      </c>
      <c r="AG105" s="12">
        <v>35.8845417</v>
      </c>
    </row>
    <row r="106" spans="1:33" x14ac:dyDescent="0.3">
      <c r="A106" t="s">
        <v>113</v>
      </c>
      <c r="B106" s="12">
        <v>0.20197219999999999</v>
      </c>
      <c r="C106" s="12">
        <v>126.9766667</v>
      </c>
      <c r="D106" s="12">
        <v>7.2136222999999999</v>
      </c>
      <c r="E106" s="17">
        <v>3.75</v>
      </c>
      <c r="F106" s="12">
        <v>78.316666699999999</v>
      </c>
      <c r="G106" s="12">
        <v>18.871922300000001</v>
      </c>
      <c r="H106" s="12">
        <v>15.683032900000001</v>
      </c>
      <c r="I106" s="12">
        <v>3.9239228000000002</v>
      </c>
      <c r="J106" s="12">
        <v>0.67519050000000003</v>
      </c>
      <c r="K106" s="12">
        <v>-1.5209233</v>
      </c>
      <c r="L106" s="12">
        <v>-0.17266020000000001</v>
      </c>
      <c r="M106" s="12">
        <v>-7.7755239999999999</v>
      </c>
      <c r="N106" s="12">
        <v>2.2860629000000001</v>
      </c>
      <c r="O106" s="12">
        <v>-2.1723292999999999</v>
      </c>
      <c r="P106" s="7">
        <v>1444.9</v>
      </c>
      <c r="Q106" s="7">
        <v>92.1</v>
      </c>
      <c r="R106" s="7">
        <v>6</v>
      </c>
      <c r="S106" s="12">
        <v>12.406695300000001</v>
      </c>
      <c r="T106" s="12">
        <v>4</v>
      </c>
      <c r="U106" s="12">
        <v>149.83000000000001</v>
      </c>
      <c r="V106" s="12">
        <v>1</v>
      </c>
      <c r="W106" s="12">
        <v>-0.178731</v>
      </c>
      <c r="X106" s="12">
        <v>-0.25180059999999999</v>
      </c>
      <c r="Y106" s="12">
        <v>-8.2538356999999998</v>
      </c>
      <c r="Z106" s="12">
        <v>-0.29847400000000002</v>
      </c>
      <c r="AA106" s="12">
        <v>59.1225314</v>
      </c>
      <c r="AB106" s="12">
        <v>18.306216299999999</v>
      </c>
      <c r="AC106" s="12">
        <v>18.5356822</v>
      </c>
      <c r="AD106" s="12">
        <v>78.009986499999997</v>
      </c>
      <c r="AE106" s="12">
        <v>73.974977600000003</v>
      </c>
      <c r="AF106" s="12">
        <v>8.4298549999999999</v>
      </c>
      <c r="AG106" s="12">
        <v>36.650615600000002</v>
      </c>
    </row>
    <row r="107" spans="1:33" x14ac:dyDescent="0.3">
      <c r="A107" t="s">
        <v>114</v>
      </c>
      <c r="B107" s="12">
        <v>-0.19771859999999999</v>
      </c>
      <c r="C107" s="12">
        <v>127.6866667</v>
      </c>
      <c r="D107" s="12">
        <v>5.6746392999999999</v>
      </c>
      <c r="E107" s="17">
        <v>4.25</v>
      </c>
      <c r="F107" s="12">
        <v>86.66</v>
      </c>
      <c r="G107" s="12">
        <v>9.4293245999999993</v>
      </c>
      <c r="H107" s="12">
        <v>10.9740305</v>
      </c>
      <c r="I107" s="12">
        <v>1.0182218999999999</v>
      </c>
      <c r="J107" s="12">
        <v>0.23668449999999999</v>
      </c>
      <c r="K107" s="12">
        <v>-2.0216782000000002</v>
      </c>
      <c r="L107" s="12">
        <v>0.64727120000000005</v>
      </c>
      <c r="M107" s="12">
        <v>1.9320109000000001</v>
      </c>
      <c r="N107" s="12">
        <v>-8.5764461999999995</v>
      </c>
      <c r="O107" s="12">
        <v>-8.1198417000000003</v>
      </c>
      <c r="P107" s="7">
        <v>1471.7</v>
      </c>
      <c r="Q107" s="7">
        <v>97.5</v>
      </c>
      <c r="R107" s="7">
        <v>6.2</v>
      </c>
      <c r="S107" s="12">
        <v>12.243299199999999</v>
      </c>
      <c r="T107" s="12">
        <v>4.5</v>
      </c>
      <c r="U107" s="12">
        <v>149.55000000000001</v>
      </c>
      <c r="V107" s="12">
        <v>1</v>
      </c>
      <c r="W107" s="12">
        <v>-6.1136314</v>
      </c>
      <c r="X107" s="12">
        <v>-12.3945154</v>
      </c>
      <c r="Y107" s="12">
        <v>-20.127276500000001</v>
      </c>
      <c r="Z107" s="12">
        <v>1.309731</v>
      </c>
      <c r="AA107" s="12">
        <v>55.8986825</v>
      </c>
      <c r="AB107" s="12">
        <v>14.5739125</v>
      </c>
      <c r="AC107" s="12">
        <v>24.490373999999999</v>
      </c>
      <c r="AD107" s="12">
        <v>72.394701299999994</v>
      </c>
      <c r="AE107" s="12">
        <v>67.357670400000003</v>
      </c>
      <c r="AF107" s="12">
        <v>7.1323046999999997</v>
      </c>
      <c r="AG107" s="12">
        <v>36.329548600000003</v>
      </c>
    </row>
    <row r="108" spans="1:33" x14ac:dyDescent="0.3">
      <c r="A108" t="s">
        <v>115</v>
      </c>
      <c r="B108" s="7" t="s">
        <v>107</v>
      </c>
      <c r="C108" s="12">
        <v>127.9933333</v>
      </c>
      <c r="D108" s="12">
        <v>3.3871836000000002</v>
      </c>
      <c r="E108" s="17">
        <v>4.5</v>
      </c>
      <c r="F108" s="12">
        <v>83.723333299999993</v>
      </c>
      <c r="G108" s="7" t="s">
        <v>107</v>
      </c>
      <c r="H108" s="7" t="s">
        <v>107</v>
      </c>
      <c r="I108" s="7" t="s">
        <v>107</v>
      </c>
      <c r="J108" s="7" t="s">
        <v>107</v>
      </c>
      <c r="K108" s="7" t="s">
        <v>107</v>
      </c>
      <c r="L108" s="7" t="s">
        <v>107</v>
      </c>
      <c r="M108" s="7" t="s">
        <v>107</v>
      </c>
      <c r="N108" s="7" t="s">
        <v>107</v>
      </c>
      <c r="O108" s="7" t="s">
        <v>107</v>
      </c>
      <c r="P108" s="7" t="s">
        <v>107</v>
      </c>
      <c r="Q108" s="7" t="s">
        <v>107</v>
      </c>
      <c r="R108" s="7" t="s">
        <v>107</v>
      </c>
      <c r="S108" s="7" t="s">
        <v>107</v>
      </c>
      <c r="T108" s="12">
        <v>4.5</v>
      </c>
      <c r="U108" s="12">
        <v>149.97333330000001</v>
      </c>
      <c r="V108" s="12">
        <v>1</v>
      </c>
      <c r="W108" s="7" t="s">
        <v>107</v>
      </c>
      <c r="X108" s="7" t="s">
        <v>107</v>
      </c>
      <c r="Y108" s="7" t="s">
        <v>107</v>
      </c>
      <c r="Z108" s="7" t="s">
        <v>107</v>
      </c>
      <c r="AA108" s="7" t="s">
        <v>107</v>
      </c>
      <c r="AB108" s="7" t="s">
        <v>107</v>
      </c>
      <c r="AC108" s="7" t="s">
        <v>107</v>
      </c>
      <c r="AD108" s="7" t="s">
        <v>107</v>
      </c>
      <c r="AE108" s="7" t="s">
        <v>107</v>
      </c>
      <c r="AF108" s="7" t="s">
        <v>107</v>
      </c>
      <c r="AG108" s="7" t="s">
        <v>107</v>
      </c>
    </row>
  </sheetData>
  <pageMargins left="0.7" right="0.7" top="0.75" bottom="0.75" header="0.3" footer="0.3"/>
  <pageSetup paperSize="9" orientation="portrait" horizontalDpi="90" verticalDpi="9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256FB-D25D-493D-A10C-B65B5DE8720E}">
  <sheetPr codeName="Tabelle9">
    <tabColor rgb="FF00B0F0"/>
  </sheetPr>
  <dimension ref="A1:AG108"/>
  <sheetViews>
    <sheetView workbookViewId="0">
      <pane xSplit="1" ySplit="12" topLeftCell="T13" activePane="bottomRight" state="frozen"/>
      <selection activeCell="AI1" sqref="AI1:AN1048576"/>
      <selection pane="topRight" activeCell="AI1" sqref="AI1:AN1048576"/>
      <selection pane="bottomLeft" activeCell="AI1" sqref="AI1:AN1048576"/>
      <selection pane="bottomRight" activeCell="AG1" sqref="AG1"/>
    </sheetView>
  </sheetViews>
  <sheetFormatPr defaultColWidth="9.109375" defaultRowHeight="14.4" outlineLevelRow="1" x14ac:dyDescent="0.3"/>
  <cols>
    <col min="2" max="2" width="11.5546875" bestFit="1" customWidth="1"/>
    <col min="4" max="4" width="12.44140625" customWidth="1"/>
    <col min="7" max="7" width="12.44140625" bestFit="1" customWidth="1"/>
    <col min="8" max="8" width="12.33203125" customWidth="1"/>
    <col min="18" max="18" width="11.109375" bestFit="1" customWidth="1"/>
    <col min="19" max="19" width="12.44140625" bestFit="1" customWidth="1"/>
    <col min="24" max="24" width="12.5546875" bestFit="1" customWidth="1"/>
    <col min="25" max="25" width="12.6640625" bestFit="1" customWidth="1"/>
    <col min="27" max="27" width="13.6640625" customWidth="1"/>
  </cols>
  <sheetData>
    <row r="1" spans="1:33" s="8" customFormat="1" x14ac:dyDescent="0.3">
      <c r="A1" s="8" t="s">
        <v>0</v>
      </c>
      <c r="B1" s="8" t="s">
        <v>1</v>
      </c>
      <c r="C1" s="8" t="s">
        <v>2</v>
      </c>
      <c r="D1" s="8" t="s">
        <v>3</v>
      </c>
      <c r="E1" s="14" t="s">
        <v>4</v>
      </c>
      <c r="F1" s="8" t="s">
        <v>5</v>
      </c>
      <c r="G1" s="8" t="s">
        <v>6</v>
      </c>
      <c r="H1" s="8" t="s">
        <v>254</v>
      </c>
      <c r="I1" s="8" t="s">
        <v>7</v>
      </c>
      <c r="J1" s="8" t="s">
        <v>230</v>
      </c>
      <c r="K1" s="8" t="s">
        <v>231</v>
      </c>
      <c r="L1" s="8" t="s">
        <v>232</v>
      </c>
      <c r="M1" s="8" t="s">
        <v>233</v>
      </c>
      <c r="N1" s="8" t="s">
        <v>234</v>
      </c>
      <c r="O1" s="8" t="s">
        <v>235</v>
      </c>
      <c r="P1" s="8" t="s">
        <v>8</v>
      </c>
      <c r="Q1" s="8" t="s">
        <v>9</v>
      </c>
      <c r="R1" s="8" t="s">
        <v>10</v>
      </c>
      <c r="S1" s="8" t="s">
        <v>11</v>
      </c>
      <c r="T1" s="14" t="s">
        <v>12</v>
      </c>
      <c r="U1" s="8" t="s">
        <v>13</v>
      </c>
      <c r="V1" s="8" t="s">
        <v>14</v>
      </c>
      <c r="W1" s="8" t="s">
        <v>15</v>
      </c>
      <c r="X1" s="8" t="s">
        <v>16</v>
      </c>
      <c r="Y1" s="8" t="s">
        <v>17</v>
      </c>
      <c r="Z1" s="8" t="s">
        <v>18</v>
      </c>
      <c r="AA1" s="9" t="s">
        <v>248</v>
      </c>
      <c r="AB1" s="8" t="s">
        <v>236</v>
      </c>
      <c r="AC1" s="8" t="s">
        <v>237</v>
      </c>
      <c r="AD1" s="8" t="s">
        <v>238</v>
      </c>
      <c r="AE1" s="8" t="s">
        <v>239</v>
      </c>
      <c r="AF1" s="14" t="s">
        <v>255</v>
      </c>
      <c r="AG1" s="14" t="s">
        <v>1317</v>
      </c>
    </row>
    <row r="2" spans="1:33" s="10" customFormat="1" outlineLevel="1" x14ac:dyDescent="0.3">
      <c r="A2" s="16" t="s">
        <v>1292</v>
      </c>
      <c r="B2" s="26"/>
      <c r="C2" s="26"/>
      <c r="D2" s="26" t="s">
        <v>198</v>
      </c>
      <c r="E2" s="26"/>
      <c r="F2" s="26"/>
      <c r="G2" s="26" t="s">
        <v>576</v>
      </c>
      <c r="H2" s="26" t="s">
        <v>580</v>
      </c>
      <c r="I2" s="26"/>
      <c r="J2" s="26" t="s">
        <v>583</v>
      </c>
      <c r="K2" s="26" t="s">
        <v>585</v>
      </c>
      <c r="L2" s="26" t="s">
        <v>587</v>
      </c>
      <c r="M2" s="26" t="s">
        <v>589</v>
      </c>
      <c r="N2" s="26" t="s">
        <v>591</v>
      </c>
      <c r="O2" s="26" t="s">
        <v>593</v>
      </c>
      <c r="P2" s="26"/>
      <c r="Q2" s="26"/>
      <c r="R2" s="26"/>
      <c r="S2" s="26" t="s">
        <v>598</v>
      </c>
      <c r="T2" s="26"/>
      <c r="U2" s="26"/>
      <c r="V2" s="26"/>
      <c r="W2" s="26" t="s">
        <v>603</v>
      </c>
      <c r="X2" s="26" t="s">
        <v>605</v>
      </c>
      <c r="Y2" s="26" t="s">
        <v>607</v>
      </c>
      <c r="Z2" s="26"/>
      <c r="AA2" s="26" t="s">
        <v>610</v>
      </c>
      <c r="AB2" s="26"/>
      <c r="AC2" s="26"/>
      <c r="AD2" s="26"/>
      <c r="AE2" s="26"/>
      <c r="AF2" s="26" t="s">
        <v>906</v>
      </c>
      <c r="AG2" s="26"/>
    </row>
    <row r="3" spans="1:33" outlineLevel="1" x14ac:dyDescent="0.3">
      <c r="A3" s="16" t="s">
        <v>1293</v>
      </c>
      <c r="B3" s="27" t="s">
        <v>123</v>
      </c>
      <c r="C3" s="27" t="s">
        <v>195</v>
      </c>
      <c r="D3" s="27" t="s">
        <v>195</v>
      </c>
      <c r="E3" s="27" t="s">
        <v>186</v>
      </c>
      <c r="F3" s="27" t="s">
        <v>125</v>
      </c>
      <c r="G3" s="27" t="s">
        <v>277</v>
      </c>
      <c r="H3" s="27" t="s">
        <v>277</v>
      </c>
      <c r="I3" s="27" t="s">
        <v>277</v>
      </c>
      <c r="J3" s="27" t="s">
        <v>123</v>
      </c>
      <c r="K3" s="27" t="s">
        <v>125</v>
      </c>
      <c r="L3" s="27" t="s">
        <v>125</v>
      </c>
      <c r="M3" s="27" t="s">
        <v>125</v>
      </c>
      <c r="N3" s="27" t="s">
        <v>125</v>
      </c>
      <c r="O3" s="27" t="s">
        <v>125</v>
      </c>
      <c r="P3" s="27" t="s">
        <v>1267</v>
      </c>
      <c r="Q3" s="27" t="s">
        <v>1267</v>
      </c>
      <c r="R3" s="27" t="s">
        <v>1267</v>
      </c>
      <c r="S3" s="27" t="s">
        <v>125</v>
      </c>
      <c r="T3" s="27" t="s">
        <v>600</v>
      </c>
      <c r="U3" s="27" t="s">
        <v>195</v>
      </c>
      <c r="V3" s="27" t="s">
        <v>284</v>
      </c>
      <c r="W3" s="27" t="s">
        <v>1283</v>
      </c>
      <c r="X3" s="27" t="s">
        <v>207</v>
      </c>
      <c r="Y3" s="27" t="s">
        <v>207</v>
      </c>
      <c r="Z3" s="27" t="s">
        <v>203</v>
      </c>
      <c r="AA3" s="27" t="s">
        <v>125</v>
      </c>
      <c r="AB3" s="27" t="s">
        <v>125</v>
      </c>
      <c r="AC3" s="27" t="s">
        <v>125</v>
      </c>
      <c r="AD3" s="27" t="s">
        <v>125</v>
      </c>
      <c r="AE3" s="27" t="s">
        <v>125</v>
      </c>
      <c r="AF3" s="27" t="s">
        <v>125</v>
      </c>
      <c r="AG3" s="27" t="s">
        <v>125</v>
      </c>
    </row>
    <row r="4" spans="1:33" outlineLevel="1" x14ac:dyDescent="0.3">
      <c r="A4" s="16" t="s">
        <v>1288</v>
      </c>
      <c r="B4" s="2">
        <v>144396</v>
      </c>
      <c r="C4" s="2">
        <v>77811</v>
      </c>
      <c r="D4" s="2">
        <v>77812</v>
      </c>
      <c r="E4" s="2">
        <v>144399</v>
      </c>
      <c r="F4" s="27">
        <v>101874</v>
      </c>
      <c r="G4" s="2">
        <v>32797</v>
      </c>
      <c r="H4" s="2">
        <v>32796</v>
      </c>
      <c r="I4" s="2">
        <v>89168</v>
      </c>
      <c r="J4" s="2">
        <v>88648</v>
      </c>
      <c r="K4" s="27">
        <v>90872</v>
      </c>
      <c r="L4" s="27">
        <v>90916</v>
      </c>
      <c r="M4" s="27">
        <v>90938</v>
      </c>
      <c r="N4" s="27">
        <v>90982</v>
      </c>
      <c r="O4" s="27">
        <v>91004</v>
      </c>
      <c r="P4" s="2">
        <v>32648</v>
      </c>
      <c r="Q4" s="2">
        <v>32678</v>
      </c>
      <c r="R4" s="2">
        <v>32694</v>
      </c>
      <c r="S4" s="27">
        <v>58144</v>
      </c>
      <c r="T4" s="2">
        <v>764</v>
      </c>
      <c r="U4" s="2">
        <v>577</v>
      </c>
      <c r="V4" s="2">
        <v>970</v>
      </c>
      <c r="W4" s="2">
        <v>32214</v>
      </c>
      <c r="X4" s="2">
        <v>87267</v>
      </c>
      <c r="Y4" s="2">
        <v>87304</v>
      </c>
      <c r="Z4" s="2">
        <v>88738</v>
      </c>
      <c r="AA4" s="27">
        <v>90344</v>
      </c>
      <c r="AB4" s="27">
        <v>90388</v>
      </c>
      <c r="AC4" s="27">
        <v>90410</v>
      </c>
      <c r="AD4" s="27">
        <v>90498</v>
      </c>
      <c r="AE4" s="27">
        <v>90520</v>
      </c>
      <c r="AF4" s="27">
        <v>89618</v>
      </c>
      <c r="AG4" s="27">
        <v>144767</v>
      </c>
    </row>
    <row r="5" spans="1:33" outlineLevel="1" x14ac:dyDescent="0.3">
      <c r="A5" t="s">
        <v>1291</v>
      </c>
      <c r="B5" s="27" t="s">
        <v>221</v>
      </c>
      <c r="C5" s="27" t="s">
        <v>194</v>
      </c>
      <c r="D5" s="27" t="s">
        <v>199</v>
      </c>
      <c r="E5" s="27" t="s">
        <v>253</v>
      </c>
      <c r="F5" s="27" t="s">
        <v>189</v>
      </c>
      <c r="G5" s="27" t="s">
        <v>577</v>
      </c>
      <c r="H5" s="27" t="s">
        <v>581</v>
      </c>
      <c r="I5" s="27" t="s">
        <v>582</v>
      </c>
      <c r="J5" s="27" t="s">
        <v>584</v>
      </c>
      <c r="K5" s="27" t="s">
        <v>586</v>
      </c>
      <c r="L5" s="27" t="s">
        <v>588</v>
      </c>
      <c r="M5" s="27" t="s">
        <v>590</v>
      </c>
      <c r="N5" s="27" t="s">
        <v>592</v>
      </c>
      <c r="O5" s="27" t="s">
        <v>594</v>
      </c>
      <c r="P5" s="27" t="s">
        <v>595</v>
      </c>
      <c r="Q5" s="27" t="s">
        <v>596</v>
      </c>
      <c r="R5" s="27" t="s">
        <v>597</v>
      </c>
      <c r="S5" s="27" t="s">
        <v>599</v>
      </c>
      <c r="T5" s="27" t="s">
        <v>1298</v>
      </c>
      <c r="U5" s="27" t="s">
        <v>601</v>
      </c>
      <c r="V5" s="27" t="s">
        <v>602</v>
      </c>
      <c r="W5" s="27" t="s">
        <v>604</v>
      </c>
      <c r="X5" s="27" t="s">
        <v>606</v>
      </c>
      <c r="Y5" s="27" t="s">
        <v>608</v>
      </c>
      <c r="Z5" s="27" t="s">
        <v>609</v>
      </c>
      <c r="AA5" s="27" t="s">
        <v>611</v>
      </c>
      <c r="AB5" s="27" t="s">
        <v>612</v>
      </c>
      <c r="AC5" s="27" t="s">
        <v>613</v>
      </c>
      <c r="AD5" s="27" t="s">
        <v>614</v>
      </c>
      <c r="AE5" s="27" t="s">
        <v>615</v>
      </c>
      <c r="AF5" s="27" t="s">
        <v>907</v>
      </c>
      <c r="AG5" s="27" t="s">
        <v>616</v>
      </c>
    </row>
    <row r="6" spans="1:33" outlineLevel="1" x14ac:dyDescent="0.3">
      <c r="A6" t="s">
        <v>1289</v>
      </c>
      <c r="B6" s="27" t="s">
        <v>222</v>
      </c>
      <c r="C6" s="27" t="s">
        <v>196</v>
      </c>
      <c r="D6" s="27" t="s">
        <v>196</v>
      </c>
      <c r="E6" s="27" t="s">
        <v>187</v>
      </c>
      <c r="F6" s="27" t="s">
        <v>190</v>
      </c>
      <c r="G6" s="27" t="s">
        <v>578</v>
      </c>
      <c r="H6" s="27" t="s">
        <v>578</v>
      </c>
      <c r="I6" s="27" t="s">
        <v>578</v>
      </c>
      <c r="J6" s="27" t="s">
        <v>578</v>
      </c>
      <c r="K6" s="27" t="s">
        <v>578</v>
      </c>
      <c r="L6" s="27" t="s">
        <v>578</v>
      </c>
      <c r="M6" s="27" t="s">
        <v>578</v>
      </c>
      <c r="N6" s="27" t="s">
        <v>578</v>
      </c>
      <c r="O6" s="27" t="s">
        <v>578</v>
      </c>
      <c r="P6" s="27" t="s">
        <v>578</v>
      </c>
      <c r="Q6" s="27" t="s">
        <v>578</v>
      </c>
      <c r="R6" s="27" t="s">
        <v>578</v>
      </c>
      <c r="S6" s="27" t="s">
        <v>578</v>
      </c>
      <c r="T6" s="27" t="s">
        <v>578</v>
      </c>
      <c r="U6" s="27" t="s">
        <v>578</v>
      </c>
      <c r="V6" s="27" t="s">
        <v>578</v>
      </c>
      <c r="W6" s="27" t="s">
        <v>578</v>
      </c>
      <c r="X6" s="27" t="s">
        <v>578</v>
      </c>
      <c r="Y6" s="27" t="s">
        <v>578</v>
      </c>
      <c r="Z6" s="27" t="s">
        <v>578</v>
      </c>
      <c r="AA6" s="27" t="s">
        <v>578</v>
      </c>
      <c r="AB6" s="27" t="s">
        <v>578</v>
      </c>
      <c r="AC6" s="27" t="s">
        <v>578</v>
      </c>
      <c r="AD6" s="27" t="s">
        <v>578</v>
      </c>
      <c r="AE6" s="27" t="s">
        <v>578</v>
      </c>
      <c r="AF6" s="27" t="s">
        <v>578</v>
      </c>
      <c r="AG6" s="27" t="s">
        <v>578</v>
      </c>
    </row>
    <row r="7" spans="1:33" outlineLevel="1" x14ac:dyDescent="0.3">
      <c r="A7" t="s">
        <v>1290</v>
      </c>
      <c r="B7" s="27" t="s">
        <v>223</v>
      </c>
      <c r="C7" s="27" t="s">
        <v>197</v>
      </c>
      <c r="D7" s="27" t="s">
        <v>197</v>
      </c>
      <c r="E7" s="27" t="s">
        <v>188</v>
      </c>
      <c r="F7" s="27" t="s">
        <v>191</v>
      </c>
      <c r="G7" s="27" t="s">
        <v>579</v>
      </c>
      <c r="H7" s="27" t="s">
        <v>579</v>
      </c>
      <c r="I7" s="27" t="s">
        <v>579</v>
      </c>
      <c r="J7" s="27" t="s">
        <v>579</v>
      </c>
      <c r="K7" s="27" t="s">
        <v>579</v>
      </c>
      <c r="L7" s="27" t="s">
        <v>579</v>
      </c>
      <c r="M7" s="27" t="s">
        <v>579</v>
      </c>
      <c r="N7" s="27" t="s">
        <v>579</v>
      </c>
      <c r="O7" s="27" t="s">
        <v>579</v>
      </c>
      <c r="P7" s="27" t="s">
        <v>579</v>
      </c>
      <c r="Q7" s="27" t="s">
        <v>579</v>
      </c>
      <c r="R7" s="27" t="s">
        <v>579</v>
      </c>
      <c r="S7" s="27" t="s">
        <v>579</v>
      </c>
      <c r="T7" s="27" t="s">
        <v>579</v>
      </c>
      <c r="U7" s="27" t="s">
        <v>579</v>
      </c>
      <c r="V7" s="27" t="s">
        <v>579</v>
      </c>
      <c r="W7" s="27" t="s">
        <v>579</v>
      </c>
      <c r="X7" s="27" t="s">
        <v>579</v>
      </c>
      <c r="Y7" s="27" t="s">
        <v>579</v>
      </c>
      <c r="Z7" s="27" t="s">
        <v>579</v>
      </c>
      <c r="AA7" s="27" t="s">
        <v>579</v>
      </c>
      <c r="AB7" s="27" t="s">
        <v>579</v>
      </c>
      <c r="AC7" s="27" t="s">
        <v>579</v>
      </c>
      <c r="AD7" s="27" t="s">
        <v>579</v>
      </c>
      <c r="AE7" s="27" t="s">
        <v>579</v>
      </c>
      <c r="AF7" s="27" t="s">
        <v>579</v>
      </c>
      <c r="AG7" s="27" t="s">
        <v>579</v>
      </c>
    </row>
    <row r="8" spans="1:33" outlineLevel="1" x14ac:dyDescent="0.3">
      <c r="A8" s="16" t="s">
        <v>489</v>
      </c>
      <c r="B8" s="27" t="s">
        <v>120</v>
      </c>
      <c r="C8" s="27" t="s">
        <v>163</v>
      </c>
      <c r="D8" s="27" t="s">
        <v>163</v>
      </c>
      <c r="E8" s="27" t="s">
        <v>159</v>
      </c>
      <c r="F8" s="27"/>
      <c r="G8" s="27" t="s">
        <v>290</v>
      </c>
      <c r="H8" s="27" t="s">
        <v>293</v>
      </c>
      <c r="I8" s="27" t="s">
        <v>278</v>
      </c>
      <c r="J8" s="27" t="s">
        <v>120</v>
      </c>
      <c r="K8" s="27" t="s">
        <v>126</v>
      </c>
      <c r="L8" s="27" t="s">
        <v>129</v>
      </c>
      <c r="M8" s="27" t="s">
        <v>132</v>
      </c>
      <c r="N8" s="27" t="s">
        <v>135</v>
      </c>
      <c r="O8" s="27" t="s">
        <v>138</v>
      </c>
      <c r="P8" s="27" t="s">
        <v>141</v>
      </c>
      <c r="Q8" s="27" t="s">
        <v>146</v>
      </c>
      <c r="R8" s="27" t="s">
        <v>149</v>
      </c>
      <c r="S8" s="27" t="s">
        <v>154</v>
      </c>
      <c r="T8" s="27" t="s">
        <v>159</v>
      </c>
      <c r="U8" s="27" t="s">
        <v>163</v>
      </c>
      <c r="V8" s="27" t="s">
        <v>168</v>
      </c>
      <c r="W8" s="27" t="s">
        <v>217</v>
      </c>
      <c r="X8" s="27" t="s">
        <v>208</v>
      </c>
      <c r="Y8" s="27" t="s">
        <v>213</v>
      </c>
      <c r="Z8" s="27" t="s">
        <v>204</v>
      </c>
      <c r="AA8" s="27" t="s">
        <v>126</v>
      </c>
      <c r="AB8" s="27" t="s">
        <v>129</v>
      </c>
      <c r="AC8" s="27" t="s">
        <v>132</v>
      </c>
      <c r="AD8" s="27" t="s">
        <v>135</v>
      </c>
      <c r="AE8" s="27" t="s">
        <v>138</v>
      </c>
      <c r="AF8" s="27" t="s">
        <v>351</v>
      </c>
      <c r="AG8" s="27" t="s">
        <v>402</v>
      </c>
    </row>
    <row r="9" spans="1:33" outlineLevel="1" x14ac:dyDescent="0.3">
      <c r="A9" s="16" t="s">
        <v>490</v>
      </c>
      <c r="B9" s="27" t="s">
        <v>121</v>
      </c>
      <c r="C9" s="27" t="s">
        <v>164</v>
      </c>
      <c r="D9" s="27" t="s">
        <v>164</v>
      </c>
      <c r="E9" s="27" t="s">
        <v>160</v>
      </c>
      <c r="F9" s="27"/>
      <c r="G9" s="27" t="s">
        <v>291</v>
      </c>
      <c r="H9" s="27" t="s">
        <v>294</v>
      </c>
      <c r="I9" s="27" t="s">
        <v>279</v>
      </c>
      <c r="J9" s="27" t="s">
        <v>121</v>
      </c>
      <c r="K9" s="27" t="s">
        <v>127</v>
      </c>
      <c r="L9" s="27" t="s">
        <v>130</v>
      </c>
      <c r="M9" s="27" t="s">
        <v>133</v>
      </c>
      <c r="N9" s="27" t="s">
        <v>136</v>
      </c>
      <c r="O9" s="27" t="s">
        <v>139</v>
      </c>
      <c r="P9" s="27" t="s">
        <v>142</v>
      </c>
      <c r="Q9" s="27" t="s">
        <v>147</v>
      </c>
      <c r="R9" s="27" t="s">
        <v>150</v>
      </c>
      <c r="S9" s="27" t="s">
        <v>155</v>
      </c>
      <c r="T9" s="27" t="s">
        <v>160</v>
      </c>
      <c r="U9" s="27" t="s">
        <v>164</v>
      </c>
      <c r="V9" s="27" t="s">
        <v>169</v>
      </c>
      <c r="W9" s="27" t="s">
        <v>218</v>
      </c>
      <c r="X9" s="27" t="s">
        <v>209</v>
      </c>
      <c r="Y9" s="27" t="s">
        <v>214</v>
      </c>
      <c r="Z9" s="27" t="s">
        <v>205</v>
      </c>
      <c r="AA9" s="27" t="s">
        <v>127</v>
      </c>
      <c r="AB9" s="27" t="s">
        <v>130</v>
      </c>
      <c r="AC9" s="27" t="s">
        <v>133</v>
      </c>
      <c r="AD9" s="27" t="s">
        <v>136</v>
      </c>
      <c r="AE9" s="27" t="s">
        <v>139</v>
      </c>
      <c r="AF9" s="27" t="s">
        <v>352</v>
      </c>
      <c r="AG9" s="28" t="s">
        <v>403</v>
      </c>
    </row>
    <row r="10" spans="1:33" outlineLevel="1" x14ac:dyDescent="0.3">
      <c r="A10" s="16" t="s">
        <v>491</v>
      </c>
      <c r="B10" s="27" t="s">
        <v>224</v>
      </c>
      <c r="C10" s="27" t="s">
        <v>165</v>
      </c>
      <c r="D10" s="27" t="s">
        <v>200</v>
      </c>
      <c r="E10" s="27" t="s">
        <v>226</v>
      </c>
      <c r="F10" s="27"/>
      <c r="G10" s="27" t="s">
        <v>175</v>
      </c>
      <c r="H10" s="27" t="s">
        <v>175</v>
      </c>
      <c r="I10" s="27" t="s">
        <v>184</v>
      </c>
      <c r="J10" s="27" t="s">
        <v>122</v>
      </c>
      <c r="K10" s="27" t="s">
        <v>122</v>
      </c>
      <c r="L10" s="27" t="s">
        <v>122</v>
      </c>
      <c r="M10" s="27" t="s">
        <v>122</v>
      </c>
      <c r="N10" s="27" t="s">
        <v>122</v>
      </c>
      <c r="O10" s="27" t="s">
        <v>122</v>
      </c>
      <c r="P10" s="27" t="s">
        <v>143</v>
      </c>
      <c r="Q10" s="27" t="s">
        <v>143</v>
      </c>
      <c r="R10" s="27" t="s">
        <v>151</v>
      </c>
      <c r="S10" s="27" t="s">
        <v>156</v>
      </c>
      <c r="T10" s="27" t="s">
        <v>447</v>
      </c>
      <c r="U10" s="27" t="s">
        <v>165</v>
      </c>
      <c r="V10" s="27" t="s">
        <v>170</v>
      </c>
      <c r="W10" s="27" t="s">
        <v>219</v>
      </c>
      <c r="X10" s="27" t="s">
        <v>210</v>
      </c>
      <c r="Y10" s="27" t="s">
        <v>210</v>
      </c>
      <c r="Z10" s="27" t="s">
        <v>184</v>
      </c>
      <c r="AA10" s="27" t="s">
        <v>184</v>
      </c>
      <c r="AB10" s="27" t="s">
        <v>184</v>
      </c>
      <c r="AC10" s="27" t="s">
        <v>184</v>
      </c>
      <c r="AD10" s="27" t="s">
        <v>184</v>
      </c>
      <c r="AE10" s="27" t="s">
        <v>184</v>
      </c>
      <c r="AF10" s="27" t="s">
        <v>156</v>
      </c>
      <c r="AG10" s="27" t="s">
        <v>184</v>
      </c>
    </row>
    <row r="11" spans="1:33" ht="15.6" customHeight="1" outlineLevel="1" x14ac:dyDescent="0.3">
      <c r="A11" s="16" t="s">
        <v>492</v>
      </c>
      <c r="B11" s="27" t="s">
        <v>225</v>
      </c>
      <c r="C11" s="27" t="s">
        <v>166</v>
      </c>
      <c r="D11" s="27" t="s">
        <v>201</v>
      </c>
      <c r="E11" s="27" t="s">
        <v>227</v>
      </c>
      <c r="F11" s="27"/>
      <c r="G11" s="27" t="s">
        <v>176</v>
      </c>
      <c r="H11" s="27" t="s">
        <v>176</v>
      </c>
      <c r="I11" s="27" t="s">
        <v>185</v>
      </c>
      <c r="J11" s="27" t="s">
        <v>118</v>
      </c>
      <c r="K11" s="27" t="s">
        <v>118</v>
      </c>
      <c r="L11" s="27" t="s">
        <v>118</v>
      </c>
      <c r="M11" s="27" t="s">
        <v>118</v>
      </c>
      <c r="N11" s="27" t="s">
        <v>118</v>
      </c>
      <c r="O11" s="27" t="s">
        <v>118</v>
      </c>
      <c r="P11" s="27" t="s">
        <v>144</v>
      </c>
      <c r="Q11" s="27" t="s">
        <v>144</v>
      </c>
      <c r="R11" s="27" t="s">
        <v>152</v>
      </c>
      <c r="S11" s="27" t="s">
        <v>157</v>
      </c>
      <c r="T11" s="27" t="s">
        <v>448</v>
      </c>
      <c r="U11" s="27" t="s">
        <v>166</v>
      </c>
      <c r="V11" s="27" t="s">
        <v>171</v>
      </c>
      <c r="W11" s="27" t="s">
        <v>220</v>
      </c>
      <c r="X11" s="27" t="s">
        <v>211</v>
      </c>
      <c r="Y11" s="27" t="s">
        <v>211</v>
      </c>
      <c r="Z11" s="27" t="s">
        <v>185</v>
      </c>
      <c r="AA11" s="27" t="s">
        <v>185</v>
      </c>
      <c r="AB11" s="27" t="s">
        <v>185</v>
      </c>
      <c r="AC11" s="27" t="s">
        <v>185</v>
      </c>
      <c r="AD11" s="27" t="s">
        <v>185</v>
      </c>
      <c r="AE11" s="27" t="s">
        <v>185</v>
      </c>
      <c r="AF11" s="27" t="s">
        <v>157</v>
      </c>
      <c r="AG11" s="27" t="s">
        <v>185</v>
      </c>
    </row>
    <row r="12" spans="1:33" outlineLevel="1" x14ac:dyDescent="0.3">
      <c r="B12" s="4" t="str">
        <f>INDEX({"31/01/2024 @ 15:41","macro_id=DBGlobal","label_id=144396","time=Q","year_from=2000","year_to=2023","direction=V","opt_font=true","fontsize=8","opt_color=true","col_desc=Calculation:10;Footnote 1:9;ID:8;Label:7;Reporter:6:s;Reporter:5:long;Indicator:4:s;Indicator:3:l;Unit:2:s;Unit:1:long;","numberformat=0.00","auto_tr=1999|2015","com=true","comp=4"},1,1)</f>
        <v>31/01/2024 @ 15:41</v>
      </c>
      <c r="C12" s="4" t="str">
        <f>INDEX({"31/01/2024 @ 15:41","macro_id=DBGlobal","label_id=77811","time=Q","year_from=2000","year_to=2023","direction=V","opt_font=true","fontsize=8","opt_color=true","col_desc=Calculation:10;Footnote 1:9;ID:8;Label:7;Reporter:6:s;Reporter:5:long;Indicator:4:s;Indicator:3:l;Unit:2:s;Unit:1:long;","numberformat=0.00","auto_tr=1999|2015","com=true","comp=4"},1,1)</f>
        <v>31/01/2024 @ 15:41</v>
      </c>
      <c r="D12" s="6" t="str">
        <f>INDEX({"31/01/2024 @ 15:41","macro_id=DBGlobal","label_id=77812","calc=SubScal(L_77812,100)","time=Q","year_from=2000","year_to=2023","direction=V","opt_font=true","fontsize=8","opt_color=true","col_desc=Calculation:10;Footnote 1:9;ID:8;Label:7;Reporter:6:s;Reporter:5:long;Indicator:4:s;Indicator:3:l;Unit:2:s;Unit:1:long;","numberformat=0.00","auto_tr=1999|2015","com=true","comp=4"},1,1)</f>
        <v>31/01/2024 @ 15:41</v>
      </c>
      <c r="E12" s="4" t="str">
        <f>INDEX({"31/01/2024 @ 15:41","macro_id=DBGlobal","label_id=144399","time=Q","year_from=2000","year_to=2023","direction=V","opt_font=true","fontsize=8","opt_color=true","col_desc=Calculation:10;Footnote 1:9;ID:8;Label:7;Reporter:6:s;Reporter:5:long;Indicator:4:s;Indicator:3:l;Unit:2:s;Unit:1:long;","numberformat=0.00","auto_tr=1999|2015","com=true","comp=4"},1,1)</f>
        <v>31/01/2024 @ 15:41</v>
      </c>
      <c r="F12" s="4" t="str">
        <f>INDEX({"31/01/2024 @ 15:41","macro_id=DBGlobal","label_id=101874","time=Q","year_from=2000","year_to=2023","direction=V","opt_font=true","fontsize=8","opt_color=true","col_desc=Calculation:10;Footnote 1:9;ID:8;Label:7;Reporter:6:s;Reporter:5:long;Indicator:4:s;Indicator:3:l;Unit:2:s;Unit:1:long;","numberformat=0.00","auto_tr=1999|2015","com=true","comp=4"},1,1)</f>
        <v>31/01/2024 @ 15:41</v>
      </c>
      <c r="G12" s="5" t="str">
        <f>INDEX({"31/01/2024 @ 15:41","macro_id=DBGlobal","label_id=32797","calc=SubScal(CPPY=100(L_32797),100)","time=Q","year_from=2000","year_to=2023","direction=V","opt_font=true","fontsize=8","opt_color=true","col_desc=Calculation:10;Footnote 1:9;ID:8;Label:7;Reporter:6:s;Reporter:5:long;Indicator:4:s;Indicator:3:l;Unit:2:s;Unit:1:long;","numberformat=0.00","auto_tr=1999|2015","com=true","comp=4"},1,1)</f>
        <v>31/01/2024 @ 15:41</v>
      </c>
      <c r="H12" s="5" t="str">
        <f>INDEX({"31/01/2024 @ 15:41","macro_id=DBGlobal","label_id=32796","calc=SubScal(CPPY=100(L_32796),100)","time=Q","year_from=2000","year_to=2023","direction=V","opt_font=true","fontsize=8","opt_color=true","col_desc=Calculation:10;Footnote 1:9;ID:8;Label:7;Reporter:6:s;Reporter:5:long;Indicator:4:s;Indicator:3:l;Unit:2:s;Unit:1:long;","numberformat=0.00","auto_tr=1999|2015","com=true","comp=4"},1,1)</f>
        <v>31/01/2024 @ 15:41</v>
      </c>
      <c r="I12" s="1" t="str">
        <f>INDEX({"31/01/2024 @ 15:41","macro_id=DBGlobal","label_id=89168","time=Q","year_from=2000","year_to=2023","direction=V","opt_font=true","fontsize=8","opt_color=true","col_desc=Calculation:10;Footnote 1:9;ID:8;Label:7;Reporter:6:s;Reporter:5:long;Indicator:4:s;Indicator:3:l;Unit:2:s;Unit:1:long;","numberformat=0.00","auto_tr=1999|2015","com=true","comp=4"},1,1)</f>
        <v>31/01/2024 @ 15:41</v>
      </c>
      <c r="J12" s="5" t="str">
        <f>INDEX({"31/01/2024 @ 15:41","macro_id=DBGlobal","label_id=88648","calc=SubScal(CPPY=100(L_88648),100)","time=Q","year_from=2000","year_to=2023","direction=V","opt_font=true","fontsize=8","opt_color=true","col_desc=Calculation:10;Footnote 1:9;ID:8;Label:7;Reporter:6:s;Reporter:5:long;Indicator:4:s;Indicator:3:l;Unit:2:s;Unit:1:long;","numberformat=0.00","auto_tr=1999|2015","com=true","comp=4"},1,1)</f>
        <v>31/01/2024 @ 15:41</v>
      </c>
      <c r="K12" s="5" t="str">
        <f>INDEX({"31/01/2024 @ 15:41","macro_id=DBGlobal","label_id=90872","calc=SubScal(CPPY=100(L_90872),100)","time=Q","year_from=2000","year_to=2023","direction=V","opt_font=true","fontsize=8","opt_color=true","col_desc=Calculation:10;Footnote 1:9;ID:8;Label:7;Reporter:6:s;Reporter:5:long;Indicator:4:s;Indicator:3:l;Unit:2:s;Unit:1:long;","numberformat=0.00","auto_tr=1999|2015","com=true","comp=4"},1,1)</f>
        <v>31/01/2024 @ 15:41</v>
      </c>
      <c r="L12" s="5" t="str">
        <f>INDEX({"31/01/2024 @ 15:41","macro_id=DBGlobal","label_id=90916","calc=SubScal(CPPY=100(L_90916),100)","time=Q","year_from=2000","year_to=2023","direction=V","opt_font=true","fontsize=8","opt_color=true","col_desc=Calculation:10;Footnote 1:9;ID:8;Label:7;Reporter:6:s;Reporter:5:long;Indicator:4:s;Indicator:3:l;Unit:2:s;Unit:1:long;","numberformat=0.00","auto_tr=1999|2015","com=true","comp=4"},1,1)</f>
        <v>31/01/2024 @ 15:41</v>
      </c>
      <c r="M12" s="5" t="str">
        <f>INDEX({"31/01/2024 @ 15:41","macro_id=DBGlobal","label_id=90938","calc=SubScal(CPPY=100(L_90938),100)","time=Q","year_from=2000","year_to=2023","direction=V","opt_font=true","fontsize=8","opt_color=true","col_desc=Calculation:10;Footnote 1:9;ID:8;Label:7;Reporter:6:s;Reporter:5:long;Indicator:4:s;Indicator:3:l;Unit:2:s;Unit:1:long;","numberformat=0.00","auto_tr=1999|2015","com=true","comp=4"},1,1)</f>
        <v>31/01/2024 @ 15:41</v>
      </c>
      <c r="N12" s="5" t="str">
        <f>INDEX({"31/01/2024 @ 15:41","macro_id=DBGlobal","label_id=90982","calc=SubScal(CPPY=100(L_90982),100)","time=Q","year_from=2000","year_to=2023","direction=V","opt_font=true","fontsize=8","opt_color=true","col_desc=Calculation:10;Footnote 1:9;ID:8;Label:7;Reporter:6:s;Reporter:5:long;Indicator:4:s;Indicator:3:l;Unit:2:s;Unit:1:long;","numberformat=0.00","auto_tr=1999|2015","com=true","comp=4"},1,1)</f>
        <v>31/01/2024 @ 15:41</v>
      </c>
      <c r="O12" s="5" t="str">
        <f>INDEX({"31/01/2024 @ 15:41","macro_id=DBGlobal","label_id=91004","calc=SubScal(CPPY=100(L_91004),100)","time=Q","year_from=2000","year_to=2023","direction=V","opt_font=true","fontsize=8","opt_color=true","col_desc=Calculation:10;Footnote 1:9;ID:8;Label:7;Reporter:6:s;Reporter:5:long;Indicator:4:s;Indicator:3:l;Unit:2:s;Unit:1:long;","numberformat=0.00","auto_tr=1999|2015","com=true","comp=4"},1,1)</f>
        <v>31/01/2024 @ 15:41</v>
      </c>
      <c r="P12" s="1" t="str">
        <f>INDEX({"31/01/2024 @ 15:41","macro_id=DBGlobal","label_id=32648","time=Q","year_from=2000","year_to=2023","direction=V","opt_font=true","fontsize=8","opt_color=true","col_desc=Calculation:10;Footnote 1:9;ID:8;Label:7;Reporter:6:s;Reporter:5:long;Indicator:4:s;Indicator:3:l;Unit:2:s;Unit:1:long;","numberformat=0.00","auto_tr=1999|2015","com=true","comp=4"},1,1)</f>
        <v>31/01/2024 @ 15:41</v>
      </c>
      <c r="Q12" s="1" t="str">
        <f>INDEX({"31/01/2024 @ 15:41","macro_id=DBGlobal","label_id=32678","time=Q","year_from=2000","year_to=2023","direction=V","opt_font=true","fontsize=8","opt_color=true","col_desc=Calculation:10;Footnote 1:9;ID:8;Label:7;Reporter:6:s;Reporter:5:long;Indicator:4:s;Indicator:3:l;Unit:2:s;Unit:1:long;","numberformat=0.00","auto_tr=1999|2015","com=true","comp=4"},1,1)</f>
        <v>31/01/2024 @ 15:41</v>
      </c>
      <c r="R12" s="1" t="str">
        <f>INDEX({"31/01/2024 @ 15:41","macro_id=DBGlobal","label_id=32694","time=Q","year_from=2000","year_to=2023","direction=V","opt_font=true","fontsize=8","opt_color=true","col_desc=Calculation:10;Footnote 1:9;ID:8;Label:7;Reporter:6:s;Reporter:5:long;Indicator:4:s;Indicator:3:l;Unit:2:s;Unit:1:long;","numberformat=0.00","auto_tr=1999|2015","com=true","comp=4"},1,1)</f>
        <v>31/01/2024 @ 15:41</v>
      </c>
      <c r="S12" s="5" t="str">
        <f>INDEX({"31/01/2024 @ 15:41","macro_id=DBGlobal","label_id=58144","calc=SubScal(L_58144,100)","time=Q","year_from=2000","year_to=2023","direction=V","opt_font=true","fontsize=8","opt_color=true","col_desc=Calculation:10;Footnote 1:9;ID:8;Label:7;Reporter:6:s;Reporter:5:long;Indicator:4:s;Indicator:3:l;Unit:2:s;Unit:1:long;","numberformat=0.00","auto_tr=1999|2015","com=true","comp=4"},1,1)</f>
        <v>31/01/2024 @ 15:41</v>
      </c>
      <c r="T12" s="1" t="str">
        <f>INDEX({"31/01/2024 @ 15:41","macro_id=DBGlobal","label_id=764","time=Q","year_from=2000","year_to=2023","direction=V","opt_font=true","fontsize=8","opt_color=true","col_desc=Calculation:10;Footnote 1:9;ID:8;Label:7;Reporter:6:s;Reporter:5:long;Indicator:4:s;Indicator:3:l;Unit:2:s;Unit:1:long;","numberformat=0.00","auto_tr=1999|2015","com=true","comp=4"},1,1)</f>
        <v>31/01/2024 @ 15:41</v>
      </c>
      <c r="U12" s="1" t="str">
        <f>INDEX({"31/01/2024 @ 15:41","macro_id=DBGlobal","label_id=577","time=Q","year_from=2000","year_to=2023","direction=V","opt_font=true","fontsize=8","opt_color=true","col_desc=Calculation:10;Footnote 1:9;ID:8;Label:7;Reporter:6:s;Reporter:5:long;Indicator:4:s;Indicator:3:l;Unit:2:s;Unit:1:long;","numberformat=0.00","auto_tr=1999|2015","com=true","comp=4"},1,1)</f>
        <v>31/01/2024 @ 15:41</v>
      </c>
      <c r="V12" s="1" t="str">
        <f>INDEX({"31/01/2024 @ 15:41","macro_id=DBGlobal","label_id=970","time=Q","year_from=2000","year_to=2023","direction=V","opt_font=true","fontsize=8","opt_color=true","col_desc=Calculation:10;Footnote 1:9;ID:8;Label:7;Reporter:6:s;Reporter:5:long;Indicator:4:s;Indicator:3:l;Unit:2:s;Unit:1:long;","numberformat=0.00","auto_tr=1999|2015","com=true","comp=4"},1,1)</f>
        <v>31/01/2024 @ 15:41</v>
      </c>
      <c r="W12" s="5" t="str">
        <f>INDEX({"31/01/2024 @ 15:41","macro_id=DBGlobal","label_id=32214","calc=SubScal(L_32214,100)","time=Q","year_from=2000","year_to=2023","direction=V","opt_font=true","fontsize=8","opt_color=true","col_desc=Calculation:10;Footnote 1:9;ID:8;Label:7;Reporter:6:s;Reporter:5:long;Indicator:4:s;Indicator:3:l;Unit:2:s;Unit:1:long;","numberformat=0.00","auto_tr=1999|2015","com=true","comp=4"},1,1)</f>
        <v>31/01/2024 @ 15:41</v>
      </c>
      <c r="X12" s="6" t="str">
        <f>INDEX({"31/01/2024 @ 15:41","macro_id=DBGlobal","label_id=87267","calc=SubScal(CPPY=100(AddNull(L_87267,L_87341)),100)","time=Q","year_from=2000","year_to=2023","direction=V","opt_font=true","fontsize=8","opt_color=true","col_desc=Calculation:10;Footnote 1:9;ID:8;Label:7;Reporter:6:s;Reporter:5:long;Indicator:4:s;Indicator:3:l;Unit:2:s;Unit:1:long;","numberformat=0.00","auto_tr=1999|2015","com=true","comp=4"},1,1)</f>
        <v>31/01/2024 @ 15:41</v>
      </c>
      <c r="Y12" s="6" t="str">
        <f>INDEX({"31/01/2024 @ 15:41","macro_id=DBGlobal","label_id=87304","calc=SubScal(CPPY=100(AddNull(L_87304,L_87378)),100)","time=Q","year_from=2000","year_to=2023","direction=V","opt_font=true","fontsize=8","opt_color=true","col_desc=Calculation:10;Footnote 1:9;ID:8;Label:7;Reporter:6:s;Reporter:5:long;Indicator:4:s;Indicator:3:l;Unit:2:s;Unit:1:long;","numberformat=0.00","auto_tr=1999|2015","com=true","comp=4"},1,1)</f>
        <v>31/01/2024 @ 15:41</v>
      </c>
      <c r="Z12" s="1" t="str">
        <f>INDEX({"31/01/2024 @ 15:41","macro_id=DBGlobal","label_id=88738","time=Q","year_from=2000","year_to=2023","direction=V","opt_font=true","fontsize=8","opt_color=true","col_desc=Calculation:10;Footnote 1:9;ID:8;Label:7;Reporter:6:s;Reporter:5:long;Indicator:4:s;Indicator:3:l;Unit:2:s;Unit:1:long;","numberformat=0.00","auto_tr=1999|2015","com=true","comp=4"},1,1)</f>
        <v>31/01/2024 @ 15:41</v>
      </c>
      <c r="AA12" s="5" t="str">
        <f>INDEX({"31/01/2024 @ 15:41","macro_id=DBGlobal","label_id=90344","calc=AddNull(L_90344,L_90366)","time=Q","year_from=2000","year_to=2023","direction=V","opt_font=true","fontsize=8","opt_color=true","col_desc=Calculation:10;Footnote 1:9;ID:8;Label:7;Reporter:6:s;Reporter:5:long;Indicator:4:s;Indicator:3:l;Unit:2:s;Unit:1:long;","numberformat=0.00","auto_tr=1999|2015","com=true","comp=4"},1,1)</f>
        <v>31/01/2024 @ 15:41</v>
      </c>
      <c r="AB12" s="1" t="str">
        <f>INDEX({"31/01/2024 @ 15:41","macro_id=DBGlobal","label_id=90388","time=Q","year_from=2000","year_to=2023","direction=V","opt_font=true","fontsize=8","opt_color=true","col_desc=Calculation:10;Footnote 1:9;ID:8;Label:7;Reporter:6:s;Reporter:5:long;Indicator:4:s;Indicator:3:l;Unit:2:s;Unit:1:long;","numberformat=0.00","auto_tr=1999|2015","com=true","comp=4"},1,1)</f>
        <v>31/01/2024 @ 15:41</v>
      </c>
      <c r="AC12" s="1" t="str">
        <f>INDEX({"31/01/2024 @ 15:41","macro_id=DBGlobal","label_id=90410","time=Q","year_from=2000","year_to=2023","direction=V","opt_font=true","fontsize=8","opt_color=true","col_desc=Calculation:10;Footnote 1:9;ID:8;Label:7;Reporter:6:s;Reporter:5:long;Indicator:4:s;Indicator:3:l;Unit:2:s;Unit:1:long;","numberformat=0.00","auto_tr=1999|2015","com=true","comp=4"},1,1)</f>
        <v>31/01/2024 @ 15:41</v>
      </c>
      <c r="AD12" s="1" t="str">
        <f>INDEX({"31/01/2024 @ 15:41","macro_id=DBGlobal","label_id=90498","time=Q","year_from=2000","year_to=2023","direction=V","opt_font=true","fontsize=8","opt_color=true","col_desc=Calculation:10;Footnote 1:9;ID:8;Label:7;Reporter:6:s;Reporter:5:long;Indicator:4:s;Indicator:3:l;Unit:2:s;Unit:1:long;","numberformat=0.00","auto_tr=1999|2015","com=true","comp=4"},1,1)</f>
        <v>31/01/2024 @ 15:41</v>
      </c>
      <c r="AE12" s="1" t="str">
        <f>INDEX({"31/01/2024 @ 15:41","macro_id=DBGlobal","label_id=90520","time=Q","year_from=2000","year_to=2023","direction=V","opt_font=true","fontsize=8","opt_color=true","col_desc=Calculation:10;Footnote 1:9;ID:8;Label:7;Reporter:6:s;Reporter:5:long;Indicator:4:s;Indicator:3:l;Unit:2:s;Unit:1:long;","numberformat=0.00","auto_tr=1999|2015","com=true","comp=4"},1,1)</f>
        <v>31/01/2024 @ 15:41</v>
      </c>
      <c r="AF12" s="5" t="str">
        <f>INDEX({"31/01/2024 @ 15:41","macro_id=DBGlobal","label_id=89618","calc=SubScal(L_89618,100)","time=Q","year_from=2000","year_to=2023","direction=V","opt_font=true","fontsize=8","opt_color=true","col_desc=Calculation:10;Footnote 1:9;ID:8;Label:7;Reporter:6:s;Reporter:5:long;Indicator:4:s;Indicator:3:l;Unit:2:s;Unit:1:long;","numberformat=0.00","auto_tr=1999|2015","com=true","comp=4"},1,1)</f>
        <v>31/01/2024 @ 15:41</v>
      </c>
      <c r="AG12" s="4" t="str">
        <f>INDEX({"31/01/2024 @ 15:41","macro_id=DBGlobal","label_id=144767","time=Q","year_from=2000","year_to=2023","direction=V","opt_font=true","fontsize=8","opt_color=true","col_desc=Calculation:10;Footnote 1:9;ID:8;Label:7;Reporter:6:s;Reporter:5:long;Indicator:4:s;Indicator:3:l;Unit:2:s;Unit:1:long;","numberformat=0.00","auto_tr=1999|2015","com=true","comp=4"},1,1)</f>
        <v>31/01/2024 @ 15:41</v>
      </c>
    </row>
    <row r="13" spans="1:33" s="11" customFormat="1" x14ac:dyDescent="0.3">
      <c r="A13" s="11" t="s">
        <v>19</v>
      </c>
      <c r="B13" s="12">
        <v>4.8214176000000002</v>
      </c>
      <c r="C13" s="12">
        <v>73.989999999999995</v>
      </c>
      <c r="D13" s="12">
        <v>1.7557532</v>
      </c>
      <c r="E13" s="12">
        <v>3.25</v>
      </c>
      <c r="F13" s="13">
        <v>26.926666699999998</v>
      </c>
      <c r="G13" s="12">
        <v>4.6289625000000001</v>
      </c>
      <c r="H13" s="12">
        <v>7.4032318999999998</v>
      </c>
      <c r="I13" s="12">
        <v>-0.60535050000000001</v>
      </c>
      <c r="J13" s="12">
        <v>6.1265274999999999</v>
      </c>
      <c r="K13" s="12">
        <v>5.9441725999999999</v>
      </c>
      <c r="L13" s="12">
        <v>-5.6854541000000003</v>
      </c>
      <c r="M13" s="12">
        <v>-21.809709900000001</v>
      </c>
      <c r="N13" s="12">
        <v>21.8909555</v>
      </c>
      <c r="O13" s="12">
        <v>-0.29215669999999999</v>
      </c>
      <c r="P13" s="7" t="s">
        <v>107</v>
      </c>
      <c r="Q13" s="7" t="s">
        <v>107</v>
      </c>
      <c r="R13" s="7" t="s">
        <v>107</v>
      </c>
      <c r="S13" s="12">
        <v>6.8895312999999998</v>
      </c>
      <c r="T13" s="12">
        <v>3.5</v>
      </c>
      <c r="U13" s="12">
        <v>55.22</v>
      </c>
      <c r="V13" s="12">
        <v>0.8312891</v>
      </c>
      <c r="W13" s="7" t="s">
        <v>107</v>
      </c>
      <c r="X13" s="7" t="s">
        <v>107</v>
      </c>
      <c r="Y13" s="7" t="s">
        <v>107</v>
      </c>
      <c r="Z13" s="12">
        <v>-1.9533643999999999</v>
      </c>
      <c r="AA13" s="12">
        <v>64.440538900000007</v>
      </c>
      <c r="AB13" s="12">
        <v>20.002603700000002</v>
      </c>
      <c r="AC13" s="12">
        <v>19.0132136</v>
      </c>
      <c r="AD13" s="12">
        <v>39.640695200000003</v>
      </c>
      <c r="AE13" s="12">
        <v>43.090542200000002</v>
      </c>
      <c r="AF13" s="7" t="s">
        <v>107</v>
      </c>
      <c r="AG13" s="12">
        <v>11.817718599999999</v>
      </c>
    </row>
    <row r="14" spans="1:33" s="11" customFormat="1" hidden="1" outlineLevel="1" x14ac:dyDescent="0.3">
      <c r="A14" s="11" t="s">
        <v>20</v>
      </c>
      <c r="B14" s="12">
        <v>4.3154814000000004</v>
      </c>
      <c r="C14" s="12">
        <v>74.493333300000003</v>
      </c>
      <c r="D14" s="12">
        <v>1.6742492</v>
      </c>
      <c r="E14" s="12">
        <v>3.9166666999999999</v>
      </c>
      <c r="F14" s="13">
        <v>26.766666699999998</v>
      </c>
      <c r="G14" s="12">
        <v>4.4914338999999996</v>
      </c>
      <c r="H14" s="12">
        <v>9.8923985000000005</v>
      </c>
      <c r="I14" s="12">
        <v>-2.5243502000000002</v>
      </c>
      <c r="J14" s="12">
        <v>7.9716269000000004</v>
      </c>
      <c r="K14" s="12">
        <v>2.3756824999999999</v>
      </c>
      <c r="L14" s="12">
        <v>-3.2524522</v>
      </c>
      <c r="M14" s="12">
        <v>7.5</v>
      </c>
      <c r="N14" s="12">
        <v>16.376663300000001</v>
      </c>
      <c r="O14" s="12">
        <v>1.6324063</v>
      </c>
      <c r="P14" s="7">
        <v>939.7</v>
      </c>
      <c r="Q14" s="7">
        <v>156</v>
      </c>
      <c r="R14" s="7">
        <v>14.2</v>
      </c>
      <c r="S14" s="12">
        <v>5.8685888999999998</v>
      </c>
      <c r="T14" s="12">
        <v>3.5</v>
      </c>
      <c r="U14" s="12">
        <v>55.36</v>
      </c>
      <c r="V14" s="12">
        <v>0.79671340000000002</v>
      </c>
      <c r="W14" s="7" t="s">
        <v>107</v>
      </c>
      <c r="X14" s="7" t="s">
        <v>107</v>
      </c>
      <c r="Y14" s="7" t="s">
        <v>107</v>
      </c>
      <c r="Z14" s="12">
        <v>-3.4483993000000002</v>
      </c>
      <c r="AA14" s="12">
        <v>62.636159300000003</v>
      </c>
      <c r="AB14" s="12">
        <v>21.364762800000001</v>
      </c>
      <c r="AC14" s="12">
        <v>22.932395799999998</v>
      </c>
      <c r="AD14" s="12">
        <v>36.775978299999998</v>
      </c>
      <c r="AE14" s="12">
        <v>43.715059699999998</v>
      </c>
      <c r="AF14" s="7" t="s">
        <v>107</v>
      </c>
      <c r="AG14" s="12">
        <v>12.407367000000001</v>
      </c>
    </row>
    <row r="15" spans="1:33" s="11" customFormat="1" hidden="1" outlineLevel="1" x14ac:dyDescent="0.3">
      <c r="A15" s="11" t="s">
        <v>21</v>
      </c>
      <c r="B15" s="12">
        <v>3.5071058000000002</v>
      </c>
      <c r="C15" s="12">
        <v>74.819999999999993</v>
      </c>
      <c r="D15" s="12">
        <v>1.9670194000000001</v>
      </c>
      <c r="E15" s="17">
        <v>4.3333332999999996</v>
      </c>
      <c r="F15" s="13">
        <v>30.673333299999999</v>
      </c>
      <c r="G15" s="12">
        <v>-6.5026637000000003</v>
      </c>
      <c r="H15" s="12">
        <v>-6.4048541999999999</v>
      </c>
      <c r="I15" s="12">
        <v>-2.3518718000000001</v>
      </c>
      <c r="J15" s="12">
        <v>6.8452031</v>
      </c>
      <c r="K15" s="12">
        <v>-3.3869839000000002</v>
      </c>
      <c r="L15" s="12">
        <v>-7.9131194000000002</v>
      </c>
      <c r="M15" s="12">
        <v>51.273834299999997</v>
      </c>
      <c r="N15" s="12">
        <v>10.1696375</v>
      </c>
      <c r="O15" s="12">
        <v>5.8442898999999997</v>
      </c>
      <c r="P15" s="7" t="s">
        <v>107</v>
      </c>
      <c r="Q15" s="7" t="s">
        <v>107</v>
      </c>
      <c r="R15" s="7" t="s">
        <v>107</v>
      </c>
      <c r="S15" s="12">
        <v>5.5778941</v>
      </c>
      <c r="T15" s="12">
        <v>3.5</v>
      </c>
      <c r="U15" s="12">
        <v>54.886666699999999</v>
      </c>
      <c r="V15" s="12">
        <v>0.78314859999999997</v>
      </c>
      <c r="W15" s="7" t="s">
        <v>107</v>
      </c>
      <c r="X15" s="7" t="s">
        <v>107</v>
      </c>
      <c r="Y15" s="7" t="s">
        <v>107</v>
      </c>
      <c r="Z15" s="12">
        <v>-4.3110321999999996</v>
      </c>
      <c r="AA15" s="12">
        <v>61.591774100000002</v>
      </c>
      <c r="AB15" s="12">
        <v>18.707038600000001</v>
      </c>
      <c r="AC15" s="12">
        <v>28.205419500000001</v>
      </c>
      <c r="AD15" s="12">
        <v>35.829120000000003</v>
      </c>
      <c r="AE15" s="12">
        <v>44.333352300000001</v>
      </c>
      <c r="AF15" s="7" t="s">
        <v>107</v>
      </c>
      <c r="AG15" s="12">
        <v>11.862852200000001</v>
      </c>
    </row>
    <row r="16" spans="1:33" s="11" customFormat="1" hidden="1" outlineLevel="1" x14ac:dyDescent="0.3">
      <c r="A16" s="11" t="s">
        <v>22</v>
      </c>
      <c r="B16" s="12">
        <v>2.8994336000000001</v>
      </c>
      <c r="C16" s="12">
        <v>75.3</v>
      </c>
      <c r="D16" s="12">
        <v>2.2218200000000001</v>
      </c>
      <c r="E16" s="17">
        <v>4.75</v>
      </c>
      <c r="F16" s="13">
        <v>29.7233333</v>
      </c>
      <c r="G16" s="12">
        <v>-3.5521020999999999</v>
      </c>
      <c r="H16" s="12">
        <v>-3.7693658999999999</v>
      </c>
      <c r="I16" s="12">
        <v>-5.0413762999999996</v>
      </c>
      <c r="J16" s="12">
        <v>2.2846362999999998</v>
      </c>
      <c r="K16" s="12">
        <v>4.2087623000000001</v>
      </c>
      <c r="L16" s="12">
        <v>2.7555390000000002</v>
      </c>
      <c r="M16" s="12">
        <v>-5.8796759999999999</v>
      </c>
      <c r="N16" s="12">
        <v>9.6752137000000005</v>
      </c>
      <c r="O16" s="12">
        <v>3.2374985000000001</v>
      </c>
      <c r="P16" s="7">
        <v>937.4</v>
      </c>
      <c r="Q16" s="7">
        <v>156.5</v>
      </c>
      <c r="R16" s="7">
        <v>14.3</v>
      </c>
      <c r="S16" s="12">
        <v>5.8646989999999999</v>
      </c>
      <c r="T16" s="12">
        <v>3.5</v>
      </c>
      <c r="U16" s="12">
        <v>55.27</v>
      </c>
      <c r="V16" s="12">
        <v>0.77295139999999996</v>
      </c>
      <c r="W16" s="7" t="s">
        <v>107</v>
      </c>
      <c r="X16" s="7" t="s">
        <v>107</v>
      </c>
      <c r="Y16" s="7" t="s">
        <v>107</v>
      </c>
      <c r="Z16" s="12">
        <v>-8.5930245999999997</v>
      </c>
      <c r="AA16" s="12">
        <v>61.961019200000003</v>
      </c>
      <c r="AB16" s="12">
        <v>23.268728200000002</v>
      </c>
      <c r="AC16" s="12">
        <v>26.965374600000001</v>
      </c>
      <c r="AD16" s="12">
        <v>35.316855400000001</v>
      </c>
      <c r="AE16" s="12">
        <v>47.517421599999999</v>
      </c>
      <c r="AF16" s="7" t="s">
        <v>107</v>
      </c>
      <c r="AG16" s="12">
        <v>12.0725049</v>
      </c>
    </row>
    <row r="17" spans="1:33" s="11" customFormat="1" hidden="1" outlineLevel="1" x14ac:dyDescent="0.3">
      <c r="A17" s="11" t="s">
        <v>23</v>
      </c>
      <c r="B17" s="12">
        <v>3.0047543999999999</v>
      </c>
      <c r="C17" s="12">
        <v>75.393333299999995</v>
      </c>
      <c r="D17" s="12">
        <v>1.8966527</v>
      </c>
      <c r="E17" s="17">
        <v>4.75</v>
      </c>
      <c r="F17" s="13">
        <v>25.873333299999999</v>
      </c>
      <c r="G17" s="12">
        <v>0.46479599999999999</v>
      </c>
      <c r="H17" s="12">
        <v>-1.3645906000000001</v>
      </c>
      <c r="I17" s="12">
        <v>-1.1915507999999999</v>
      </c>
      <c r="J17" s="12">
        <v>3.0284320999999998</v>
      </c>
      <c r="K17" s="12">
        <v>5.8153572000000002</v>
      </c>
      <c r="L17" s="12">
        <v>7.6461378</v>
      </c>
      <c r="M17" s="12">
        <v>8.7466358999999994</v>
      </c>
      <c r="N17" s="12">
        <v>4.8096341999999996</v>
      </c>
      <c r="O17" s="12">
        <v>11.652892599999999</v>
      </c>
      <c r="P17" s="7" t="s">
        <v>107</v>
      </c>
      <c r="Q17" s="7" t="s">
        <v>107</v>
      </c>
      <c r="R17" s="7" t="s">
        <v>107</v>
      </c>
      <c r="S17" s="12">
        <v>5.1121667000000004</v>
      </c>
      <c r="T17" s="12">
        <v>3.5</v>
      </c>
      <c r="U17" s="12">
        <v>55.8466667</v>
      </c>
      <c r="V17" s="12">
        <v>0.81473640000000003</v>
      </c>
      <c r="W17" s="12">
        <v>10.529344099999999</v>
      </c>
      <c r="X17" s="7" t="s">
        <v>107</v>
      </c>
      <c r="Y17" s="7" t="s">
        <v>107</v>
      </c>
      <c r="Z17" s="12">
        <v>-2.2161692999999998</v>
      </c>
      <c r="AA17" s="12">
        <v>63.802130300000002</v>
      </c>
      <c r="AB17" s="12">
        <v>19.973521099999999</v>
      </c>
      <c r="AC17" s="12">
        <v>21.604381100000001</v>
      </c>
      <c r="AD17" s="12">
        <v>41.391346200000001</v>
      </c>
      <c r="AE17" s="12">
        <v>46.7713787</v>
      </c>
      <c r="AF17" s="7" t="s">
        <v>107</v>
      </c>
      <c r="AG17" s="12">
        <v>12.0064248</v>
      </c>
    </row>
    <row r="18" spans="1:33" s="11" customFormat="1" hidden="1" outlineLevel="1" x14ac:dyDescent="0.3">
      <c r="A18" s="11" t="s">
        <v>24</v>
      </c>
      <c r="B18" s="12">
        <v>2.2522867999999998</v>
      </c>
      <c r="C18" s="12">
        <v>76.483333299999998</v>
      </c>
      <c r="D18" s="12">
        <v>2.6713800000000001</v>
      </c>
      <c r="E18" s="17">
        <v>4.5833332999999996</v>
      </c>
      <c r="F18" s="13">
        <v>27.273333300000001</v>
      </c>
      <c r="G18" s="12">
        <v>-1.8168390000000001</v>
      </c>
      <c r="H18" s="12">
        <v>0.64750470000000004</v>
      </c>
      <c r="I18" s="12">
        <v>-1.4344048</v>
      </c>
      <c r="J18" s="12">
        <v>9.8403735000000001</v>
      </c>
      <c r="K18" s="12">
        <v>6.3274718999999999</v>
      </c>
      <c r="L18" s="12">
        <v>3.5645677999999998</v>
      </c>
      <c r="M18" s="12">
        <v>22.834302300000001</v>
      </c>
      <c r="N18" s="12">
        <v>10.803283499999999</v>
      </c>
      <c r="O18" s="12">
        <v>8.1102518000000003</v>
      </c>
      <c r="P18" s="7">
        <v>960</v>
      </c>
      <c r="Q18" s="7">
        <v>145</v>
      </c>
      <c r="R18" s="7">
        <v>13.1</v>
      </c>
      <c r="S18" s="12">
        <v>4.7038599999999997</v>
      </c>
      <c r="T18" s="12">
        <v>3.5</v>
      </c>
      <c r="U18" s="12">
        <v>56.713333300000002</v>
      </c>
      <c r="V18" s="12">
        <v>0.78471380000000002</v>
      </c>
      <c r="W18" s="12">
        <v>13.434579299999999</v>
      </c>
      <c r="X18" s="7" t="s">
        <v>107</v>
      </c>
      <c r="Y18" s="7" t="s">
        <v>107</v>
      </c>
      <c r="Z18" s="12">
        <v>-4.3175280000000003</v>
      </c>
      <c r="AA18" s="12">
        <v>61.716050699999997</v>
      </c>
      <c r="AB18" s="12">
        <v>20.474295900000001</v>
      </c>
      <c r="AC18" s="12">
        <v>23.981781999999999</v>
      </c>
      <c r="AD18" s="12">
        <v>39.058737299999997</v>
      </c>
      <c r="AE18" s="12">
        <v>45.230865899999998</v>
      </c>
      <c r="AF18" s="7" t="s">
        <v>107</v>
      </c>
      <c r="AG18" s="12">
        <v>12.299558299999999</v>
      </c>
    </row>
    <row r="19" spans="1:33" s="11" customFormat="1" hidden="1" outlineLevel="1" x14ac:dyDescent="0.3">
      <c r="A19" s="11" t="s">
        <v>25</v>
      </c>
      <c r="B19" s="12">
        <v>1.8991327</v>
      </c>
      <c r="C19" s="12">
        <v>76.516666700000002</v>
      </c>
      <c r="D19" s="12">
        <v>2.2676647000000001</v>
      </c>
      <c r="E19" s="17">
        <v>4.1666667000000004</v>
      </c>
      <c r="F19" s="13">
        <v>25.303333299999998</v>
      </c>
      <c r="G19" s="12">
        <v>7.5414781</v>
      </c>
      <c r="H19" s="12">
        <v>8.7340175999999996</v>
      </c>
      <c r="I19" s="12">
        <v>-2.0211177</v>
      </c>
      <c r="J19" s="12">
        <v>3.4071503000000001</v>
      </c>
      <c r="K19" s="12">
        <v>4.4183687999999997</v>
      </c>
      <c r="L19" s="12">
        <v>5.4995852000000003</v>
      </c>
      <c r="M19" s="12">
        <v>4.74526</v>
      </c>
      <c r="N19" s="12">
        <v>11.6695326</v>
      </c>
      <c r="O19" s="12">
        <v>14.3405307</v>
      </c>
      <c r="P19" s="7" t="s">
        <v>107</v>
      </c>
      <c r="Q19" s="7" t="s">
        <v>107</v>
      </c>
      <c r="R19" s="7" t="s">
        <v>107</v>
      </c>
      <c r="S19" s="12">
        <v>8.2768698999999994</v>
      </c>
      <c r="T19" s="12">
        <v>3.5</v>
      </c>
      <c r="U19" s="12">
        <v>56.713333300000002</v>
      </c>
      <c r="V19" s="12">
        <v>0.79363050000000002</v>
      </c>
      <c r="W19" s="12">
        <v>11.771494499999999</v>
      </c>
      <c r="X19" s="7" t="s">
        <v>107</v>
      </c>
      <c r="Y19" s="7" t="s">
        <v>107</v>
      </c>
      <c r="Z19" s="12">
        <v>-7.6011112000000001</v>
      </c>
      <c r="AA19" s="12">
        <v>62.489334499999998</v>
      </c>
      <c r="AB19" s="12">
        <v>19.085964199999999</v>
      </c>
      <c r="AC19" s="12">
        <v>28.471629700000001</v>
      </c>
      <c r="AD19" s="12">
        <v>37.654650199999999</v>
      </c>
      <c r="AE19" s="12">
        <v>47.706911300000002</v>
      </c>
      <c r="AF19" s="7" t="s">
        <v>107</v>
      </c>
      <c r="AG19" s="12">
        <v>12.3691608</v>
      </c>
    </row>
    <row r="20" spans="1:33" s="11" customFormat="1" hidden="1" outlineLevel="1" x14ac:dyDescent="0.3">
      <c r="A20" s="11" t="s">
        <v>26</v>
      </c>
      <c r="B20" s="12">
        <v>1.4300580000000001</v>
      </c>
      <c r="C20" s="12">
        <v>76.746666700000006</v>
      </c>
      <c r="D20" s="12">
        <v>1.9212041</v>
      </c>
      <c r="E20" s="17">
        <v>3.4166666999999999</v>
      </c>
      <c r="F20" s="13">
        <v>19.350000000000001</v>
      </c>
      <c r="G20" s="12">
        <v>0.70493450000000002</v>
      </c>
      <c r="H20" s="12">
        <v>6.1908713999999998</v>
      </c>
      <c r="I20" s="12">
        <v>-2.9744552999999998</v>
      </c>
      <c r="J20" s="12">
        <v>8.5476434000000001</v>
      </c>
      <c r="K20" s="12">
        <v>3.5838999999999999</v>
      </c>
      <c r="L20" s="12">
        <v>3.3520565000000002</v>
      </c>
      <c r="M20" s="12">
        <v>48.921767699999997</v>
      </c>
      <c r="N20" s="12">
        <v>8.9385910000000006</v>
      </c>
      <c r="O20" s="12">
        <v>26.753942299999999</v>
      </c>
      <c r="P20" s="7">
        <v>960.1</v>
      </c>
      <c r="Q20" s="7">
        <v>140.80000000000001</v>
      </c>
      <c r="R20" s="7">
        <v>12.8</v>
      </c>
      <c r="S20" s="12">
        <v>7.8546307000000004</v>
      </c>
      <c r="T20" s="12">
        <v>3.5</v>
      </c>
      <c r="U20" s="12">
        <v>57.04</v>
      </c>
      <c r="V20" s="12">
        <v>0.79476880000000005</v>
      </c>
      <c r="W20" s="12">
        <v>6.9695404999999999</v>
      </c>
      <c r="X20" s="7" t="s">
        <v>107</v>
      </c>
      <c r="Y20" s="7" t="s">
        <v>107</v>
      </c>
      <c r="Z20" s="12">
        <v>-14.6042056</v>
      </c>
      <c r="AA20" s="12">
        <v>60.240130399999998</v>
      </c>
      <c r="AB20" s="12">
        <v>22.417115500000001</v>
      </c>
      <c r="AC20" s="12">
        <v>36.059093799999999</v>
      </c>
      <c r="AD20" s="12">
        <v>34.537279499999997</v>
      </c>
      <c r="AE20" s="12">
        <v>53.253619200000003</v>
      </c>
      <c r="AF20" s="7" t="s">
        <v>107</v>
      </c>
      <c r="AG20" s="12">
        <v>13.8201044</v>
      </c>
    </row>
    <row r="21" spans="1:33" s="11" customFormat="1" hidden="1" outlineLevel="1" x14ac:dyDescent="0.3">
      <c r="A21" s="11" t="s">
        <v>27</v>
      </c>
      <c r="B21" s="12">
        <v>7.1740499999999999E-2</v>
      </c>
      <c r="C21" s="12">
        <v>77.180000000000007</v>
      </c>
      <c r="D21" s="12">
        <v>2.3697940000000002</v>
      </c>
      <c r="E21" s="17">
        <v>3.25</v>
      </c>
      <c r="F21" s="13">
        <v>21.1333333</v>
      </c>
      <c r="G21" s="12">
        <v>9.8183687000000006</v>
      </c>
      <c r="H21" s="12">
        <v>10.269599100000001</v>
      </c>
      <c r="I21" s="12">
        <v>-1.0524585</v>
      </c>
      <c r="J21" s="12">
        <v>4.2757835000000002</v>
      </c>
      <c r="K21" s="12">
        <v>5.1535142</v>
      </c>
      <c r="L21" s="12">
        <v>3.9636363999999999</v>
      </c>
      <c r="M21" s="12">
        <v>6.2400566</v>
      </c>
      <c r="N21" s="12">
        <v>0.23551240000000001</v>
      </c>
      <c r="O21" s="12">
        <v>2.7252540000000001</v>
      </c>
      <c r="P21" s="7">
        <v>950.5</v>
      </c>
      <c r="Q21" s="7">
        <v>140.80000000000001</v>
      </c>
      <c r="R21" s="7">
        <v>12.9</v>
      </c>
      <c r="S21" s="12">
        <v>8.5011185999999999</v>
      </c>
      <c r="T21" s="12">
        <v>3.5</v>
      </c>
      <c r="U21" s="12">
        <v>57.696666700000002</v>
      </c>
      <c r="V21" s="12">
        <v>0.79514819999999997</v>
      </c>
      <c r="W21" s="12">
        <v>1.8740239000000001</v>
      </c>
      <c r="X21" s="7" t="s">
        <v>107</v>
      </c>
      <c r="Y21" s="7" t="s">
        <v>107</v>
      </c>
      <c r="Z21" s="12">
        <v>-2.6108302999999999</v>
      </c>
      <c r="AA21" s="12">
        <v>64.912569199999993</v>
      </c>
      <c r="AB21" s="12">
        <v>20.440716999999999</v>
      </c>
      <c r="AC21" s="12">
        <v>21.284876400000002</v>
      </c>
      <c r="AD21" s="12">
        <v>38.5353286</v>
      </c>
      <c r="AE21" s="12">
        <v>45.178972799999997</v>
      </c>
      <c r="AF21" s="7" t="s">
        <v>107</v>
      </c>
      <c r="AG21" s="12">
        <v>12.1443186</v>
      </c>
    </row>
    <row r="22" spans="1:33" s="11" customFormat="1" hidden="1" outlineLevel="1" x14ac:dyDescent="0.3">
      <c r="A22" s="11" t="s">
        <v>28</v>
      </c>
      <c r="B22" s="12">
        <v>1.2490021</v>
      </c>
      <c r="C22" s="12">
        <v>77.933333300000001</v>
      </c>
      <c r="D22" s="12">
        <v>1.8958379000000001</v>
      </c>
      <c r="E22" s="17">
        <v>3.25</v>
      </c>
      <c r="F22" s="13">
        <v>25.053333299999998</v>
      </c>
      <c r="G22" s="12">
        <v>6.8752820999999997</v>
      </c>
      <c r="H22" s="12">
        <v>5.6959046000000004</v>
      </c>
      <c r="I22" s="12">
        <v>-1.7234919</v>
      </c>
      <c r="J22" s="12">
        <v>5.2276603000000001</v>
      </c>
      <c r="K22" s="12">
        <v>3.6555059000000001</v>
      </c>
      <c r="L22" s="12">
        <v>4.4826876000000002</v>
      </c>
      <c r="M22" s="12">
        <v>20.4236185</v>
      </c>
      <c r="N22" s="12">
        <v>2.5730917</v>
      </c>
      <c r="O22" s="12">
        <v>8.4067009000000006</v>
      </c>
      <c r="P22" s="7">
        <v>987.3</v>
      </c>
      <c r="Q22" s="7">
        <v>150.6</v>
      </c>
      <c r="R22" s="7">
        <v>13.2</v>
      </c>
      <c r="S22" s="12">
        <v>9.3816631000000008</v>
      </c>
      <c r="T22" s="12">
        <v>3.5</v>
      </c>
      <c r="U22" s="12">
        <v>57.83</v>
      </c>
      <c r="V22" s="12">
        <v>0.81378779999999995</v>
      </c>
      <c r="W22" s="12">
        <v>6.6426365000000001</v>
      </c>
      <c r="X22" s="7" t="s">
        <v>107</v>
      </c>
      <c r="Y22" s="7" t="s">
        <v>107</v>
      </c>
      <c r="Z22" s="12">
        <v>-7.2986307000000004</v>
      </c>
      <c r="AA22" s="12">
        <v>60.5985388</v>
      </c>
      <c r="AB22" s="12">
        <v>20.7287374</v>
      </c>
      <c r="AC22" s="12">
        <v>27.5009367</v>
      </c>
      <c r="AD22" s="12">
        <v>36.975459000000001</v>
      </c>
      <c r="AE22" s="12">
        <v>45.798988399999999</v>
      </c>
      <c r="AF22" s="7" t="s">
        <v>107</v>
      </c>
      <c r="AG22" s="12">
        <v>12.752188800000001</v>
      </c>
    </row>
    <row r="23" spans="1:33" s="11" customFormat="1" hidden="1" outlineLevel="1" x14ac:dyDescent="0.3">
      <c r="A23" s="11" t="s">
        <v>29</v>
      </c>
      <c r="B23" s="12">
        <v>1.6677649999999999</v>
      </c>
      <c r="C23" s="12">
        <v>77.973333299999993</v>
      </c>
      <c r="D23" s="12">
        <v>1.9037246000000001</v>
      </c>
      <c r="E23" s="17">
        <v>3.25</v>
      </c>
      <c r="F23" s="13">
        <v>26.93</v>
      </c>
      <c r="G23" s="12">
        <v>10.565684900000001</v>
      </c>
      <c r="H23" s="12">
        <v>22.391520400000001</v>
      </c>
      <c r="I23" s="12">
        <v>1.3756120000000001</v>
      </c>
      <c r="J23" s="12">
        <v>9.1068908000000004</v>
      </c>
      <c r="K23" s="12">
        <v>7.3575657000000003</v>
      </c>
      <c r="L23" s="12">
        <v>5.2803056000000002</v>
      </c>
      <c r="M23" s="12">
        <v>13.681868700000001</v>
      </c>
      <c r="N23" s="12">
        <v>8.6652201000000009</v>
      </c>
      <c r="O23" s="12">
        <v>7.5536089999999998</v>
      </c>
      <c r="P23" s="7">
        <v>1010.4</v>
      </c>
      <c r="Q23" s="7">
        <v>118.8</v>
      </c>
      <c r="R23" s="7">
        <v>10.5</v>
      </c>
      <c r="S23" s="12">
        <v>6.7484662999999996</v>
      </c>
      <c r="T23" s="12">
        <v>3</v>
      </c>
      <c r="U23" s="12">
        <v>57.286666699999998</v>
      </c>
      <c r="V23" s="12">
        <v>0.84243500000000004</v>
      </c>
      <c r="W23" s="12">
        <v>8.6215796999999998</v>
      </c>
      <c r="X23" s="7" t="s">
        <v>107</v>
      </c>
      <c r="Y23" s="7" t="s">
        <v>107</v>
      </c>
      <c r="Z23" s="12">
        <v>-7.1142447000000004</v>
      </c>
      <c r="AA23" s="12">
        <v>61.422243000000002</v>
      </c>
      <c r="AB23" s="12">
        <v>18.997435299999999</v>
      </c>
      <c r="AC23" s="12">
        <v>30.165539800000001</v>
      </c>
      <c r="AD23" s="12">
        <v>37.407321099999997</v>
      </c>
      <c r="AE23" s="12">
        <v>48.001865199999997</v>
      </c>
      <c r="AF23" s="7" t="s">
        <v>107</v>
      </c>
      <c r="AG23" s="12">
        <v>12.7283974</v>
      </c>
    </row>
    <row r="24" spans="1:33" s="11" customFormat="1" hidden="1" outlineLevel="1" x14ac:dyDescent="0.3">
      <c r="A24" s="11" t="s">
        <v>30</v>
      </c>
      <c r="B24" s="12">
        <v>1.208337</v>
      </c>
      <c r="C24" s="12">
        <v>78.4033333</v>
      </c>
      <c r="D24" s="12">
        <v>2.158617</v>
      </c>
      <c r="E24" s="17">
        <v>3.0833333000000001</v>
      </c>
      <c r="F24" s="13">
        <v>26.736666700000001</v>
      </c>
      <c r="G24" s="12">
        <v>25.971428599999999</v>
      </c>
      <c r="H24" s="12">
        <v>11.5035949</v>
      </c>
      <c r="I24" s="12">
        <v>-7.3141069999999999</v>
      </c>
      <c r="J24" s="12">
        <v>9.2385020000000004</v>
      </c>
      <c r="K24" s="12">
        <v>8.738467</v>
      </c>
      <c r="L24" s="12">
        <v>3.0504908999999998</v>
      </c>
      <c r="M24" s="12">
        <v>-5.5194805000000002</v>
      </c>
      <c r="N24" s="12">
        <v>8.7846054999999996</v>
      </c>
      <c r="O24" s="12">
        <v>-5.6664006000000002</v>
      </c>
      <c r="P24" s="7">
        <v>997.2</v>
      </c>
      <c r="Q24" s="7">
        <v>131.4</v>
      </c>
      <c r="R24" s="7">
        <v>11.6</v>
      </c>
      <c r="S24" s="12">
        <v>9.6837944999999994</v>
      </c>
      <c r="T24" s="12">
        <v>3</v>
      </c>
      <c r="U24" s="12">
        <v>57.943333299999999</v>
      </c>
      <c r="V24" s="12">
        <v>0.85438709999999995</v>
      </c>
      <c r="W24" s="12">
        <v>10.135135099999999</v>
      </c>
      <c r="X24" s="7" t="s">
        <v>107</v>
      </c>
      <c r="Y24" s="7" t="s">
        <v>107</v>
      </c>
      <c r="Z24" s="12">
        <v>-8.1119275999999996</v>
      </c>
      <c r="AA24" s="12">
        <v>60.258860300000002</v>
      </c>
      <c r="AB24" s="12">
        <v>22.194232100000001</v>
      </c>
      <c r="AC24" s="12">
        <v>31.206567100000001</v>
      </c>
      <c r="AD24" s="12">
        <v>33.743050699999998</v>
      </c>
      <c r="AE24" s="12">
        <v>47.402710200000001</v>
      </c>
      <c r="AF24" s="7" t="s">
        <v>107</v>
      </c>
      <c r="AG24" s="12">
        <v>13.0067568</v>
      </c>
    </row>
    <row r="25" spans="1:33" s="11" customFormat="1" hidden="1" outlineLevel="1" x14ac:dyDescent="0.3">
      <c r="A25" s="11" t="s">
        <v>31</v>
      </c>
      <c r="B25" s="12">
        <v>1.0748135000000001</v>
      </c>
      <c r="C25" s="12">
        <v>78.856666700000005</v>
      </c>
      <c r="D25" s="12">
        <v>2.1724109</v>
      </c>
      <c r="E25" s="17">
        <v>2.6666666999999999</v>
      </c>
      <c r="F25" s="13">
        <v>31.52</v>
      </c>
      <c r="G25" s="12">
        <v>3.6823217000000001</v>
      </c>
      <c r="H25" s="12">
        <v>11.3237896</v>
      </c>
      <c r="I25" s="12">
        <v>1.3114754</v>
      </c>
      <c r="J25" s="12">
        <v>10.094537499999999</v>
      </c>
      <c r="K25" s="12">
        <v>8.8773584999999997</v>
      </c>
      <c r="L25" s="12">
        <v>4.8501807000000001</v>
      </c>
      <c r="M25" s="12">
        <v>38.552412599999997</v>
      </c>
      <c r="N25" s="12">
        <v>5.0053400000000003</v>
      </c>
      <c r="O25" s="12">
        <v>13.0617058</v>
      </c>
      <c r="P25" s="7">
        <v>993.6</v>
      </c>
      <c r="Q25" s="7">
        <v>118</v>
      </c>
      <c r="R25" s="7">
        <v>10.6</v>
      </c>
      <c r="S25" s="12">
        <v>9.6907216999999992</v>
      </c>
      <c r="T25" s="12">
        <v>3</v>
      </c>
      <c r="U25" s="12">
        <v>58.813333299999996</v>
      </c>
      <c r="V25" s="12">
        <v>0.88592740000000003</v>
      </c>
      <c r="W25" s="12">
        <v>8.7378640999999995</v>
      </c>
      <c r="X25" s="7" t="s">
        <v>107</v>
      </c>
      <c r="Y25" s="7" t="s">
        <v>107</v>
      </c>
      <c r="Z25" s="12">
        <v>-4.7190526000000004</v>
      </c>
      <c r="AA25" s="12">
        <v>63.706343500000003</v>
      </c>
      <c r="AB25" s="12">
        <v>20.6699929</v>
      </c>
      <c r="AC25" s="12">
        <v>25.022570699999999</v>
      </c>
      <c r="AD25" s="12">
        <v>37.600380100000002</v>
      </c>
      <c r="AE25" s="12">
        <v>46.999287199999998</v>
      </c>
      <c r="AF25" s="7" t="s">
        <v>107</v>
      </c>
      <c r="AG25" s="12">
        <v>12.6277189</v>
      </c>
    </row>
    <row r="26" spans="1:33" s="11" customFormat="1" hidden="1" outlineLevel="1" x14ac:dyDescent="0.3">
      <c r="A26" s="11" t="s">
        <v>32</v>
      </c>
      <c r="B26" s="12">
        <v>0.33264589999999999</v>
      </c>
      <c r="C26" s="12">
        <v>79.37</v>
      </c>
      <c r="D26" s="12">
        <v>1.843456</v>
      </c>
      <c r="E26" s="17">
        <v>2.3333333000000001</v>
      </c>
      <c r="F26" s="13">
        <v>26.17</v>
      </c>
      <c r="G26" s="12">
        <v>13.527590099999999</v>
      </c>
      <c r="H26" s="12">
        <v>12.7969121</v>
      </c>
      <c r="I26" s="12">
        <v>-1.9407388999999999</v>
      </c>
      <c r="J26" s="12">
        <v>7.4906275999999998</v>
      </c>
      <c r="K26" s="12">
        <v>5.2092415000000001</v>
      </c>
      <c r="L26" s="12">
        <v>6.6377354999999998</v>
      </c>
      <c r="M26" s="12">
        <v>26.667976800000002</v>
      </c>
      <c r="N26" s="12">
        <v>2.6826593999999999</v>
      </c>
      <c r="O26" s="12">
        <v>11.5447521</v>
      </c>
      <c r="P26" s="7">
        <v>1003.8</v>
      </c>
      <c r="Q26" s="7">
        <v>118.7</v>
      </c>
      <c r="R26" s="7">
        <v>10.6</v>
      </c>
      <c r="S26" s="12">
        <v>11.890838199999999</v>
      </c>
      <c r="T26" s="12">
        <v>3</v>
      </c>
      <c r="U26" s="12">
        <v>59.493333300000003</v>
      </c>
      <c r="V26" s="12">
        <v>0.91765750000000001</v>
      </c>
      <c r="W26" s="12">
        <v>6.5185900999999999</v>
      </c>
      <c r="X26" s="7" t="s">
        <v>107</v>
      </c>
      <c r="Y26" s="7" t="s">
        <v>107</v>
      </c>
      <c r="Z26" s="12">
        <v>-8.0733113999999997</v>
      </c>
      <c r="AA26" s="12">
        <v>59.880314200000001</v>
      </c>
      <c r="AB26" s="12">
        <v>22.1294103</v>
      </c>
      <c r="AC26" s="12">
        <v>29.1941986</v>
      </c>
      <c r="AD26" s="12">
        <v>36.5623571</v>
      </c>
      <c r="AE26" s="12">
        <v>47.766280199999997</v>
      </c>
      <c r="AF26" s="7" t="s">
        <v>107</v>
      </c>
      <c r="AG26" s="12">
        <v>13.227397099999999</v>
      </c>
    </row>
    <row r="27" spans="1:33" s="11" customFormat="1" hidden="1" outlineLevel="1" x14ac:dyDescent="0.3">
      <c r="A27" s="11" t="s">
        <v>33</v>
      </c>
      <c r="B27" s="12">
        <v>0.71308099999999996</v>
      </c>
      <c r="C27" s="12">
        <v>79.47</v>
      </c>
      <c r="D27" s="12">
        <v>1.9194597</v>
      </c>
      <c r="E27" s="17">
        <v>2</v>
      </c>
      <c r="F27" s="13">
        <v>28.45</v>
      </c>
      <c r="G27" s="12">
        <v>11.346018300000001</v>
      </c>
      <c r="H27" s="12">
        <v>5.8863329000000002</v>
      </c>
      <c r="I27" s="12">
        <v>-0.30042059999999998</v>
      </c>
      <c r="J27" s="12">
        <v>9.8627997000000001</v>
      </c>
      <c r="K27" s="12">
        <v>7.7708377999999998</v>
      </c>
      <c r="L27" s="12">
        <v>2.3690107999999999</v>
      </c>
      <c r="M27" s="12">
        <v>33.010140499999999</v>
      </c>
      <c r="N27" s="12">
        <v>4.5925925999999997</v>
      </c>
      <c r="O27" s="12">
        <v>14.241895400000001</v>
      </c>
      <c r="P27" s="7">
        <v>1027</v>
      </c>
      <c r="Q27" s="7">
        <v>123.1</v>
      </c>
      <c r="R27" s="7">
        <v>10.7</v>
      </c>
      <c r="S27" s="12">
        <v>12.260536399999999</v>
      </c>
      <c r="T27" s="12">
        <v>3</v>
      </c>
      <c r="U27" s="12">
        <v>59.263333299999999</v>
      </c>
      <c r="V27" s="12">
        <v>0.91315170000000001</v>
      </c>
      <c r="W27" s="12">
        <v>8.4600761000000002</v>
      </c>
      <c r="X27" s="7" t="s">
        <v>107</v>
      </c>
      <c r="Y27" s="7" t="s">
        <v>107</v>
      </c>
      <c r="Z27" s="12">
        <v>-8.4530084999999993</v>
      </c>
      <c r="AA27" s="12">
        <v>60.476667300000003</v>
      </c>
      <c r="AB27" s="12">
        <v>18.529941900000001</v>
      </c>
      <c r="AC27" s="12">
        <v>34.960945299999999</v>
      </c>
      <c r="AD27" s="12">
        <v>35.726016399999999</v>
      </c>
      <c r="AE27" s="12">
        <v>49.693570999999999</v>
      </c>
      <c r="AF27" s="7" t="s">
        <v>107</v>
      </c>
      <c r="AG27" s="12">
        <v>13.9179674</v>
      </c>
    </row>
    <row r="28" spans="1:33" s="11" customFormat="1" hidden="1" outlineLevel="1" x14ac:dyDescent="0.3">
      <c r="A28" s="11" t="s">
        <v>34</v>
      </c>
      <c r="B28" s="12">
        <v>1.3127310999999999</v>
      </c>
      <c r="C28" s="12">
        <v>79.913333300000005</v>
      </c>
      <c r="D28" s="12">
        <v>1.9259385</v>
      </c>
      <c r="E28" s="17">
        <v>2</v>
      </c>
      <c r="F28" s="13">
        <v>29.39</v>
      </c>
      <c r="G28" s="12">
        <v>10.297119500000001</v>
      </c>
      <c r="H28" s="12">
        <v>19.077656300000001</v>
      </c>
      <c r="I28" s="12">
        <v>-4.8001560000000003</v>
      </c>
      <c r="J28" s="12">
        <v>6.7225438999999998</v>
      </c>
      <c r="K28" s="12">
        <v>10.026923399999999</v>
      </c>
      <c r="L28" s="12">
        <v>2.6624702</v>
      </c>
      <c r="M28" s="12">
        <v>9.2027491000000001</v>
      </c>
      <c r="N28" s="12">
        <v>3.7219701000000001</v>
      </c>
      <c r="O28" s="12">
        <v>9.0026873999999992</v>
      </c>
      <c r="P28" s="7">
        <v>1003.1</v>
      </c>
      <c r="Q28" s="7">
        <v>114.7</v>
      </c>
      <c r="R28" s="7">
        <v>10.3</v>
      </c>
      <c r="S28" s="12">
        <v>11.1711712</v>
      </c>
      <c r="T28" s="12">
        <v>3</v>
      </c>
      <c r="U28" s="12">
        <v>59.97</v>
      </c>
      <c r="V28" s="12">
        <v>0.92889809999999995</v>
      </c>
      <c r="W28" s="12">
        <v>7.6687116</v>
      </c>
      <c r="X28" s="7" t="s">
        <v>107</v>
      </c>
      <c r="Y28" s="7" t="s">
        <v>107</v>
      </c>
      <c r="Z28" s="12">
        <v>-9.0915742999999996</v>
      </c>
      <c r="AA28" s="12">
        <v>62.717878800000001</v>
      </c>
      <c r="AB28" s="12">
        <v>22.96744</v>
      </c>
      <c r="AC28" s="12">
        <v>29.214271799999999</v>
      </c>
      <c r="AD28" s="12">
        <v>34.5993371</v>
      </c>
      <c r="AE28" s="12">
        <v>49.498927700000003</v>
      </c>
      <c r="AF28" s="7" t="s">
        <v>107</v>
      </c>
      <c r="AG28" s="12">
        <v>14.0976619</v>
      </c>
    </row>
    <row r="29" spans="1:33" s="11" customFormat="1" hidden="1" outlineLevel="1" x14ac:dyDescent="0.3">
      <c r="A29" s="11" t="s">
        <v>35</v>
      </c>
      <c r="B29" s="12">
        <v>2.4350660999999998</v>
      </c>
      <c r="C29" s="12">
        <v>80.113333299999994</v>
      </c>
      <c r="D29" s="12">
        <v>1.5936086</v>
      </c>
      <c r="E29" s="17">
        <v>2</v>
      </c>
      <c r="F29" s="13">
        <v>31.923333299999999</v>
      </c>
      <c r="G29" s="12">
        <v>18.495109100000001</v>
      </c>
      <c r="H29" s="12">
        <v>19.303568800000001</v>
      </c>
      <c r="I29" s="12">
        <v>1.5568473</v>
      </c>
      <c r="J29" s="12">
        <v>9.4090933000000003</v>
      </c>
      <c r="K29" s="12">
        <v>9.2539640999999992</v>
      </c>
      <c r="L29" s="12">
        <v>3.2692093999999998</v>
      </c>
      <c r="M29" s="12">
        <v>28.857932000000002</v>
      </c>
      <c r="N29" s="12">
        <v>2.2986168</v>
      </c>
      <c r="O29" s="12">
        <v>13.117033599999999</v>
      </c>
      <c r="P29" s="7">
        <v>1002.4</v>
      </c>
      <c r="Q29" s="7">
        <v>129.69999999999999</v>
      </c>
      <c r="R29" s="7">
        <v>11.5</v>
      </c>
      <c r="S29" s="12">
        <v>9.7744361000000008</v>
      </c>
      <c r="T29" s="12">
        <v>3.5</v>
      </c>
      <c r="U29" s="12">
        <v>61.366666700000003</v>
      </c>
      <c r="V29" s="12">
        <v>0.94862860000000004</v>
      </c>
      <c r="W29" s="12">
        <v>12.171052700000001</v>
      </c>
      <c r="X29" s="7" t="s">
        <v>107</v>
      </c>
      <c r="Y29" s="7" t="s">
        <v>107</v>
      </c>
      <c r="Z29" s="12">
        <v>-8.7493935</v>
      </c>
      <c r="AA29" s="12">
        <v>63.912036100000002</v>
      </c>
      <c r="AB29" s="12">
        <v>19.0805252</v>
      </c>
      <c r="AC29" s="12">
        <v>29.775212400000001</v>
      </c>
      <c r="AD29" s="12">
        <v>35.340026799999997</v>
      </c>
      <c r="AE29" s="12">
        <v>48.107800500000003</v>
      </c>
      <c r="AF29" s="7" t="s">
        <v>107</v>
      </c>
      <c r="AG29" s="12">
        <v>12.330692900000001</v>
      </c>
    </row>
    <row r="30" spans="1:33" s="11" customFormat="1" hidden="1" outlineLevel="1" x14ac:dyDescent="0.3">
      <c r="A30" s="11" t="s">
        <v>36</v>
      </c>
      <c r="B30" s="12">
        <v>2.9592486</v>
      </c>
      <c r="C30" s="12">
        <v>81.069999999999993</v>
      </c>
      <c r="D30" s="12">
        <v>2.1418672000000001</v>
      </c>
      <c r="E30" s="17">
        <v>2</v>
      </c>
      <c r="F30" s="13">
        <v>35.446666700000002</v>
      </c>
      <c r="G30" s="12">
        <v>17.334160000000001</v>
      </c>
      <c r="H30" s="12">
        <v>16.9913135</v>
      </c>
      <c r="I30" s="12">
        <v>-2.1066539</v>
      </c>
      <c r="J30" s="12">
        <v>8.1251969000000006</v>
      </c>
      <c r="K30" s="12">
        <v>9.3764243</v>
      </c>
      <c r="L30" s="12">
        <v>2.1735109000000001</v>
      </c>
      <c r="M30" s="12">
        <v>34.9546195</v>
      </c>
      <c r="N30" s="12">
        <v>9.4140551000000006</v>
      </c>
      <c r="O30" s="12">
        <v>26.463747600000001</v>
      </c>
      <c r="P30" s="7">
        <v>1021.2</v>
      </c>
      <c r="Q30" s="7">
        <v>112.2</v>
      </c>
      <c r="R30" s="7">
        <v>9.9</v>
      </c>
      <c r="S30" s="12">
        <v>8.3623694000000004</v>
      </c>
      <c r="T30" s="12">
        <v>3.5</v>
      </c>
      <c r="U30" s="12">
        <v>62.933333300000001</v>
      </c>
      <c r="V30" s="12">
        <v>0.93074789999999996</v>
      </c>
      <c r="W30" s="12">
        <v>9.1115141000000008</v>
      </c>
      <c r="X30" s="7" t="s">
        <v>107</v>
      </c>
      <c r="Y30" s="7" t="s">
        <v>107</v>
      </c>
      <c r="Z30" s="12">
        <v>-17.3838443</v>
      </c>
      <c r="AA30" s="12">
        <v>62.197673100000003</v>
      </c>
      <c r="AB30" s="12">
        <v>21.033508300000001</v>
      </c>
      <c r="AC30" s="12">
        <v>35.013029000000003</v>
      </c>
      <c r="AD30" s="12">
        <v>38.411568199999998</v>
      </c>
      <c r="AE30" s="12">
        <v>56.655778599999998</v>
      </c>
      <c r="AF30" s="7" t="s">
        <v>107</v>
      </c>
      <c r="AG30" s="12">
        <v>13.4814855</v>
      </c>
    </row>
    <row r="31" spans="1:33" s="11" customFormat="1" hidden="1" outlineLevel="1" x14ac:dyDescent="0.3">
      <c r="A31" s="11" t="s">
        <v>37</v>
      </c>
      <c r="B31" s="12">
        <v>2.4141233999999998</v>
      </c>
      <c r="C31" s="12">
        <v>81.156666700000002</v>
      </c>
      <c r="D31" s="12">
        <v>2.1223942</v>
      </c>
      <c r="E31" s="17">
        <v>2</v>
      </c>
      <c r="F31" s="13">
        <v>41.386666699999999</v>
      </c>
      <c r="G31" s="12">
        <v>12.1012658</v>
      </c>
      <c r="H31" s="12">
        <v>26.8115016</v>
      </c>
      <c r="I31" s="12">
        <v>3.6793103</v>
      </c>
      <c r="J31" s="12">
        <v>7.0241322999999998</v>
      </c>
      <c r="K31" s="12">
        <v>8.6414325000000005</v>
      </c>
      <c r="L31" s="12">
        <v>3.8569789999999999</v>
      </c>
      <c r="M31" s="12">
        <v>10.466127200000001</v>
      </c>
      <c r="N31" s="12">
        <v>17.563739399999999</v>
      </c>
      <c r="O31" s="12">
        <v>18.396444800000001</v>
      </c>
      <c r="P31" s="7">
        <v>1029.7</v>
      </c>
      <c r="Q31" s="7">
        <v>114.6</v>
      </c>
      <c r="R31" s="7">
        <v>10</v>
      </c>
      <c r="S31" s="12">
        <v>8.0204778000000001</v>
      </c>
      <c r="T31" s="12">
        <v>3.5</v>
      </c>
      <c r="U31" s="12">
        <v>63.62</v>
      </c>
      <c r="V31" s="12">
        <v>0.93871599999999999</v>
      </c>
      <c r="W31" s="12">
        <v>4.1630148</v>
      </c>
      <c r="X31" s="7" t="s">
        <v>107</v>
      </c>
      <c r="Y31" s="7" t="s">
        <v>107</v>
      </c>
      <c r="Z31" s="12">
        <v>-12.491396699999999</v>
      </c>
      <c r="AA31" s="12">
        <v>60.717241299999998</v>
      </c>
      <c r="AB31" s="12">
        <v>18.037931</v>
      </c>
      <c r="AC31" s="12">
        <v>35.6206897</v>
      </c>
      <c r="AD31" s="12">
        <v>40.089655200000003</v>
      </c>
      <c r="AE31" s="12">
        <v>54.462069</v>
      </c>
      <c r="AF31" s="12">
        <v>79.344790500000002</v>
      </c>
      <c r="AG31" s="12">
        <v>14.0185821</v>
      </c>
    </row>
    <row r="32" spans="1:33" s="11" customFormat="1" hidden="1" outlineLevel="1" x14ac:dyDescent="0.3">
      <c r="A32" s="11" t="s">
        <v>38</v>
      </c>
      <c r="B32" s="12">
        <v>2.308249</v>
      </c>
      <c r="C32" s="12">
        <v>81.663333300000005</v>
      </c>
      <c r="D32" s="12">
        <v>2.1898724000000001</v>
      </c>
      <c r="E32" s="17">
        <v>2</v>
      </c>
      <c r="F32" s="13">
        <v>44.163333299999998</v>
      </c>
      <c r="G32" s="12">
        <v>30.598396099999999</v>
      </c>
      <c r="H32" s="12">
        <v>23.719835199999999</v>
      </c>
      <c r="I32" s="12">
        <v>-7.2780396999999999</v>
      </c>
      <c r="J32" s="12">
        <v>8.7037487000000002</v>
      </c>
      <c r="K32" s="12">
        <v>8.3605219999999996</v>
      </c>
      <c r="L32" s="12">
        <v>0.86999749999999998</v>
      </c>
      <c r="M32" s="12">
        <v>18.6481213</v>
      </c>
      <c r="N32" s="12">
        <v>24.9223356</v>
      </c>
      <c r="O32" s="12">
        <v>23.581244600000002</v>
      </c>
      <c r="P32" s="7">
        <v>1018.6</v>
      </c>
      <c r="Q32" s="7">
        <v>116.7</v>
      </c>
      <c r="R32" s="7">
        <v>10.3</v>
      </c>
      <c r="S32" s="12">
        <v>11.993517000000001</v>
      </c>
      <c r="T32" s="12">
        <v>4</v>
      </c>
      <c r="U32" s="12">
        <v>64.316666699999999</v>
      </c>
      <c r="V32" s="12">
        <v>0.96722079999999999</v>
      </c>
      <c r="W32" s="12">
        <v>3.8665039000000001</v>
      </c>
      <c r="X32" s="7" t="s">
        <v>107</v>
      </c>
      <c r="Y32" s="7" t="s">
        <v>107</v>
      </c>
      <c r="Z32" s="12">
        <v>-9.8751709000000005</v>
      </c>
      <c r="AA32" s="12">
        <v>63.018792699999999</v>
      </c>
      <c r="AB32" s="12">
        <v>21.0339332</v>
      </c>
      <c r="AC32" s="12">
        <v>31.589082900000001</v>
      </c>
      <c r="AD32" s="12">
        <v>41.148150600000001</v>
      </c>
      <c r="AE32" s="12">
        <v>56.789959500000002</v>
      </c>
      <c r="AF32" s="12">
        <v>74.771615800000006</v>
      </c>
      <c r="AG32" s="12">
        <v>14.5746033</v>
      </c>
    </row>
    <row r="33" spans="1:33" s="11" customFormat="1" hidden="1" outlineLevel="1" x14ac:dyDescent="0.3">
      <c r="A33" s="11" t="s">
        <v>39</v>
      </c>
      <c r="B33" s="12">
        <v>1.1277817999999999</v>
      </c>
      <c r="C33" s="12">
        <v>81.773333300000004</v>
      </c>
      <c r="D33" s="12">
        <v>2.0720646</v>
      </c>
      <c r="E33" s="17">
        <v>2</v>
      </c>
      <c r="F33" s="13">
        <v>47.696666700000002</v>
      </c>
      <c r="G33" s="12">
        <v>17.2720345</v>
      </c>
      <c r="H33" s="12">
        <v>21.630132</v>
      </c>
      <c r="I33" s="12">
        <v>2.809418</v>
      </c>
      <c r="J33" s="12">
        <v>5.9996660000000004</v>
      </c>
      <c r="K33" s="12">
        <v>6.5231184000000004</v>
      </c>
      <c r="L33" s="12">
        <v>7.3651340999999997</v>
      </c>
      <c r="M33" s="12">
        <v>1.7334575999999999</v>
      </c>
      <c r="N33" s="12">
        <v>27.739113100000001</v>
      </c>
      <c r="O33" s="12">
        <v>22.408318000000001</v>
      </c>
      <c r="P33" s="7">
        <v>1015.2</v>
      </c>
      <c r="Q33" s="7">
        <v>123.5</v>
      </c>
      <c r="R33" s="7">
        <v>11.6</v>
      </c>
      <c r="S33" s="12">
        <v>15.753424600000001</v>
      </c>
      <c r="T33" s="12">
        <v>4</v>
      </c>
      <c r="U33" s="12">
        <v>65.5</v>
      </c>
      <c r="V33" s="12">
        <v>0.99050850000000001</v>
      </c>
      <c r="W33" s="12">
        <v>0.41893590000000003</v>
      </c>
      <c r="X33" s="7" t="s">
        <v>107</v>
      </c>
      <c r="Y33" s="7" t="s">
        <v>107</v>
      </c>
      <c r="Z33" s="12">
        <v>-9.5796852999999995</v>
      </c>
      <c r="AA33" s="12">
        <v>63.560911300000001</v>
      </c>
      <c r="AB33" s="12">
        <v>18.742186400000001</v>
      </c>
      <c r="AC33" s="12">
        <v>29.4207529</v>
      </c>
      <c r="AD33" s="12">
        <v>43.085845300000003</v>
      </c>
      <c r="AE33" s="12">
        <v>54.806223099999997</v>
      </c>
      <c r="AF33" s="12">
        <v>74.017485100000002</v>
      </c>
      <c r="AG33" s="12">
        <v>11.5785775</v>
      </c>
    </row>
    <row r="34" spans="1:33" s="11" customFormat="1" hidden="1" outlineLevel="1" x14ac:dyDescent="0.3">
      <c r="A34" s="11" t="s">
        <v>40</v>
      </c>
      <c r="B34" s="12">
        <v>2.2042253999999999</v>
      </c>
      <c r="C34" s="12">
        <v>82.71</v>
      </c>
      <c r="D34" s="12">
        <v>2.0229431</v>
      </c>
      <c r="E34" s="17">
        <v>2</v>
      </c>
      <c r="F34" s="13">
        <v>51.626666700000001</v>
      </c>
      <c r="G34" s="12">
        <v>12.776075199999999</v>
      </c>
      <c r="H34" s="12">
        <v>32.017099799999997</v>
      </c>
      <c r="I34" s="12">
        <v>3.2418420000000001</v>
      </c>
      <c r="J34" s="12">
        <v>8.4406800999999998</v>
      </c>
      <c r="K34" s="12">
        <v>8.2960829999999994</v>
      </c>
      <c r="L34" s="12">
        <v>-3.7928848999999998</v>
      </c>
      <c r="M34" s="12">
        <v>-3.230442</v>
      </c>
      <c r="N34" s="12">
        <v>28.4238319</v>
      </c>
      <c r="O34" s="12">
        <v>10.1431313</v>
      </c>
      <c r="P34" s="7">
        <v>1028.2</v>
      </c>
      <c r="Q34" s="7">
        <v>113</v>
      </c>
      <c r="R34" s="7">
        <v>10.4</v>
      </c>
      <c r="S34" s="12">
        <v>15.434083599999999</v>
      </c>
      <c r="T34" s="12">
        <v>4</v>
      </c>
      <c r="U34" s="12">
        <v>67.143333299999995</v>
      </c>
      <c r="V34" s="12">
        <v>0.99036619999999997</v>
      </c>
      <c r="W34" s="12">
        <v>8.4337350000000004</v>
      </c>
      <c r="X34" s="7" t="s">
        <v>107</v>
      </c>
      <c r="Y34" s="7" t="s">
        <v>107</v>
      </c>
      <c r="Z34" s="12">
        <v>-10.4171181</v>
      </c>
      <c r="AA34" s="12">
        <v>61.7596828</v>
      </c>
      <c r="AB34" s="12">
        <v>17.831655999999999</v>
      </c>
      <c r="AC34" s="12">
        <v>33.8456847</v>
      </c>
      <c r="AD34" s="12">
        <v>44.266544699999997</v>
      </c>
      <c r="AE34" s="12">
        <v>57.703568199999999</v>
      </c>
      <c r="AF34" s="12">
        <v>79.222699399999996</v>
      </c>
      <c r="AG34" s="12">
        <v>11.3963242</v>
      </c>
    </row>
    <row r="35" spans="1:33" s="11" customFormat="1" hidden="1" outlineLevel="1" x14ac:dyDescent="0.3">
      <c r="A35" s="11" t="s">
        <v>41</v>
      </c>
      <c r="B35" s="12">
        <v>2.0830310000000001</v>
      </c>
      <c r="C35" s="12">
        <v>83.016666700000002</v>
      </c>
      <c r="D35" s="12">
        <v>2.2918634999999998</v>
      </c>
      <c r="E35" s="17">
        <v>2</v>
      </c>
      <c r="F35" s="13">
        <v>61.47</v>
      </c>
      <c r="G35" s="12">
        <v>22.188346899999999</v>
      </c>
      <c r="H35" s="12">
        <v>19.147435300000001</v>
      </c>
      <c r="I35" s="12">
        <v>2.7861194999999999</v>
      </c>
      <c r="J35" s="12">
        <v>13.267446</v>
      </c>
      <c r="K35" s="12">
        <v>12.0341415</v>
      </c>
      <c r="L35" s="12">
        <v>4.3561176000000001</v>
      </c>
      <c r="M35" s="12">
        <v>12.0353554</v>
      </c>
      <c r="N35" s="12">
        <v>20.3143007</v>
      </c>
      <c r="O35" s="12">
        <v>13.8489209</v>
      </c>
      <c r="P35" s="7">
        <v>1043.9000000000001</v>
      </c>
      <c r="Q35" s="7">
        <v>102.8</v>
      </c>
      <c r="R35" s="7">
        <v>9.5</v>
      </c>
      <c r="S35" s="12">
        <v>17.535544999999999</v>
      </c>
      <c r="T35" s="12">
        <v>4</v>
      </c>
      <c r="U35" s="12">
        <v>67.856666700000005</v>
      </c>
      <c r="V35" s="12">
        <v>0.99041360000000001</v>
      </c>
      <c r="W35" s="12">
        <v>9.3815735</v>
      </c>
      <c r="X35" s="7" t="s">
        <v>107</v>
      </c>
      <c r="Y35" s="7" t="s">
        <v>107</v>
      </c>
      <c r="Z35" s="12">
        <v>-11.927153000000001</v>
      </c>
      <c r="AA35" s="12">
        <v>60.9971082</v>
      </c>
      <c r="AB35" s="12">
        <v>16.1439217</v>
      </c>
      <c r="AC35" s="12">
        <v>36.514292099999999</v>
      </c>
      <c r="AD35" s="12">
        <v>42.917917899999999</v>
      </c>
      <c r="AE35" s="12">
        <v>56.570459300000003</v>
      </c>
      <c r="AF35" s="12">
        <v>78.948314100000005</v>
      </c>
      <c r="AG35" s="12">
        <v>11.3531397</v>
      </c>
    </row>
    <row r="36" spans="1:33" s="11" customFormat="1" hidden="1" outlineLevel="1" x14ac:dyDescent="0.3">
      <c r="A36" s="11" t="s">
        <v>42</v>
      </c>
      <c r="B36" s="12">
        <v>2.0666498999999998</v>
      </c>
      <c r="C36" s="12">
        <v>83.51</v>
      </c>
      <c r="D36" s="12">
        <v>2.2613167999999999</v>
      </c>
      <c r="E36" s="17">
        <v>2.0833333000000001</v>
      </c>
      <c r="F36" s="13">
        <v>56.88</v>
      </c>
      <c r="G36" s="12">
        <v>32.325617999999999</v>
      </c>
      <c r="H36" s="12">
        <v>26.3463368</v>
      </c>
      <c r="I36" s="12">
        <v>-9.0318121999999992</v>
      </c>
      <c r="J36" s="12">
        <v>14.1609564</v>
      </c>
      <c r="K36" s="12">
        <v>12.6150477</v>
      </c>
      <c r="L36" s="12">
        <v>7.1217347999999996</v>
      </c>
      <c r="M36" s="12">
        <v>28.299384700000001</v>
      </c>
      <c r="N36" s="12">
        <v>19.001218000000001</v>
      </c>
      <c r="O36" s="12">
        <v>22.613418100000001</v>
      </c>
      <c r="P36" s="7">
        <v>1047.8</v>
      </c>
      <c r="Q36" s="7">
        <v>94.4</v>
      </c>
      <c r="R36" s="7">
        <v>8.6999999999999993</v>
      </c>
      <c r="S36" s="12">
        <v>16.642547100000002</v>
      </c>
      <c r="T36" s="12">
        <v>4</v>
      </c>
      <c r="U36" s="12">
        <v>69.116666699999996</v>
      </c>
      <c r="V36" s="12">
        <v>0.99103019999999997</v>
      </c>
      <c r="W36" s="12">
        <v>10.070532800000001</v>
      </c>
      <c r="X36" s="7" t="s">
        <v>107</v>
      </c>
      <c r="Y36" s="7" t="s">
        <v>107</v>
      </c>
      <c r="Z36" s="12">
        <v>-14.0412643</v>
      </c>
      <c r="AA36" s="12">
        <v>59.782970300000002</v>
      </c>
      <c r="AB36" s="12">
        <v>18.8365367</v>
      </c>
      <c r="AC36" s="12">
        <v>38.888746699999999</v>
      </c>
      <c r="AD36" s="12">
        <v>41.844752100000001</v>
      </c>
      <c r="AE36" s="12">
        <v>59.350446599999998</v>
      </c>
      <c r="AF36" s="12">
        <v>84.186905999999993</v>
      </c>
      <c r="AG36" s="12">
        <v>11.8823331</v>
      </c>
    </row>
    <row r="37" spans="1:33" s="11" customFormat="1" hidden="1" outlineLevel="1" x14ac:dyDescent="0.3">
      <c r="A37" s="11" t="s">
        <v>43</v>
      </c>
      <c r="B37" s="12">
        <v>3.8191847000000001</v>
      </c>
      <c r="C37" s="12">
        <v>83.573333300000002</v>
      </c>
      <c r="D37" s="12">
        <v>2.2012065999999999</v>
      </c>
      <c r="E37" s="17">
        <v>2.3333333000000001</v>
      </c>
      <c r="F37" s="13">
        <v>61.753333300000001</v>
      </c>
      <c r="G37" s="12">
        <v>26.6623348</v>
      </c>
      <c r="H37" s="12">
        <v>26.675296199999998</v>
      </c>
      <c r="I37" s="12">
        <v>2.8572223999999999</v>
      </c>
      <c r="J37" s="12">
        <v>11.475446699999999</v>
      </c>
      <c r="K37" s="12">
        <v>10.776904999999999</v>
      </c>
      <c r="L37" s="12">
        <v>3.5402667999999999</v>
      </c>
      <c r="M37" s="12">
        <v>41.819347700000002</v>
      </c>
      <c r="N37" s="12">
        <v>12.0278124</v>
      </c>
      <c r="O37" s="12">
        <v>20.6284782</v>
      </c>
      <c r="P37" s="7">
        <v>1056.5999999999999</v>
      </c>
      <c r="Q37" s="7">
        <v>93.3</v>
      </c>
      <c r="R37" s="7">
        <v>8.6</v>
      </c>
      <c r="S37" s="12">
        <v>19.378698199999999</v>
      </c>
      <c r="T37" s="12">
        <v>4</v>
      </c>
      <c r="U37" s="12">
        <v>70.113333299999994</v>
      </c>
      <c r="V37" s="12">
        <v>0.99041360000000001</v>
      </c>
      <c r="W37" s="12">
        <v>13.099708</v>
      </c>
      <c r="X37" s="7" t="s">
        <v>107</v>
      </c>
      <c r="Y37" s="7" t="s">
        <v>107</v>
      </c>
      <c r="Z37" s="12">
        <v>-14.535296600000001</v>
      </c>
      <c r="AA37" s="12">
        <v>61.497117699999997</v>
      </c>
      <c r="AB37" s="12">
        <v>17.583335699999999</v>
      </c>
      <c r="AC37" s="12">
        <v>37.402879499999997</v>
      </c>
      <c r="AD37" s="12">
        <v>41.7082069</v>
      </c>
      <c r="AE37" s="12">
        <v>58.1915397</v>
      </c>
      <c r="AF37" s="12">
        <v>84.364729100000005</v>
      </c>
      <c r="AG37" s="12">
        <v>9.9645349000000003</v>
      </c>
    </row>
    <row r="38" spans="1:33" s="11" customFormat="1" hidden="1" outlineLevel="1" x14ac:dyDescent="0.3">
      <c r="A38" s="11" t="s">
        <v>44</v>
      </c>
      <c r="B38" s="12">
        <v>2.9723983</v>
      </c>
      <c r="C38" s="12">
        <v>84.693333300000006</v>
      </c>
      <c r="D38" s="12">
        <v>2.3979365000000001</v>
      </c>
      <c r="E38" s="17">
        <v>2.5833333000000001</v>
      </c>
      <c r="F38" s="13">
        <v>69.533333299999995</v>
      </c>
      <c r="G38" s="12">
        <v>30.3035982</v>
      </c>
      <c r="H38" s="12">
        <v>29.3140179</v>
      </c>
      <c r="I38" s="12">
        <v>3.0721929000000001</v>
      </c>
      <c r="J38" s="12">
        <v>12.431633700000001</v>
      </c>
      <c r="K38" s="12">
        <v>18.3468588</v>
      </c>
      <c r="L38" s="12">
        <v>5.5419646</v>
      </c>
      <c r="M38" s="12">
        <v>17.053757099999999</v>
      </c>
      <c r="N38" s="12">
        <v>11.3658711</v>
      </c>
      <c r="O38" s="12">
        <v>18.131329600000001</v>
      </c>
      <c r="P38" s="7">
        <v>1071.5999999999999</v>
      </c>
      <c r="Q38" s="7">
        <v>79.7</v>
      </c>
      <c r="R38" s="7">
        <v>7.2</v>
      </c>
      <c r="S38" s="12">
        <v>21.866295300000001</v>
      </c>
      <c r="T38" s="12">
        <v>4</v>
      </c>
      <c r="U38" s="12">
        <v>71.5</v>
      </c>
      <c r="V38" s="12">
        <v>0.99031880000000005</v>
      </c>
      <c r="W38" s="12">
        <v>4.2528736</v>
      </c>
      <c r="X38" s="7" t="s">
        <v>107</v>
      </c>
      <c r="Y38" s="7" t="s">
        <v>107</v>
      </c>
      <c r="Z38" s="12">
        <v>-17.8375342</v>
      </c>
      <c r="AA38" s="12">
        <v>63.484723799999998</v>
      </c>
      <c r="AB38" s="12">
        <v>16.980583899999999</v>
      </c>
      <c r="AC38" s="12">
        <v>37.171355300000002</v>
      </c>
      <c r="AD38" s="12">
        <v>41.584757699999997</v>
      </c>
      <c r="AE38" s="12">
        <v>59.221420600000002</v>
      </c>
      <c r="AF38" s="12">
        <v>78.346101000000004</v>
      </c>
      <c r="AG38" s="12">
        <v>9.8372092999999996</v>
      </c>
    </row>
    <row r="39" spans="1:33" s="11" customFormat="1" hidden="1" outlineLevel="1" x14ac:dyDescent="0.3">
      <c r="A39" s="11" t="s">
        <v>45</v>
      </c>
      <c r="B39" s="12">
        <v>3.3099788999999999</v>
      </c>
      <c r="C39" s="12">
        <v>84.873333299999999</v>
      </c>
      <c r="D39" s="12">
        <v>2.2364986</v>
      </c>
      <c r="E39" s="17">
        <v>2.9166666999999999</v>
      </c>
      <c r="F39" s="13">
        <v>69.62</v>
      </c>
      <c r="G39" s="12">
        <v>26.836706400000001</v>
      </c>
      <c r="H39" s="12">
        <v>26.862894399999998</v>
      </c>
      <c r="I39" s="12">
        <v>2.8016008999999999</v>
      </c>
      <c r="J39" s="12">
        <v>11.601561800000001</v>
      </c>
      <c r="K39" s="12">
        <v>19.758964899999999</v>
      </c>
      <c r="L39" s="12">
        <v>2.7027027000000001</v>
      </c>
      <c r="M39" s="12">
        <v>32.135523599999999</v>
      </c>
      <c r="N39" s="12">
        <v>6.5003482999999997</v>
      </c>
      <c r="O39" s="12">
        <v>26.554021599999999</v>
      </c>
      <c r="P39" s="7">
        <v>1118.8</v>
      </c>
      <c r="Q39" s="7">
        <v>68.099999999999994</v>
      </c>
      <c r="R39" s="7">
        <v>6</v>
      </c>
      <c r="S39" s="12">
        <v>22.446236599999999</v>
      </c>
      <c r="T39" s="12">
        <v>4.5</v>
      </c>
      <c r="U39" s="12">
        <v>72.31</v>
      </c>
      <c r="V39" s="12">
        <v>0.99036619999999997</v>
      </c>
      <c r="W39" s="12">
        <v>5.2307692000000001</v>
      </c>
      <c r="X39" s="7" t="s">
        <v>107</v>
      </c>
      <c r="Y39" s="7" t="s">
        <v>107</v>
      </c>
      <c r="Z39" s="12">
        <v>-22.933008099999999</v>
      </c>
      <c r="AA39" s="12">
        <v>63.047015799999997</v>
      </c>
      <c r="AB39" s="12">
        <v>14.995381999999999</v>
      </c>
      <c r="AC39" s="12">
        <v>44.249461199999999</v>
      </c>
      <c r="AD39" s="12">
        <v>39.248801499999999</v>
      </c>
      <c r="AE39" s="12">
        <v>61.540660600000002</v>
      </c>
      <c r="AF39" s="12">
        <v>78.750962200000004</v>
      </c>
      <c r="AG39" s="12">
        <v>9.6674419</v>
      </c>
    </row>
    <row r="40" spans="1:33" s="11" customFormat="1" hidden="1" outlineLevel="1" x14ac:dyDescent="0.3">
      <c r="A40" s="11" t="s">
        <v>46</v>
      </c>
      <c r="B40" s="12">
        <v>3.7478780999999999</v>
      </c>
      <c r="C40" s="12">
        <v>85.166666699999993</v>
      </c>
      <c r="D40" s="12">
        <v>1.9837944000000001</v>
      </c>
      <c r="E40" s="17">
        <v>3.3333333000000001</v>
      </c>
      <c r="F40" s="13">
        <v>59.68</v>
      </c>
      <c r="G40" s="12">
        <v>39.320561599999998</v>
      </c>
      <c r="H40" s="12">
        <v>42.6086302</v>
      </c>
      <c r="I40" s="12">
        <v>-9.0851939999999995</v>
      </c>
      <c r="J40" s="12">
        <v>12.270629100000001</v>
      </c>
      <c r="K40" s="12">
        <v>24.776690800000001</v>
      </c>
      <c r="L40" s="12">
        <v>10.720036800000001</v>
      </c>
      <c r="M40" s="12">
        <v>18.472733300000002</v>
      </c>
      <c r="N40" s="12">
        <v>1.2325145</v>
      </c>
      <c r="O40" s="12">
        <v>21.784326100000001</v>
      </c>
      <c r="P40" s="7">
        <v>1101.3</v>
      </c>
      <c r="Q40" s="7">
        <v>70.8</v>
      </c>
      <c r="R40" s="7">
        <v>6.4</v>
      </c>
      <c r="S40" s="12">
        <v>27.7915633</v>
      </c>
      <c r="T40" s="12">
        <v>5</v>
      </c>
      <c r="U40" s="12">
        <v>73.41</v>
      </c>
      <c r="V40" s="12">
        <v>0.99159940000000002</v>
      </c>
      <c r="W40" s="12">
        <v>4.0939836999999999</v>
      </c>
      <c r="X40" s="7" t="s">
        <v>107</v>
      </c>
      <c r="Y40" s="7" t="s">
        <v>107</v>
      </c>
      <c r="Z40" s="12">
        <v>-25.7195277</v>
      </c>
      <c r="AA40" s="12">
        <v>65.729755999999995</v>
      </c>
      <c r="AB40" s="12">
        <v>19.2107238</v>
      </c>
      <c r="AC40" s="12">
        <v>39.725416199999998</v>
      </c>
      <c r="AD40" s="12">
        <v>37.233071700000004</v>
      </c>
      <c r="AE40" s="12">
        <v>61.898967800000001</v>
      </c>
      <c r="AF40" s="12">
        <v>75.516697699999995</v>
      </c>
      <c r="AG40" s="12">
        <v>10.015116300000001</v>
      </c>
    </row>
    <row r="41" spans="1:33" s="11" customFormat="1" hidden="1" outlineLevel="1" x14ac:dyDescent="0.3">
      <c r="A41" s="11" t="s">
        <v>47</v>
      </c>
      <c r="B41" s="12">
        <v>3.5234725999999998</v>
      </c>
      <c r="C41" s="12">
        <v>85.39</v>
      </c>
      <c r="D41" s="12">
        <v>2.1737397000000001</v>
      </c>
      <c r="E41" s="17">
        <v>3.5833333000000001</v>
      </c>
      <c r="F41" s="13">
        <v>57.763333299999999</v>
      </c>
      <c r="G41" s="12">
        <v>30.292407699999998</v>
      </c>
      <c r="H41" s="12">
        <v>28.132369099999998</v>
      </c>
      <c r="I41" s="12">
        <v>2.1714239000000002</v>
      </c>
      <c r="J41" s="12">
        <v>14.971837000000001</v>
      </c>
      <c r="K41" s="12">
        <v>27.508569099999999</v>
      </c>
      <c r="L41" s="12">
        <v>5.2886477999999997</v>
      </c>
      <c r="M41" s="12">
        <v>26.309669899999999</v>
      </c>
      <c r="N41" s="12">
        <v>17.081982400000001</v>
      </c>
      <c r="O41" s="12">
        <v>31.8741545</v>
      </c>
      <c r="P41" s="7">
        <v>1084.4000000000001</v>
      </c>
      <c r="Q41" s="7">
        <v>77.5</v>
      </c>
      <c r="R41" s="7">
        <v>7.1</v>
      </c>
      <c r="S41" s="12">
        <v>31.598513000000001</v>
      </c>
      <c r="T41" s="12">
        <v>5.5</v>
      </c>
      <c r="U41" s="12">
        <v>75.443333300000006</v>
      </c>
      <c r="V41" s="12">
        <v>0.99914060000000005</v>
      </c>
      <c r="W41" s="12">
        <v>3.8362227</v>
      </c>
      <c r="X41" s="7" t="s">
        <v>107</v>
      </c>
      <c r="Y41" s="7" t="s">
        <v>107</v>
      </c>
      <c r="Z41" s="12">
        <v>-21.940725499999999</v>
      </c>
      <c r="AA41" s="12">
        <v>62.824077899999999</v>
      </c>
      <c r="AB41" s="12">
        <v>17.839617199999999</v>
      </c>
      <c r="AC41" s="12">
        <v>39.735830499999999</v>
      </c>
      <c r="AD41" s="12">
        <v>39.731741200000002</v>
      </c>
      <c r="AE41" s="12">
        <v>60.1312669</v>
      </c>
      <c r="AF41" s="12">
        <v>76.030153299999995</v>
      </c>
      <c r="AG41" s="12">
        <v>8.0788238000000003</v>
      </c>
    </row>
    <row r="42" spans="1:33" s="11" customFormat="1" hidden="1" outlineLevel="1" x14ac:dyDescent="0.3">
      <c r="A42" s="11" t="s">
        <v>48</v>
      </c>
      <c r="B42" s="12">
        <v>3.1678283999999999</v>
      </c>
      <c r="C42" s="12">
        <v>86.5</v>
      </c>
      <c r="D42" s="12">
        <v>2.1331864</v>
      </c>
      <c r="E42" s="17">
        <v>3.8333333000000001</v>
      </c>
      <c r="F42" s="13">
        <v>68.583333300000007</v>
      </c>
      <c r="G42" s="12">
        <v>32.654969100000002</v>
      </c>
      <c r="H42" s="12">
        <v>30.2537068</v>
      </c>
      <c r="I42" s="12">
        <v>2.3556936999999998</v>
      </c>
      <c r="J42" s="12">
        <v>12.3747589</v>
      </c>
      <c r="K42" s="12">
        <v>17.131203299999999</v>
      </c>
      <c r="L42" s="12">
        <v>4.4396898</v>
      </c>
      <c r="M42" s="12">
        <v>34.958895800000001</v>
      </c>
      <c r="N42" s="12">
        <v>8.6527270999999999</v>
      </c>
      <c r="O42" s="12">
        <v>25.620698099999998</v>
      </c>
      <c r="P42" s="7">
        <v>1108</v>
      </c>
      <c r="Q42" s="7">
        <v>70.5</v>
      </c>
      <c r="R42" s="7">
        <v>6.3</v>
      </c>
      <c r="S42" s="12">
        <v>32.2285714</v>
      </c>
      <c r="T42" s="12">
        <v>6</v>
      </c>
      <c r="U42" s="12">
        <v>77.58</v>
      </c>
      <c r="V42" s="12">
        <v>0.99430280000000004</v>
      </c>
      <c r="W42" s="12">
        <v>2.0580669</v>
      </c>
      <c r="X42" s="7" t="s">
        <v>107</v>
      </c>
      <c r="Y42" s="7" t="s">
        <v>107</v>
      </c>
      <c r="Z42" s="12">
        <v>-21.167469199999999</v>
      </c>
      <c r="AA42" s="12">
        <v>60.749749899999998</v>
      </c>
      <c r="AB42" s="12">
        <v>17.1345907</v>
      </c>
      <c r="AC42" s="12">
        <v>41.670238599999998</v>
      </c>
      <c r="AD42" s="12">
        <v>38.414416299999999</v>
      </c>
      <c r="AE42" s="12">
        <v>57.9689956</v>
      </c>
      <c r="AF42" s="12">
        <v>68.690250700000007</v>
      </c>
      <c r="AG42" s="12">
        <v>7.7546489999999997</v>
      </c>
    </row>
    <row r="43" spans="1:33" s="11" customFormat="1" hidden="1" outlineLevel="1" x14ac:dyDescent="0.3">
      <c r="A43" s="11" t="s">
        <v>49</v>
      </c>
      <c r="B43" s="12">
        <v>3.1476855000000001</v>
      </c>
      <c r="C43" s="12">
        <v>86.6</v>
      </c>
      <c r="D43" s="12">
        <v>2.0344042999999998</v>
      </c>
      <c r="E43" s="17">
        <v>4</v>
      </c>
      <c r="F43" s="13">
        <v>74.953333299999997</v>
      </c>
      <c r="G43" s="12">
        <v>45.792349700000003</v>
      </c>
      <c r="H43" s="12">
        <v>33.3022201</v>
      </c>
      <c r="I43" s="12">
        <v>-2.6537999999999999E-2</v>
      </c>
      <c r="J43" s="12">
        <v>10.630399799999999</v>
      </c>
      <c r="K43" s="12">
        <v>7.5132304000000003</v>
      </c>
      <c r="L43" s="12">
        <v>8.5502903000000003</v>
      </c>
      <c r="M43" s="12">
        <v>22.921522899999999</v>
      </c>
      <c r="N43" s="12">
        <v>12.2603328</v>
      </c>
      <c r="O43" s="12">
        <v>16.189959300000002</v>
      </c>
      <c r="P43" s="7">
        <v>1130.8</v>
      </c>
      <c r="Q43" s="7">
        <v>64.599999999999994</v>
      </c>
      <c r="R43" s="7">
        <v>5.6</v>
      </c>
      <c r="S43" s="12">
        <v>32.9308452</v>
      </c>
      <c r="T43" s="12">
        <v>6</v>
      </c>
      <c r="U43" s="12">
        <v>79.84</v>
      </c>
      <c r="V43" s="12">
        <v>0.9944925</v>
      </c>
      <c r="W43" s="12">
        <v>-0.36549700000000002</v>
      </c>
      <c r="X43" s="7" t="s">
        <v>107</v>
      </c>
      <c r="Y43" s="7" t="s">
        <v>107</v>
      </c>
      <c r="Z43" s="12">
        <v>-22.515504199999999</v>
      </c>
      <c r="AA43" s="12">
        <v>57.476240300000001</v>
      </c>
      <c r="AB43" s="12">
        <v>16.196447200000001</v>
      </c>
      <c r="AC43" s="12">
        <v>46.159460000000003</v>
      </c>
      <c r="AD43" s="12">
        <v>37.415202899999997</v>
      </c>
      <c r="AE43" s="12">
        <v>57.247350400000002</v>
      </c>
      <c r="AF43" s="12">
        <v>52.493025500000002</v>
      </c>
      <c r="AG43" s="12">
        <v>7.7246981000000003</v>
      </c>
    </row>
    <row r="44" spans="1:33" s="11" customFormat="1" hidden="1" outlineLevel="1" x14ac:dyDescent="0.3">
      <c r="A44" s="11" t="s">
        <v>50</v>
      </c>
      <c r="B44" s="12">
        <v>2.7223932</v>
      </c>
      <c r="C44" s="12">
        <v>87.72</v>
      </c>
      <c r="D44" s="12">
        <v>2.998043</v>
      </c>
      <c r="E44" s="17">
        <v>4</v>
      </c>
      <c r="F44" s="13">
        <v>88.56</v>
      </c>
      <c r="G44" s="12">
        <v>5.5643336000000003</v>
      </c>
      <c r="H44" s="12">
        <v>11.337593099999999</v>
      </c>
      <c r="I44" s="12">
        <v>-5.8789290000000003</v>
      </c>
      <c r="J44" s="12">
        <v>3.6407484999999999</v>
      </c>
      <c r="K44" s="12">
        <v>-0.65743019999999996</v>
      </c>
      <c r="L44" s="12">
        <v>-3.3174043000000002</v>
      </c>
      <c r="M44" s="12">
        <v>-1.7588553</v>
      </c>
      <c r="N44" s="12">
        <v>18.039347899999999</v>
      </c>
      <c r="O44" s="12">
        <v>1.7194883999999999</v>
      </c>
      <c r="P44" s="7">
        <v>1148.8</v>
      </c>
      <c r="Q44" s="7">
        <v>59.9</v>
      </c>
      <c r="R44" s="7">
        <v>5.3</v>
      </c>
      <c r="S44" s="12">
        <v>29.902912600000001</v>
      </c>
      <c r="T44" s="12">
        <v>6</v>
      </c>
      <c r="U44" s="12">
        <v>83.436666700000004</v>
      </c>
      <c r="V44" s="12">
        <v>0.99648460000000005</v>
      </c>
      <c r="W44" s="12">
        <v>-0.82079340000000001</v>
      </c>
      <c r="X44" s="7" t="s">
        <v>107</v>
      </c>
      <c r="Y44" s="7" t="s">
        <v>107</v>
      </c>
      <c r="Z44" s="12">
        <v>-17.384667</v>
      </c>
      <c r="AA44" s="12">
        <v>59.062540400000003</v>
      </c>
      <c r="AB44" s="12">
        <v>19.2811409</v>
      </c>
      <c r="AC44" s="12">
        <v>38.416763699999997</v>
      </c>
      <c r="AD44" s="12">
        <v>37.786185500000002</v>
      </c>
      <c r="AE44" s="12">
        <v>54.5482473</v>
      </c>
      <c r="AF44" s="12">
        <v>39.170981099999999</v>
      </c>
      <c r="AG44" s="12">
        <v>8.4457226999999993</v>
      </c>
    </row>
    <row r="45" spans="1:33" s="11" customFormat="1" hidden="1" outlineLevel="1" x14ac:dyDescent="0.3">
      <c r="A45" s="11" t="s">
        <v>51</v>
      </c>
      <c r="B45" s="12">
        <v>1.9060995000000001</v>
      </c>
      <c r="C45" s="12">
        <v>88.42</v>
      </c>
      <c r="D45" s="12">
        <v>3.5484249000000001</v>
      </c>
      <c r="E45" s="17">
        <v>4</v>
      </c>
      <c r="F45" s="13">
        <v>96.936666700000004</v>
      </c>
      <c r="G45" s="12">
        <v>26.274689899999998</v>
      </c>
      <c r="H45" s="12">
        <v>18.8577388</v>
      </c>
      <c r="I45" s="12">
        <v>0.2286704</v>
      </c>
      <c r="J45" s="12">
        <v>4.0000701999999997</v>
      </c>
      <c r="K45" s="12">
        <v>-5.0152856999999997</v>
      </c>
      <c r="L45" s="12">
        <v>1.6559337999999999</v>
      </c>
      <c r="M45" s="12">
        <v>0.93075589999999997</v>
      </c>
      <c r="N45" s="12">
        <v>6.5471952</v>
      </c>
      <c r="O45" s="12">
        <v>-6.4574674999999999</v>
      </c>
      <c r="P45" s="7">
        <v>1137.8</v>
      </c>
      <c r="Q45" s="7">
        <v>76.400000000000006</v>
      </c>
      <c r="R45" s="7">
        <v>6.7</v>
      </c>
      <c r="S45" s="12">
        <v>28.060263599999999</v>
      </c>
      <c r="T45" s="12">
        <v>6</v>
      </c>
      <c r="U45" s="12">
        <v>87.71</v>
      </c>
      <c r="V45" s="12">
        <v>0.99216850000000001</v>
      </c>
      <c r="W45" s="12">
        <v>0.63943159999999999</v>
      </c>
      <c r="X45" s="7" t="s">
        <v>107</v>
      </c>
      <c r="Y45" s="7" t="s">
        <v>107</v>
      </c>
      <c r="Z45" s="12">
        <v>-15.348747899999999</v>
      </c>
      <c r="AA45" s="12">
        <v>58.494586400000003</v>
      </c>
      <c r="AB45" s="12">
        <v>18.300563</v>
      </c>
      <c r="AC45" s="12">
        <v>37.411866600000003</v>
      </c>
      <c r="AD45" s="12">
        <v>39.244694699999997</v>
      </c>
      <c r="AE45" s="12">
        <v>53.4517107</v>
      </c>
      <c r="AF45" s="12">
        <v>27.4059606</v>
      </c>
      <c r="AG45" s="12">
        <v>9.4484239999999993</v>
      </c>
    </row>
    <row r="46" spans="1:33" s="11" customFormat="1" hidden="1" outlineLevel="1" x14ac:dyDescent="0.3">
      <c r="A46" s="11" t="s">
        <v>52</v>
      </c>
      <c r="B46" s="12">
        <v>1.9101475000000001</v>
      </c>
      <c r="C46" s="12">
        <v>89.906666700000002</v>
      </c>
      <c r="D46" s="12">
        <v>3.9383430000000001</v>
      </c>
      <c r="E46" s="17">
        <v>4</v>
      </c>
      <c r="F46" s="13">
        <v>121.3966667</v>
      </c>
      <c r="G46" s="12">
        <v>21.0820188</v>
      </c>
      <c r="H46" s="12">
        <v>16.103409899999999</v>
      </c>
      <c r="I46" s="12">
        <v>0.98128669999999996</v>
      </c>
      <c r="J46" s="12">
        <v>-1.0100703</v>
      </c>
      <c r="K46" s="12">
        <v>-6.3261753000000001</v>
      </c>
      <c r="L46" s="12">
        <v>3.8412291999999999</v>
      </c>
      <c r="M46" s="12">
        <v>-10.7915022</v>
      </c>
      <c r="N46" s="12">
        <v>4.5469656000000001</v>
      </c>
      <c r="O46" s="12">
        <v>-8.7642483000000002</v>
      </c>
      <c r="P46" s="7">
        <v>1142.0999999999999</v>
      </c>
      <c r="Q46" s="7">
        <v>75.8</v>
      </c>
      <c r="R46" s="7">
        <v>6.6</v>
      </c>
      <c r="S46" s="12">
        <v>23.768366499999999</v>
      </c>
      <c r="T46" s="12">
        <v>6</v>
      </c>
      <c r="U46" s="12">
        <v>91.183333300000001</v>
      </c>
      <c r="V46" s="12">
        <v>0.99567830000000002</v>
      </c>
      <c r="W46" s="12">
        <v>0.79222179999999998</v>
      </c>
      <c r="X46" s="7" t="s">
        <v>107</v>
      </c>
      <c r="Y46" s="7" t="s">
        <v>107</v>
      </c>
      <c r="Z46" s="12">
        <v>-14.2333113</v>
      </c>
      <c r="AA46" s="12">
        <v>58.808368899999998</v>
      </c>
      <c r="AB46" s="12">
        <v>19.3279867</v>
      </c>
      <c r="AC46" s="12">
        <v>34.498711399999998</v>
      </c>
      <c r="AD46" s="12">
        <v>39.214650499999998</v>
      </c>
      <c r="AE46" s="12">
        <v>51.851318300000003</v>
      </c>
      <c r="AF46" s="12">
        <v>16.937400400000001</v>
      </c>
      <c r="AG46" s="12">
        <v>9.9931099000000003</v>
      </c>
    </row>
    <row r="47" spans="1:33" s="11" customFormat="1" hidden="1" outlineLevel="1" x14ac:dyDescent="0.3">
      <c r="A47" s="11" t="s">
        <v>53</v>
      </c>
      <c r="B47" s="12">
        <v>0.87131639999999999</v>
      </c>
      <c r="C47" s="12">
        <v>90.323333300000002</v>
      </c>
      <c r="D47" s="12">
        <v>4.2994611000000003</v>
      </c>
      <c r="E47" s="17">
        <v>4.25</v>
      </c>
      <c r="F47" s="13">
        <v>114.3966667</v>
      </c>
      <c r="G47" s="12">
        <v>18.315842100000001</v>
      </c>
      <c r="H47" s="12">
        <v>6.4719416000000001</v>
      </c>
      <c r="I47" s="12">
        <v>-3.7366937999999998</v>
      </c>
      <c r="J47" s="12">
        <v>-6.3143985999999996</v>
      </c>
      <c r="K47" s="12">
        <v>-6.9295315000000004</v>
      </c>
      <c r="L47" s="12">
        <v>2.5450781</v>
      </c>
      <c r="M47" s="12">
        <v>-23.052099299999998</v>
      </c>
      <c r="N47" s="12">
        <v>3.0517116</v>
      </c>
      <c r="O47" s="12">
        <v>-11.4980381</v>
      </c>
      <c r="P47" s="7">
        <v>1132.5</v>
      </c>
      <c r="Q47" s="7">
        <v>84.8</v>
      </c>
      <c r="R47" s="7">
        <v>7.4</v>
      </c>
      <c r="S47" s="12">
        <v>20.561519400000002</v>
      </c>
      <c r="T47" s="12">
        <v>6</v>
      </c>
      <c r="U47" s="12">
        <v>92.303333300000006</v>
      </c>
      <c r="V47" s="12">
        <v>1.0023658</v>
      </c>
      <c r="W47" s="12">
        <v>-3.6316948</v>
      </c>
      <c r="X47" s="7" t="s">
        <v>107</v>
      </c>
      <c r="Y47" s="7" t="s">
        <v>107</v>
      </c>
      <c r="Z47" s="12">
        <v>-11.9097627</v>
      </c>
      <c r="AA47" s="12">
        <v>57.271446400000002</v>
      </c>
      <c r="AB47" s="12">
        <v>18.791484000000001</v>
      </c>
      <c r="AC47" s="12">
        <v>36.570131500000002</v>
      </c>
      <c r="AD47" s="12">
        <v>40.396055099999998</v>
      </c>
      <c r="AE47" s="12">
        <v>53.029117100000001</v>
      </c>
      <c r="AF47" s="12">
        <v>12.0081036</v>
      </c>
      <c r="AG47" s="12">
        <v>10.8019847</v>
      </c>
    </row>
    <row r="48" spans="1:33" s="11" customFormat="1" hidden="1" outlineLevel="1" x14ac:dyDescent="0.3">
      <c r="A48" s="11" t="s">
        <v>54</v>
      </c>
      <c r="B48" s="12">
        <v>-1.9881508000000001</v>
      </c>
      <c r="C48" s="12">
        <v>90.23</v>
      </c>
      <c r="D48" s="12">
        <v>2.8613770999999999</v>
      </c>
      <c r="E48" s="17">
        <v>3.1666666999999999</v>
      </c>
      <c r="F48" s="13">
        <v>54.66</v>
      </c>
      <c r="G48" s="12">
        <v>15.865695799999999</v>
      </c>
      <c r="H48" s="12">
        <v>-5.8432934999999997</v>
      </c>
      <c r="I48" s="12">
        <v>-14.361806400000001</v>
      </c>
      <c r="J48" s="12">
        <v>-8.2074069999999999</v>
      </c>
      <c r="K48" s="12">
        <v>-14.537121000000001</v>
      </c>
      <c r="L48" s="12">
        <v>0.20773639999999999</v>
      </c>
      <c r="M48" s="12">
        <v>-18.670739900000001</v>
      </c>
      <c r="N48" s="12">
        <v>-4.3648952000000003</v>
      </c>
      <c r="O48" s="12">
        <v>-17.456340900000001</v>
      </c>
      <c r="P48" s="7">
        <v>1085.5999999999999</v>
      </c>
      <c r="Q48" s="7">
        <v>116.9</v>
      </c>
      <c r="R48" s="7">
        <v>10.199999999999999</v>
      </c>
      <c r="S48" s="12">
        <v>12.1823617</v>
      </c>
      <c r="T48" s="12">
        <v>6</v>
      </c>
      <c r="U48" s="12">
        <v>93.35</v>
      </c>
      <c r="V48" s="12">
        <v>1.0087687000000001</v>
      </c>
      <c r="W48" s="12">
        <v>-10.2413793</v>
      </c>
      <c r="X48" s="7" t="s">
        <v>107</v>
      </c>
      <c r="Y48" s="7" t="s">
        <v>107</v>
      </c>
      <c r="Z48" s="12">
        <v>-7.6147169999999997</v>
      </c>
      <c r="AA48" s="12">
        <v>56.192405700000002</v>
      </c>
      <c r="AB48" s="12">
        <v>22.382524</v>
      </c>
      <c r="AC48" s="12">
        <v>32.685772200000002</v>
      </c>
      <c r="AD48" s="12">
        <v>38.124959199999999</v>
      </c>
      <c r="AE48" s="12">
        <v>49.3856611</v>
      </c>
      <c r="AF48" s="12">
        <v>6.9062232000000003</v>
      </c>
      <c r="AG48" s="12">
        <v>18.5364422</v>
      </c>
    </row>
    <row r="49" spans="1:33" s="11" customFormat="1" hidden="1" outlineLevel="1" x14ac:dyDescent="0.3">
      <c r="A49" s="11" t="s">
        <v>55</v>
      </c>
      <c r="B49" s="12">
        <v>-5.4359460999999998</v>
      </c>
      <c r="C49" s="12">
        <v>89.88</v>
      </c>
      <c r="D49" s="12">
        <v>1.6512100999999999</v>
      </c>
      <c r="E49" s="17">
        <v>1.8333333000000001</v>
      </c>
      <c r="F49" s="13">
        <v>44.433333300000001</v>
      </c>
      <c r="G49" s="12">
        <v>12.867016599999999</v>
      </c>
      <c r="H49" s="12">
        <v>-8.0258064999999998</v>
      </c>
      <c r="I49" s="12">
        <v>-8.2565699000000006</v>
      </c>
      <c r="J49" s="12">
        <v>-12.2275314</v>
      </c>
      <c r="K49" s="12">
        <v>-19.244748999999999</v>
      </c>
      <c r="L49" s="12">
        <v>5.3574660999999999</v>
      </c>
      <c r="M49" s="12">
        <v>-33.025942399999998</v>
      </c>
      <c r="N49" s="12">
        <v>-19.411131300000001</v>
      </c>
      <c r="O49" s="12">
        <v>-31.853330700000001</v>
      </c>
      <c r="P49" s="7">
        <v>1046.7</v>
      </c>
      <c r="Q49" s="7">
        <v>160.80000000000001</v>
      </c>
      <c r="R49" s="7">
        <v>14.2</v>
      </c>
      <c r="S49" s="12">
        <v>3.6764706</v>
      </c>
      <c r="T49" s="12">
        <v>5</v>
      </c>
      <c r="U49" s="12">
        <v>95.603333300000003</v>
      </c>
      <c r="V49" s="12">
        <v>1.0046424</v>
      </c>
      <c r="W49" s="12">
        <v>-24.002823800000002</v>
      </c>
      <c r="X49" s="12">
        <v>-16.709956699999999</v>
      </c>
      <c r="Y49" s="12">
        <v>-31.525974000000001</v>
      </c>
      <c r="Z49" s="12">
        <v>0.36166530000000002</v>
      </c>
      <c r="AA49" s="12">
        <v>59.723016299999998</v>
      </c>
      <c r="AB49" s="12">
        <v>21.171886600000001</v>
      </c>
      <c r="AC49" s="12">
        <v>23.8993711</v>
      </c>
      <c r="AD49" s="12">
        <v>39.8704021</v>
      </c>
      <c r="AE49" s="12">
        <v>44.662558500000003</v>
      </c>
      <c r="AF49" s="12">
        <v>2.2960834999999999</v>
      </c>
      <c r="AG49" s="12">
        <v>25.9184211</v>
      </c>
    </row>
    <row r="50" spans="1:33" s="11" customFormat="1" hidden="1" outlineLevel="1" x14ac:dyDescent="0.3">
      <c r="A50" s="11" t="s">
        <v>56</v>
      </c>
      <c r="B50" s="12">
        <v>-5.8020649999999998</v>
      </c>
      <c r="C50" s="12">
        <v>90.723333299999993</v>
      </c>
      <c r="D50" s="12">
        <v>0.90834930000000003</v>
      </c>
      <c r="E50" s="17">
        <v>1.0833333000000001</v>
      </c>
      <c r="F50" s="13">
        <v>58.696666700000002</v>
      </c>
      <c r="G50" s="12">
        <v>-6.2007520999999999</v>
      </c>
      <c r="H50" s="12">
        <v>-21.870234</v>
      </c>
      <c r="I50" s="12">
        <v>-6.1777877999999999</v>
      </c>
      <c r="J50" s="12">
        <v>-15.598723400000001</v>
      </c>
      <c r="K50" s="12">
        <v>-18.541565599999998</v>
      </c>
      <c r="L50" s="12">
        <v>-2.9099876999999998</v>
      </c>
      <c r="M50" s="12">
        <v>-43.279241300000002</v>
      </c>
      <c r="N50" s="12">
        <v>-19.7569248</v>
      </c>
      <c r="O50" s="12">
        <v>-36.655138200000003</v>
      </c>
      <c r="P50" s="7">
        <v>999.3</v>
      </c>
      <c r="Q50" s="7">
        <v>192.5</v>
      </c>
      <c r="R50" s="7">
        <v>17.2</v>
      </c>
      <c r="S50" s="12">
        <v>-0.69832399999999994</v>
      </c>
      <c r="T50" s="12">
        <v>4</v>
      </c>
      <c r="U50" s="12">
        <v>95.23</v>
      </c>
      <c r="V50" s="12">
        <v>1.0054961</v>
      </c>
      <c r="W50" s="12">
        <v>-21.650589499999999</v>
      </c>
      <c r="X50" s="12">
        <v>-21.744373</v>
      </c>
      <c r="Y50" s="12">
        <v>-39.053803299999998</v>
      </c>
      <c r="Z50" s="12">
        <v>12.6661131</v>
      </c>
      <c r="AA50" s="12">
        <v>59.573423900000002</v>
      </c>
      <c r="AB50" s="12">
        <v>20.471973999999999</v>
      </c>
      <c r="AC50" s="12">
        <v>21.459683900000002</v>
      </c>
      <c r="AD50" s="12">
        <v>38.986932799999998</v>
      </c>
      <c r="AE50" s="12">
        <v>40.489969500000001</v>
      </c>
      <c r="AF50" s="12">
        <v>-0.58512839999999999</v>
      </c>
      <c r="AG50" s="12">
        <v>26.774736799999999</v>
      </c>
    </row>
    <row r="51" spans="1:33" s="11" customFormat="1" hidden="1" outlineLevel="1" x14ac:dyDescent="0.3">
      <c r="A51" s="11" t="s">
        <v>57</v>
      </c>
      <c r="B51" s="12">
        <v>-4.1677857999999999</v>
      </c>
      <c r="C51" s="12">
        <v>90.663333300000005</v>
      </c>
      <c r="D51" s="12">
        <v>0.37642540000000002</v>
      </c>
      <c r="E51" s="17">
        <v>1</v>
      </c>
      <c r="F51" s="13">
        <v>68.2</v>
      </c>
      <c r="G51" s="12">
        <v>-19.3917635</v>
      </c>
      <c r="H51" s="12">
        <v>-26.230740300000001</v>
      </c>
      <c r="I51" s="12">
        <v>-7.2262367999999997</v>
      </c>
      <c r="J51" s="12">
        <v>-15.666946599999999</v>
      </c>
      <c r="K51" s="12">
        <v>-16.672147299999999</v>
      </c>
      <c r="L51" s="12">
        <v>-21.638902900000001</v>
      </c>
      <c r="M51" s="12">
        <v>-38.436594800000002</v>
      </c>
      <c r="N51" s="12">
        <v>-12.1103965</v>
      </c>
      <c r="O51" s="12">
        <v>-31.4596363</v>
      </c>
      <c r="P51" s="7">
        <v>953.9</v>
      </c>
      <c r="Q51" s="7">
        <v>203.4</v>
      </c>
      <c r="R51" s="7">
        <v>18.8</v>
      </c>
      <c r="S51" s="12">
        <v>-6.4383562000000003</v>
      </c>
      <c r="T51" s="12">
        <v>4</v>
      </c>
      <c r="U51" s="12">
        <v>93.453333299999997</v>
      </c>
      <c r="V51" s="12">
        <v>0.99876120000000002</v>
      </c>
      <c r="W51" s="12">
        <v>-17.3582033</v>
      </c>
      <c r="X51" s="12">
        <v>-21.028571400000001</v>
      </c>
      <c r="Y51" s="12">
        <v>-37.049083400000001</v>
      </c>
      <c r="Z51" s="12">
        <v>7.9432840000000002</v>
      </c>
      <c r="AA51" s="12">
        <v>61.529909799999999</v>
      </c>
      <c r="AB51" s="12">
        <v>16.0345491</v>
      </c>
      <c r="AC51" s="12">
        <v>24.524308399999999</v>
      </c>
      <c r="AD51" s="12">
        <v>43.526318000000003</v>
      </c>
      <c r="AE51" s="12">
        <v>45.615085299999997</v>
      </c>
      <c r="AF51" s="12">
        <v>-3.5165799</v>
      </c>
      <c r="AG51" s="12">
        <v>35.3489474</v>
      </c>
    </row>
    <row r="52" spans="1:33" s="11" customFormat="1" hidden="1" outlineLevel="1" x14ac:dyDescent="0.3">
      <c r="A52" s="11" t="s">
        <v>58</v>
      </c>
      <c r="B52" s="12">
        <v>-1.8288317999999999</v>
      </c>
      <c r="C52" s="12">
        <v>91.146666699999997</v>
      </c>
      <c r="D52" s="12">
        <v>1.0159222999999999</v>
      </c>
      <c r="E52" s="17">
        <v>1</v>
      </c>
      <c r="F52" s="13">
        <v>74.63</v>
      </c>
      <c r="G52" s="12">
        <v>-16.618951200000001</v>
      </c>
      <c r="H52" s="12">
        <v>-19.166834600000001</v>
      </c>
      <c r="I52" s="12">
        <v>-16.634113200000002</v>
      </c>
      <c r="J52" s="12">
        <v>-13.411114299999999</v>
      </c>
      <c r="K52" s="12">
        <v>-8.3945164999999999</v>
      </c>
      <c r="L52" s="12">
        <v>-18.593180400000001</v>
      </c>
      <c r="M52" s="12">
        <v>-45.289364499999998</v>
      </c>
      <c r="N52" s="12">
        <v>0.16047169999999999</v>
      </c>
      <c r="O52" s="12">
        <v>-22.930724600000001</v>
      </c>
      <c r="P52" s="7">
        <v>932.6</v>
      </c>
      <c r="Q52" s="7">
        <v>214.9</v>
      </c>
      <c r="R52" s="7">
        <v>19.899999999999999</v>
      </c>
      <c r="S52" s="12">
        <v>-12.058627599999999</v>
      </c>
      <c r="T52" s="12">
        <v>4</v>
      </c>
      <c r="U52" s="12">
        <v>92.14</v>
      </c>
      <c r="V52" s="12">
        <v>1.0080098</v>
      </c>
      <c r="W52" s="12">
        <v>-8.9512102000000002</v>
      </c>
      <c r="X52" s="12">
        <v>-7.2621035000000003</v>
      </c>
      <c r="Y52" s="12">
        <v>-27.6171486</v>
      </c>
      <c r="Z52" s="12">
        <v>9.6302579999999995</v>
      </c>
      <c r="AA52" s="12">
        <v>61.250053100000002</v>
      </c>
      <c r="AB52" s="12">
        <v>18.402615600000001</v>
      </c>
      <c r="AC52" s="12">
        <v>19.9121056</v>
      </c>
      <c r="AD52" s="12">
        <v>46.611608799999999</v>
      </c>
      <c r="AE52" s="12">
        <v>46.174260099999998</v>
      </c>
      <c r="AF52" s="12">
        <v>-4.9079014000000001</v>
      </c>
      <c r="AG52" s="12">
        <v>36.954210500000002</v>
      </c>
    </row>
    <row r="53" spans="1:33" s="11" customFormat="1" hidden="1" outlineLevel="1" x14ac:dyDescent="0.3">
      <c r="A53" s="11" t="s">
        <v>59</v>
      </c>
      <c r="B53" s="12">
        <v>1.1991562</v>
      </c>
      <c r="C53" s="12">
        <v>91.416666699999993</v>
      </c>
      <c r="D53" s="12">
        <v>1.709687</v>
      </c>
      <c r="E53" s="17">
        <v>1</v>
      </c>
      <c r="F53" s="13">
        <v>76.25</v>
      </c>
      <c r="G53" s="12">
        <v>-12.933376300000001</v>
      </c>
      <c r="H53" s="12">
        <v>-9.0067339999999998</v>
      </c>
      <c r="I53" s="12">
        <v>-6.5638851999999996</v>
      </c>
      <c r="J53" s="12">
        <v>-10.6511494</v>
      </c>
      <c r="K53" s="12">
        <v>-1.7935063</v>
      </c>
      <c r="L53" s="12">
        <v>-19.6615702</v>
      </c>
      <c r="M53" s="12">
        <v>-36.298986200000002</v>
      </c>
      <c r="N53" s="12">
        <v>7.6111494999999998</v>
      </c>
      <c r="O53" s="12">
        <v>-0.78399010000000002</v>
      </c>
      <c r="P53" s="7">
        <v>916.1</v>
      </c>
      <c r="Q53" s="7">
        <v>224.1</v>
      </c>
      <c r="R53" s="7">
        <v>21.3</v>
      </c>
      <c r="S53" s="12">
        <v>-8.2269503999999998</v>
      </c>
      <c r="T53" s="12">
        <v>3.5</v>
      </c>
      <c r="U53" s="12">
        <v>91.9033333</v>
      </c>
      <c r="V53" s="12">
        <v>1.0083892999999999</v>
      </c>
      <c r="W53" s="12">
        <v>5.4807245</v>
      </c>
      <c r="X53" s="12">
        <v>4.0020790000000002</v>
      </c>
      <c r="Y53" s="12">
        <v>-2.2285442999999998</v>
      </c>
      <c r="Z53" s="12">
        <v>6.6557918000000003</v>
      </c>
      <c r="AA53" s="12">
        <v>64.028934699999994</v>
      </c>
      <c r="AB53" s="12">
        <v>18.578596099999999</v>
      </c>
      <c r="AC53" s="12">
        <v>19.1874909</v>
      </c>
      <c r="AD53" s="12">
        <v>48.146524399999997</v>
      </c>
      <c r="AE53" s="12">
        <v>49.941546099999996</v>
      </c>
      <c r="AF53" s="12">
        <v>-5.0241439000000003</v>
      </c>
      <c r="AG53" s="12">
        <v>43.913644400000003</v>
      </c>
    </row>
    <row r="54" spans="1:33" s="11" customFormat="1" hidden="1" outlineLevel="1" x14ac:dyDescent="0.3">
      <c r="A54" s="11" t="s">
        <v>60</v>
      </c>
      <c r="B54" s="12">
        <v>2.6157658000000001</v>
      </c>
      <c r="C54" s="12">
        <v>92.57</v>
      </c>
      <c r="D54" s="12">
        <v>2.0354926</v>
      </c>
      <c r="E54" s="17">
        <v>1</v>
      </c>
      <c r="F54" s="13">
        <v>78.510000000000005</v>
      </c>
      <c r="G54" s="12">
        <v>-10.252493899999999</v>
      </c>
      <c r="H54" s="12">
        <v>-6.3970998000000003</v>
      </c>
      <c r="I54" s="12">
        <v>-4.4989866000000003</v>
      </c>
      <c r="J54" s="12">
        <v>-5.6375668000000001</v>
      </c>
      <c r="K54" s="12">
        <v>-0.24471709999999999</v>
      </c>
      <c r="L54" s="12">
        <v>-12.979426</v>
      </c>
      <c r="M54" s="12">
        <v>-18.815486400000001</v>
      </c>
      <c r="N54" s="12">
        <v>16.519901399999998</v>
      </c>
      <c r="O54" s="12">
        <v>12.1005629</v>
      </c>
      <c r="P54" s="7">
        <v>936</v>
      </c>
      <c r="Q54" s="7">
        <v>215.5</v>
      </c>
      <c r="R54" s="7">
        <v>20.399999999999999</v>
      </c>
      <c r="S54" s="12">
        <v>-6.3291139000000003</v>
      </c>
      <c r="T54" s="12">
        <v>3.5</v>
      </c>
      <c r="U54" s="12">
        <v>93.063333299999996</v>
      </c>
      <c r="V54" s="12">
        <v>1.0070612000000001</v>
      </c>
      <c r="W54" s="12">
        <v>12.722298199999999</v>
      </c>
      <c r="X54" s="12">
        <v>20.3389831</v>
      </c>
      <c r="Y54" s="12">
        <v>19.736174500000001</v>
      </c>
      <c r="Z54" s="12">
        <v>4.3288894999999998</v>
      </c>
      <c r="AA54" s="12">
        <v>62.569322200000002</v>
      </c>
      <c r="AB54" s="12">
        <v>18.967014899999999</v>
      </c>
      <c r="AC54" s="12">
        <v>18.967014899999999</v>
      </c>
      <c r="AD54" s="12">
        <v>51.747254900000001</v>
      </c>
      <c r="AE54" s="12">
        <v>52.250606900000001</v>
      </c>
      <c r="AF54" s="12">
        <v>-4.8725696000000003</v>
      </c>
      <c r="AG54" s="12">
        <v>43.028527199999999</v>
      </c>
    </row>
    <row r="55" spans="1:33" s="11" customFormat="1" hidden="1" outlineLevel="1" x14ac:dyDescent="0.3">
      <c r="A55" s="11" t="s">
        <v>61</v>
      </c>
      <c r="B55" s="12">
        <v>2.4618717000000001</v>
      </c>
      <c r="C55" s="12">
        <v>92.583333300000007</v>
      </c>
      <c r="D55" s="12">
        <v>2.1177248999999998</v>
      </c>
      <c r="E55" s="17">
        <v>1</v>
      </c>
      <c r="F55" s="13">
        <v>76.819999999999993</v>
      </c>
      <c r="G55" s="12">
        <v>6.5919094999999999</v>
      </c>
      <c r="H55" s="12">
        <v>1.107998</v>
      </c>
      <c r="I55" s="12">
        <v>-9.5689267000000005</v>
      </c>
      <c r="J55" s="12">
        <v>-1.0354223</v>
      </c>
      <c r="K55" s="12">
        <v>5.1598264</v>
      </c>
      <c r="L55" s="12">
        <v>-2.1150956000000001</v>
      </c>
      <c r="M55" s="12">
        <v>-10.787274399999999</v>
      </c>
      <c r="N55" s="12">
        <v>17.470146</v>
      </c>
      <c r="O55" s="12">
        <v>19.1783459</v>
      </c>
      <c r="P55" s="7">
        <v>960.3</v>
      </c>
      <c r="Q55" s="7">
        <v>197.5</v>
      </c>
      <c r="R55" s="7">
        <v>18.5</v>
      </c>
      <c r="S55" s="12">
        <v>-1.6837481999999999</v>
      </c>
      <c r="T55" s="12">
        <v>3.5</v>
      </c>
      <c r="U55" s="12">
        <v>93.176666699999998</v>
      </c>
      <c r="V55" s="12">
        <v>1.0086264</v>
      </c>
      <c r="W55" s="12">
        <v>21.833256599999999</v>
      </c>
      <c r="X55" s="12">
        <v>27.158707199999998</v>
      </c>
      <c r="Y55" s="12">
        <v>31.0004697</v>
      </c>
      <c r="Z55" s="12">
        <v>-1.9026198999999999</v>
      </c>
      <c r="AA55" s="12">
        <v>63.205504699999999</v>
      </c>
      <c r="AB55" s="12">
        <v>15.9353497</v>
      </c>
      <c r="AC55" s="12">
        <v>24.3295964</v>
      </c>
      <c r="AD55" s="12">
        <v>56.0223789</v>
      </c>
      <c r="AE55" s="12">
        <v>59.492829700000001</v>
      </c>
      <c r="AF55" s="12">
        <v>-5.3501028000000002</v>
      </c>
      <c r="AG55" s="12">
        <v>43.848407799999997</v>
      </c>
    </row>
    <row r="56" spans="1:33" s="11" customFormat="1" hidden="1" outlineLevel="1" x14ac:dyDescent="0.3">
      <c r="A56" s="11" t="s">
        <v>62</v>
      </c>
      <c r="B56" s="12">
        <v>2.3931737000000002</v>
      </c>
      <c r="C56" s="12">
        <v>93.383333300000004</v>
      </c>
      <c r="D56" s="12">
        <v>2.4539203000000001</v>
      </c>
      <c r="E56" s="17">
        <v>1</v>
      </c>
      <c r="F56" s="13">
        <v>86.466666700000005</v>
      </c>
      <c r="G56" s="12">
        <v>4.0030147999999999</v>
      </c>
      <c r="H56" s="12">
        <v>14.875054499999999</v>
      </c>
      <c r="I56" s="12">
        <v>-13.2664899</v>
      </c>
      <c r="J56" s="12">
        <v>-0.8394914</v>
      </c>
      <c r="K56" s="12">
        <v>5.5352055</v>
      </c>
      <c r="L56" s="12">
        <v>3.8900597000000001</v>
      </c>
      <c r="M56" s="12">
        <v>-9.1968704999999993</v>
      </c>
      <c r="N56" s="12">
        <v>11.826074</v>
      </c>
      <c r="O56" s="12">
        <v>19.713247899999999</v>
      </c>
      <c r="P56" s="7">
        <v>951</v>
      </c>
      <c r="Q56" s="7">
        <v>186.3</v>
      </c>
      <c r="R56" s="7">
        <v>17.8</v>
      </c>
      <c r="S56" s="12">
        <v>3.3333333000000001</v>
      </c>
      <c r="T56" s="12">
        <v>3.5</v>
      </c>
      <c r="U56" s="12">
        <v>93.676666699999998</v>
      </c>
      <c r="V56" s="12">
        <v>1.0094801</v>
      </c>
      <c r="W56" s="12">
        <v>18.818565400000001</v>
      </c>
      <c r="X56" s="12">
        <v>23.132313199999999</v>
      </c>
      <c r="Y56" s="12">
        <v>31.267217599999999</v>
      </c>
      <c r="Z56" s="12">
        <v>-1.4429509</v>
      </c>
      <c r="AA56" s="12">
        <v>63.5896586</v>
      </c>
      <c r="AB56" s="12">
        <v>20.1296818</v>
      </c>
      <c r="AC56" s="12">
        <v>18.756214799999999</v>
      </c>
      <c r="AD56" s="12">
        <v>56.3411501</v>
      </c>
      <c r="AE56" s="12">
        <v>58.814633700000002</v>
      </c>
      <c r="AF56" s="12">
        <v>-5.7037643999999998</v>
      </c>
      <c r="AG56" s="12">
        <v>47.6437417</v>
      </c>
    </row>
    <row r="57" spans="1:33" s="11" customFormat="1" hidden="1" outlineLevel="1" x14ac:dyDescent="0.3">
      <c r="A57" s="11" t="s">
        <v>63</v>
      </c>
      <c r="B57" s="12">
        <v>3.2110127999999998</v>
      </c>
      <c r="C57" s="12">
        <v>94.073333300000002</v>
      </c>
      <c r="D57" s="12">
        <v>2.9061075000000001</v>
      </c>
      <c r="E57" s="17">
        <v>1</v>
      </c>
      <c r="F57" s="13">
        <v>104.96</v>
      </c>
      <c r="G57" s="12">
        <v>-8.6462188999999992</v>
      </c>
      <c r="H57" s="12">
        <v>1.6774591000000001</v>
      </c>
      <c r="I57" s="12">
        <v>-1.8295372999999999</v>
      </c>
      <c r="J57" s="12">
        <v>-1.0764726</v>
      </c>
      <c r="K57" s="12">
        <v>-0.22390930000000001</v>
      </c>
      <c r="L57" s="12">
        <v>2.1704265999999999</v>
      </c>
      <c r="M57" s="12">
        <v>20.783847999999999</v>
      </c>
      <c r="N57" s="12">
        <v>15.892451899999999</v>
      </c>
      <c r="O57" s="12">
        <v>24.749428200000001</v>
      </c>
      <c r="P57" s="7">
        <v>944.3</v>
      </c>
      <c r="Q57" s="7">
        <v>178.9</v>
      </c>
      <c r="R57" s="7">
        <v>17.600000000000001</v>
      </c>
      <c r="S57" s="12">
        <v>4.3276662000000004</v>
      </c>
      <c r="T57" s="12">
        <v>3.5</v>
      </c>
      <c r="U57" s="12">
        <v>95.4033333</v>
      </c>
      <c r="V57" s="12">
        <v>1.0027926</v>
      </c>
      <c r="W57" s="12">
        <v>10.744165499999999</v>
      </c>
      <c r="X57" s="12">
        <v>30.284857599999999</v>
      </c>
      <c r="Y57" s="12">
        <v>34.675072700000001</v>
      </c>
      <c r="Z57" s="12">
        <v>-1.0477042000000001</v>
      </c>
      <c r="AA57" s="12">
        <v>64.983399500000004</v>
      </c>
      <c r="AB57" s="12">
        <v>19.5096469</v>
      </c>
      <c r="AC57" s="12">
        <v>19.416776899999999</v>
      </c>
      <c r="AD57" s="12">
        <v>60.258642700000003</v>
      </c>
      <c r="AE57" s="12">
        <v>64.173109499999995</v>
      </c>
      <c r="AF57" s="12">
        <v>-6.6106429000000002</v>
      </c>
      <c r="AG57" s="12">
        <v>43.895910700000002</v>
      </c>
    </row>
    <row r="58" spans="1:33" s="11" customFormat="1" hidden="1" outlineLevel="1" x14ac:dyDescent="0.3">
      <c r="A58" s="11" t="s">
        <v>64</v>
      </c>
      <c r="B58" s="12">
        <v>2.1036085</v>
      </c>
      <c r="C58" s="12">
        <v>95.516666700000002</v>
      </c>
      <c r="D58" s="12">
        <v>3.1831767000000002</v>
      </c>
      <c r="E58" s="17">
        <v>1.25</v>
      </c>
      <c r="F58" s="13">
        <v>117.36</v>
      </c>
      <c r="G58" s="12">
        <v>-0.74988030000000006</v>
      </c>
      <c r="H58" s="12">
        <v>17.118512800000001</v>
      </c>
      <c r="I58" s="12">
        <v>2.0179054000000001</v>
      </c>
      <c r="J58" s="12">
        <v>2.6375107999999998</v>
      </c>
      <c r="K58" s="12">
        <v>1.6144537999999999</v>
      </c>
      <c r="L58" s="12">
        <v>1.6540182999999999</v>
      </c>
      <c r="M58" s="12">
        <v>36.073226499999997</v>
      </c>
      <c r="N58" s="12">
        <v>14.895707399999999</v>
      </c>
      <c r="O58" s="12">
        <v>26.814166</v>
      </c>
      <c r="P58" s="7">
        <v>966.5</v>
      </c>
      <c r="Q58" s="7">
        <v>177.3</v>
      </c>
      <c r="R58" s="7">
        <v>17.100000000000001</v>
      </c>
      <c r="S58" s="12">
        <v>4.3543544000000001</v>
      </c>
      <c r="T58" s="12">
        <v>3.5</v>
      </c>
      <c r="U58" s="12">
        <v>97.33</v>
      </c>
      <c r="V58" s="12">
        <v>1.0091007000000001</v>
      </c>
      <c r="W58" s="12">
        <v>12.1763754</v>
      </c>
      <c r="X58" s="12">
        <v>24.967989800000002</v>
      </c>
      <c r="Y58" s="12">
        <v>33.644067800000002</v>
      </c>
      <c r="Z58" s="12">
        <v>-2.4992445000000001</v>
      </c>
      <c r="AA58" s="12">
        <v>61.310623499999998</v>
      </c>
      <c r="AB58" s="12">
        <v>19.0848373</v>
      </c>
      <c r="AC58" s="12">
        <v>24.137720999999999</v>
      </c>
      <c r="AD58" s="12">
        <v>59.248056200000001</v>
      </c>
      <c r="AE58" s="12">
        <v>63.781237900000001</v>
      </c>
      <c r="AF58" s="12">
        <v>-7.4010224999999998</v>
      </c>
      <c r="AG58" s="12">
        <v>44.848156699999997</v>
      </c>
    </row>
    <row r="59" spans="1:33" s="11" customFormat="1" hidden="1" outlineLevel="1" x14ac:dyDescent="0.3">
      <c r="A59" s="11" t="s">
        <v>65</v>
      </c>
      <c r="B59" s="12">
        <v>1.8176159000000001</v>
      </c>
      <c r="C59" s="12">
        <v>95.433333300000001</v>
      </c>
      <c r="D59" s="12">
        <v>3.0783078000000001</v>
      </c>
      <c r="E59" s="17">
        <v>1.5</v>
      </c>
      <c r="F59" s="13">
        <v>113.34</v>
      </c>
      <c r="G59" s="12">
        <v>-7.2215121</v>
      </c>
      <c r="H59" s="12">
        <v>23.378259199999999</v>
      </c>
      <c r="I59" s="12">
        <v>1.3867130999999999</v>
      </c>
      <c r="J59" s="12">
        <v>4.9445541999999998</v>
      </c>
      <c r="K59" s="12">
        <v>-0.1282172</v>
      </c>
      <c r="L59" s="12">
        <v>4.2338488999999999</v>
      </c>
      <c r="M59" s="12">
        <v>48.563331499999997</v>
      </c>
      <c r="N59" s="12">
        <v>10.3881435</v>
      </c>
      <c r="O59" s="12">
        <v>21.839563200000001</v>
      </c>
      <c r="P59" s="7">
        <v>984.7</v>
      </c>
      <c r="Q59" s="7">
        <v>155.4</v>
      </c>
      <c r="R59" s="7">
        <v>15.1</v>
      </c>
      <c r="S59" s="12">
        <v>4.2442292999999998</v>
      </c>
      <c r="T59" s="12">
        <v>3.5</v>
      </c>
      <c r="U59" s="12">
        <v>97.303333300000006</v>
      </c>
      <c r="V59" s="12">
        <v>1.0091954999999999</v>
      </c>
      <c r="W59" s="12">
        <v>8.3175802999999995</v>
      </c>
      <c r="X59" s="12">
        <v>18.323217</v>
      </c>
      <c r="Y59" s="12">
        <v>28.0745787</v>
      </c>
      <c r="Z59" s="12">
        <v>-7.3193754999999996</v>
      </c>
      <c r="AA59" s="12">
        <v>60.531863399999999</v>
      </c>
      <c r="AB59" s="12">
        <v>16.325306999999999</v>
      </c>
      <c r="AC59" s="12">
        <v>31.789962299999999</v>
      </c>
      <c r="AD59" s="12">
        <v>60.137317500000002</v>
      </c>
      <c r="AE59" s="12">
        <v>68.780582100000004</v>
      </c>
      <c r="AF59" s="12">
        <v>-7.4302587999999998</v>
      </c>
      <c r="AG59" s="12">
        <v>45.519080299999999</v>
      </c>
    </row>
    <row r="60" spans="1:33" s="11" customFormat="1" hidden="1" outlineLevel="1" x14ac:dyDescent="0.3">
      <c r="A60" s="11" t="s">
        <v>66</v>
      </c>
      <c r="B60" s="12">
        <v>0.47384009999999999</v>
      </c>
      <c r="C60" s="12">
        <v>96.41</v>
      </c>
      <c r="D60" s="12">
        <v>3.2411208999999999</v>
      </c>
      <c r="E60" s="17">
        <v>1.25</v>
      </c>
      <c r="F60" s="13">
        <v>109.3966667</v>
      </c>
      <c r="G60" s="12">
        <v>15.8869474</v>
      </c>
      <c r="H60" s="12">
        <v>5.0016274000000003</v>
      </c>
      <c r="I60" s="12">
        <v>-17.5885678</v>
      </c>
      <c r="J60" s="12">
        <v>3.3116941</v>
      </c>
      <c r="K60" s="12">
        <v>-1.8244385999999999</v>
      </c>
      <c r="L60" s="12">
        <v>-0.71845150000000002</v>
      </c>
      <c r="M60" s="12">
        <v>49.736240500000001</v>
      </c>
      <c r="N60" s="12">
        <v>10.1822544</v>
      </c>
      <c r="O60" s="12">
        <v>18.785730300000001</v>
      </c>
      <c r="P60" s="7">
        <v>986.6</v>
      </c>
      <c r="Q60" s="7">
        <v>155</v>
      </c>
      <c r="R60" s="7">
        <v>15</v>
      </c>
      <c r="S60" s="12">
        <v>4.4721408</v>
      </c>
      <c r="T60" s="12">
        <v>3.5</v>
      </c>
      <c r="U60" s="12">
        <v>97.483333299999998</v>
      </c>
      <c r="V60" s="12">
        <v>0.99842909999999996</v>
      </c>
      <c r="W60" s="12">
        <v>5.6107953999999998</v>
      </c>
      <c r="X60" s="12">
        <v>16.739766100000001</v>
      </c>
      <c r="Y60" s="12">
        <v>23.714585499999998</v>
      </c>
      <c r="Z60" s="12">
        <v>-2.4400539999999999</v>
      </c>
      <c r="AA60" s="12">
        <v>59.9574651</v>
      </c>
      <c r="AB60" s="12">
        <v>19.713448899999999</v>
      </c>
      <c r="AC60" s="12">
        <v>26.547021600000001</v>
      </c>
      <c r="AD60" s="12">
        <v>59.539577999999999</v>
      </c>
      <c r="AE60" s="12">
        <v>65.757513599999996</v>
      </c>
      <c r="AF60" s="12">
        <v>-7.7026662999999997</v>
      </c>
      <c r="AG60" s="12">
        <v>45.064714299999999</v>
      </c>
    </row>
    <row r="61" spans="1:33" s="11" customFormat="1" hidden="1" outlineLevel="1" x14ac:dyDescent="0.3">
      <c r="A61" s="11" t="s">
        <v>67</v>
      </c>
      <c r="B61" s="12">
        <v>3.7986600000000002E-2</v>
      </c>
      <c r="C61" s="12">
        <v>96.803333300000006</v>
      </c>
      <c r="D61" s="12">
        <v>2.9019914</v>
      </c>
      <c r="E61" s="17">
        <v>1</v>
      </c>
      <c r="F61" s="13">
        <v>118.49</v>
      </c>
      <c r="G61" s="12">
        <v>1.2793053999999999</v>
      </c>
      <c r="H61" s="12">
        <v>13.6835082</v>
      </c>
      <c r="I61" s="12">
        <v>2.5467691000000001</v>
      </c>
      <c r="J61" s="12">
        <v>10.988508700000001</v>
      </c>
      <c r="K61" s="12">
        <v>6.2905430999999998</v>
      </c>
      <c r="L61" s="12">
        <v>-8.6123901000000007</v>
      </c>
      <c r="M61" s="12">
        <v>44.296951800000002</v>
      </c>
      <c r="N61" s="12">
        <v>11.7182016</v>
      </c>
      <c r="O61" s="12">
        <v>12.168289100000001</v>
      </c>
      <c r="P61" s="7">
        <v>848.3</v>
      </c>
      <c r="Q61" s="7">
        <v>165.6</v>
      </c>
      <c r="R61" s="7">
        <v>16.3</v>
      </c>
      <c r="S61" s="12">
        <v>3.5555555999999999</v>
      </c>
      <c r="T61" s="12">
        <v>3.5</v>
      </c>
      <c r="U61" s="12">
        <v>98.5433333</v>
      </c>
      <c r="V61" s="12">
        <v>0.99387599999999998</v>
      </c>
      <c r="W61" s="12">
        <v>9.7017892999999997</v>
      </c>
      <c r="X61" s="12">
        <v>14.115842000000001</v>
      </c>
      <c r="Y61" s="12">
        <v>20.5617573</v>
      </c>
      <c r="Z61" s="12">
        <v>-5.3586974999999999</v>
      </c>
      <c r="AA61" s="12">
        <v>62.166081200000001</v>
      </c>
      <c r="AB61" s="12">
        <v>15.8728862</v>
      </c>
      <c r="AC61" s="12">
        <v>29.321542399999998</v>
      </c>
      <c r="AD61" s="12">
        <v>60.738501800000002</v>
      </c>
      <c r="AE61" s="12">
        <v>68.099011500000003</v>
      </c>
      <c r="AF61" s="12">
        <v>-10.6879592</v>
      </c>
      <c r="AG61" s="12">
        <v>43.200985199999998</v>
      </c>
    </row>
    <row r="62" spans="1:33" s="11" customFormat="1" hidden="1" outlineLevel="1" x14ac:dyDescent="0.3">
      <c r="A62" s="11" t="s">
        <v>68</v>
      </c>
      <c r="B62" s="12">
        <v>-0.91019320000000004</v>
      </c>
      <c r="C62" s="12">
        <v>97.993333300000003</v>
      </c>
      <c r="D62" s="12">
        <v>2.5929156999999998</v>
      </c>
      <c r="E62" s="17">
        <v>1</v>
      </c>
      <c r="F62" s="13">
        <v>108.41666669999999</v>
      </c>
      <c r="G62" s="12">
        <v>11.0223985</v>
      </c>
      <c r="H62" s="12">
        <v>6.0541311000000002</v>
      </c>
      <c r="I62" s="12">
        <v>0.23275419999999999</v>
      </c>
      <c r="J62" s="12">
        <v>6.6261216000000003</v>
      </c>
      <c r="K62" s="12">
        <v>6.7434424999999996</v>
      </c>
      <c r="L62" s="12">
        <v>5.8288668000000001</v>
      </c>
      <c r="M62" s="12">
        <v>6.7402126000000004</v>
      </c>
      <c r="N62" s="12">
        <v>6.6006708999999999</v>
      </c>
      <c r="O62" s="12">
        <v>6.6601166999999997</v>
      </c>
      <c r="P62" s="7">
        <v>866.7</v>
      </c>
      <c r="Q62" s="7">
        <v>168.5</v>
      </c>
      <c r="R62" s="7">
        <v>16.3</v>
      </c>
      <c r="S62" s="12">
        <v>3.7410071999999999</v>
      </c>
      <c r="T62" s="12">
        <v>3.5</v>
      </c>
      <c r="U62" s="12">
        <v>99.67</v>
      </c>
      <c r="V62" s="12">
        <v>0.99330680000000005</v>
      </c>
      <c r="W62" s="12">
        <v>5.9141724</v>
      </c>
      <c r="X62" s="12">
        <v>10.382513700000001</v>
      </c>
      <c r="Y62" s="12">
        <v>13.9188332</v>
      </c>
      <c r="Z62" s="12">
        <v>-4.6057221000000004</v>
      </c>
      <c r="AA62" s="12">
        <v>61.078733200000002</v>
      </c>
      <c r="AB62" s="12">
        <v>18.8952423</v>
      </c>
      <c r="AC62" s="12">
        <v>26.458837299999999</v>
      </c>
      <c r="AD62" s="12">
        <v>59.2441903</v>
      </c>
      <c r="AE62" s="12">
        <v>65.675170399999999</v>
      </c>
      <c r="AF62" s="12">
        <v>-12.231105700000001</v>
      </c>
      <c r="AG62" s="12">
        <v>42.416930800000003</v>
      </c>
    </row>
    <row r="63" spans="1:33" s="11" customFormat="1" hidden="1" outlineLevel="1" x14ac:dyDescent="0.3">
      <c r="A63" s="11" t="s">
        <v>69</v>
      </c>
      <c r="B63" s="12">
        <v>-1.0352741000000001</v>
      </c>
      <c r="C63" s="12">
        <v>97.9566667</v>
      </c>
      <c r="D63" s="12">
        <v>2.6440796999999998</v>
      </c>
      <c r="E63" s="17">
        <v>0.75</v>
      </c>
      <c r="F63" s="13">
        <v>109.61333329999999</v>
      </c>
      <c r="G63" s="12">
        <v>1.6054681</v>
      </c>
      <c r="H63" s="12">
        <v>8.8463501999999998</v>
      </c>
      <c r="I63" s="12">
        <v>3.7696426999999999</v>
      </c>
      <c r="J63" s="12">
        <v>5.9582398000000003</v>
      </c>
      <c r="K63" s="12">
        <v>5.3231463000000003</v>
      </c>
      <c r="L63" s="12">
        <v>0.47353469999999998</v>
      </c>
      <c r="M63" s="12">
        <v>-8.1496396999999998</v>
      </c>
      <c r="N63" s="12">
        <v>9.6741185999999999</v>
      </c>
      <c r="O63" s="12">
        <v>0.71063030000000005</v>
      </c>
      <c r="P63" s="7">
        <v>894.7</v>
      </c>
      <c r="Q63" s="7">
        <v>141.80000000000001</v>
      </c>
      <c r="R63" s="7">
        <v>13.7</v>
      </c>
      <c r="S63" s="12">
        <v>3.5</v>
      </c>
      <c r="T63" s="12">
        <v>2.5</v>
      </c>
      <c r="U63" s="12">
        <v>99.15</v>
      </c>
      <c r="V63" s="12">
        <v>0.99069819999999997</v>
      </c>
      <c r="W63" s="12">
        <v>5.1308901000000002</v>
      </c>
      <c r="X63" s="12">
        <v>14.2032703</v>
      </c>
      <c r="Y63" s="12">
        <v>7.7267637000000002</v>
      </c>
      <c r="Z63" s="12">
        <v>-3.7224021999999999</v>
      </c>
      <c r="AA63" s="12">
        <v>60.407339200000003</v>
      </c>
      <c r="AB63" s="12">
        <v>15.282240399999999</v>
      </c>
      <c r="AC63" s="12">
        <v>29.096655299999998</v>
      </c>
      <c r="AD63" s="12">
        <v>62.598542700000003</v>
      </c>
      <c r="AE63" s="12">
        <v>67.384777499999998</v>
      </c>
      <c r="AF63" s="12">
        <v>-12.456235899999999</v>
      </c>
      <c r="AG63" s="12">
        <v>40.929097599999999</v>
      </c>
    </row>
    <row r="64" spans="1:33" s="11" customFormat="1" hidden="1" outlineLevel="1" x14ac:dyDescent="0.3">
      <c r="A64" s="11" t="s">
        <v>70</v>
      </c>
      <c r="B64" s="12">
        <v>-0.98067590000000004</v>
      </c>
      <c r="C64" s="12">
        <v>98.773333300000004</v>
      </c>
      <c r="D64" s="12">
        <v>2.4513362999999999</v>
      </c>
      <c r="E64" s="17">
        <v>0.75</v>
      </c>
      <c r="F64" s="13">
        <v>110.08666669999999</v>
      </c>
      <c r="G64" s="12">
        <v>-3.7659810999999999</v>
      </c>
      <c r="H64" s="12">
        <v>8.9377970999999992</v>
      </c>
      <c r="I64" s="12">
        <v>-11.255764900000001</v>
      </c>
      <c r="J64" s="12">
        <v>5.3333792000000004</v>
      </c>
      <c r="K64" s="12">
        <v>3.4749501</v>
      </c>
      <c r="L64" s="12">
        <v>3.9843351</v>
      </c>
      <c r="M64" s="12">
        <v>-6.4940403</v>
      </c>
      <c r="N64" s="12">
        <v>10.172669300000001</v>
      </c>
      <c r="O64" s="12">
        <v>2.9871211999999998</v>
      </c>
      <c r="P64" s="7">
        <v>892.8</v>
      </c>
      <c r="Q64" s="7">
        <v>144.5</v>
      </c>
      <c r="R64" s="7">
        <v>13.9</v>
      </c>
      <c r="S64" s="12">
        <v>3.5789474000000001</v>
      </c>
      <c r="T64" s="12">
        <v>2.5</v>
      </c>
      <c r="U64" s="12">
        <v>99.013333299999999</v>
      </c>
      <c r="V64" s="12">
        <v>0.9907456</v>
      </c>
      <c r="W64" s="12">
        <v>4.4048420000000004</v>
      </c>
      <c r="X64" s="12">
        <v>15.716969300000001</v>
      </c>
      <c r="Y64" s="12">
        <v>9.9519366999999992</v>
      </c>
      <c r="Z64" s="12">
        <v>-1.4500114</v>
      </c>
      <c r="AA64" s="12">
        <v>58.680076900000003</v>
      </c>
      <c r="AB64" s="12">
        <v>19.0211194</v>
      </c>
      <c r="AC64" s="12">
        <v>25.4811865</v>
      </c>
      <c r="AD64" s="12">
        <v>62.956722999999997</v>
      </c>
      <c r="AE64" s="12">
        <v>66.139105900000004</v>
      </c>
      <c r="AF64" s="12">
        <v>-12.562007599999999</v>
      </c>
      <c r="AG64" s="12">
        <v>42.400510799999999</v>
      </c>
    </row>
    <row r="65" spans="1:33" s="11" customFormat="1" hidden="1" outlineLevel="1" x14ac:dyDescent="0.3">
      <c r="A65" s="11" t="s">
        <v>71</v>
      </c>
      <c r="B65" s="12">
        <v>-1.6415721999999999</v>
      </c>
      <c r="C65" s="12">
        <v>98.726666699999996</v>
      </c>
      <c r="D65" s="12">
        <v>1.9868463000000001</v>
      </c>
      <c r="E65" s="17">
        <v>0.75</v>
      </c>
      <c r="F65" s="13">
        <v>112.4933333</v>
      </c>
      <c r="G65" s="12">
        <v>7.4531321000000004</v>
      </c>
      <c r="H65" s="12">
        <v>7.1279944999999998</v>
      </c>
      <c r="I65" s="12">
        <v>2.5391594</v>
      </c>
      <c r="J65" s="12">
        <v>0.72161109999999995</v>
      </c>
      <c r="K65" s="12">
        <v>5.5322798999999998</v>
      </c>
      <c r="L65" s="12">
        <v>4.7520898000000003</v>
      </c>
      <c r="M65" s="12">
        <v>-14.0715503</v>
      </c>
      <c r="N65" s="12">
        <v>2.8405144999999998</v>
      </c>
      <c r="O65" s="12">
        <v>1.3523153000000001</v>
      </c>
      <c r="P65" s="7">
        <v>880.2</v>
      </c>
      <c r="Q65" s="7">
        <v>131.5</v>
      </c>
      <c r="R65" s="7">
        <v>13</v>
      </c>
      <c r="S65" s="12">
        <v>3.8626608999999998</v>
      </c>
      <c r="T65" s="12">
        <v>2.5</v>
      </c>
      <c r="U65" s="12">
        <v>98.933333300000001</v>
      </c>
      <c r="V65" s="12">
        <v>0.99553599999999998</v>
      </c>
      <c r="W65" s="12">
        <v>-3.9869517999999999</v>
      </c>
      <c r="X65" s="12">
        <v>6.7563025000000003</v>
      </c>
      <c r="Y65" s="12">
        <v>3.7933094000000001</v>
      </c>
      <c r="Z65" s="12">
        <v>-3.3994200999999999</v>
      </c>
      <c r="AA65" s="12">
        <v>64.412062500000005</v>
      </c>
      <c r="AB65" s="12">
        <v>17.982569300000002</v>
      </c>
      <c r="AC65" s="12">
        <v>23.4241925</v>
      </c>
      <c r="AD65" s="12">
        <v>63.139504899999999</v>
      </c>
      <c r="AE65" s="12">
        <v>68.958329199999994</v>
      </c>
      <c r="AF65" s="12">
        <v>-9.3157519000000004</v>
      </c>
      <c r="AG65" s="12">
        <v>40.179348500000003</v>
      </c>
    </row>
    <row r="66" spans="1:33" s="11" customFormat="1" hidden="1" outlineLevel="1" x14ac:dyDescent="0.3">
      <c r="A66" s="11" t="s">
        <v>72</v>
      </c>
      <c r="B66" s="12">
        <v>-0.1331087</v>
      </c>
      <c r="C66" s="12">
        <v>99.533333299999995</v>
      </c>
      <c r="D66" s="12">
        <v>1.5715355</v>
      </c>
      <c r="E66" s="17">
        <v>0.58333330000000005</v>
      </c>
      <c r="F66" s="13">
        <v>102.5766667</v>
      </c>
      <c r="G66" s="12">
        <v>-2.0705632999999999</v>
      </c>
      <c r="H66" s="12">
        <v>4.2406217000000002</v>
      </c>
      <c r="I66" s="12">
        <v>2.5501168999999999</v>
      </c>
      <c r="J66" s="12">
        <v>2.0157031000000001</v>
      </c>
      <c r="K66" s="12">
        <v>9.4746172000000008</v>
      </c>
      <c r="L66" s="12">
        <v>-0.28036539999999999</v>
      </c>
      <c r="M66" s="12">
        <v>-17.922863599999999</v>
      </c>
      <c r="N66" s="12">
        <v>0.81448799999999999</v>
      </c>
      <c r="O66" s="12">
        <v>-1.4738310999999999</v>
      </c>
      <c r="P66" s="7">
        <v>889</v>
      </c>
      <c r="Q66" s="7">
        <v>114.7</v>
      </c>
      <c r="R66" s="7">
        <v>11.4</v>
      </c>
      <c r="S66" s="12">
        <v>4.5769764000000004</v>
      </c>
      <c r="T66" s="12">
        <v>2.5</v>
      </c>
      <c r="U66" s="12">
        <v>99.56</v>
      </c>
      <c r="V66" s="12">
        <v>0.99729089999999998</v>
      </c>
      <c r="W66" s="12">
        <v>-0.1702418</v>
      </c>
      <c r="X66" s="12">
        <v>2.9084158000000002</v>
      </c>
      <c r="Y66" s="12">
        <v>-0.75146120000000005</v>
      </c>
      <c r="Z66" s="12">
        <v>-1.8897451000000001</v>
      </c>
      <c r="AA66" s="12">
        <v>64.455974999999995</v>
      </c>
      <c r="AB66" s="12">
        <v>18.479492799999999</v>
      </c>
      <c r="AC66" s="12">
        <v>21.150031899999998</v>
      </c>
      <c r="AD66" s="12">
        <v>59.036976699999997</v>
      </c>
      <c r="AE66" s="12">
        <v>63.122476399999996</v>
      </c>
      <c r="AF66" s="12">
        <v>-7.7406981999999998</v>
      </c>
      <c r="AG66" s="12">
        <v>40.046155900000002</v>
      </c>
    </row>
    <row r="67" spans="1:33" s="11" customFormat="1" hidden="1" outlineLevel="1" x14ac:dyDescent="0.3">
      <c r="A67" s="11" t="s">
        <v>73</v>
      </c>
      <c r="B67" s="12">
        <v>0.53477319999999995</v>
      </c>
      <c r="C67" s="12">
        <v>99.423333299999996</v>
      </c>
      <c r="D67" s="12">
        <v>1.4972605999999999</v>
      </c>
      <c r="E67" s="17">
        <v>0.5</v>
      </c>
      <c r="F67" s="13">
        <v>110.27</v>
      </c>
      <c r="G67" s="12">
        <v>13.850646599999999</v>
      </c>
      <c r="H67" s="12">
        <v>1.0974066</v>
      </c>
      <c r="I67" s="12">
        <v>-0.46318910000000002</v>
      </c>
      <c r="J67" s="12">
        <v>2.7817148</v>
      </c>
      <c r="K67" s="12">
        <v>8.9100962999999993</v>
      </c>
      <c r="L67" s="12">
        <v>2.2517805000000002</v>
      </c>
      <c r="M67" s="12">
        <v>-7.6554748000000004</v>
      </c>
      <c r="N67" s="12">
        <v>-0.74071980000000004</v>
      </c>
      <c r="O67" s="12">
        <v>0.4686554</v>
      </c>
      <c r="P67" s="7">
        <v>906.1</v>
      </c>
      <c r="Q67" s="7">
        <v>120.9</v>
      </c>
      <c r="R67" s="7">
        <v>11.8</v>
      </c>
      <c r="S67" s="12">
        <v>5.1069703000000004</v>
      </c>
      <c r="T67" s="12">
        <v>1.5</v>
      </c>
      <c r="U67" s="12">
        <v>99.163333300000005</v>
      </c>
      <c r="V67" s="12">
        <v>0.9996623</v>
      </c>
      <c r="W67" s="12">
        <v>0.92961479999999996</v>
      </c>
      <c r="X67" s="12">
        <v>-0.75800109999999998</v>
      </c>
      <c r="Y67" s="12">
        <v>0.15592520000000001</v>
      </c>
      <c r="Z67" s="12">
        <v>-4.6808395000000003</v>
      </c>
      <c r="AA67" s="12">
        <v>62.687170500000001</v>
      </c>
      <c r="AB67" s="12">
        <v>15.652422899999999</v>
      </c>
      <c r="AC67" s="12">
        <v>26.8514932</v>
      </c>
      <c r="AD67" s="12">
        <v>59.702548399999998</v>
      </c>
      <c r="AE67" s="12">
        <v>64.893634899999995</v>
      </c>
      <c r="AF67" s="12">
        <v>-7.5867994000000003</v>
      </c>
      <c r="AG67" s="12">
        <v>39.983735500000002</v>
      </c>
    </row>
    <row r="68" spans="1:33" s="11" customFormat="1" hidden="1" outlineLevel="1" x14ac:dyDescent="0.3">
      <c r="A68" s="11" t="s">
        <v>74</v>
      </c>
      <c r="B68" s="12">
        <v>0.83200640000000003</v>
      </c>
      <c r="C68" s="12">
        <v>99.72</v>
      </c>
      <c r="D68" s="12">
        <v>0.95842340000000004</v>
      </c>
      <c r="E68" s="17">
        <v>0.3333333</v>
      </c>
      <c r="F68" s="13">
        <v>109.21</v>
      </c>
      <c r="G68" s="12">
        <v>-3.4765343</v>
      </c>
      <c r="H68" s="12">
        <v>2.0392678000000002</v>
      </c>
      <c r="I68" s="12">
        <v>-8.5197696000000001</v>
      </c>
      <c r="J68" s="12">
        <v>2.332271</v>
      </c>
      <c r="K68" s="12">
        <v>3.0925126000000001</v>
      </c>
      <c r="L68" s="12">
        <v>7.3685899999999999E-2</v>
      </c>
      <c r="M68" s="12">
        <v>0.30769229999999997</v>
      </c>
      <c r="N68" s="12">
        <v>7.1363899999999994E-2</v>
      </c>
      <c r="O68" s="12">
        <v>-0.75710109999999997</v>
      </c>
      <c r="P68" s="7">
        <v>900.2</v>
      </c>
      <c r="Q68" s="7">
        <v>114.4</v>
      </c>
      <c r="R68" s="7">
        <v>11.3</v>
      </c>
      <c r="S68" s="12">
        <v>5.1490514999999997</v>
      </c>
      <c r="T68" s="12">
        <v>0.25</v>
      </c>
      <c r="U68" s="12">
        <v>98.763333299999999</v>
      </c>
      <c r="V68" s="12">
        <v>0.99994689999999997</v>
      </c>
      <c r="W68" s="12">
        <v>-0.54750410000000005</v>
      </c>
      <c r="X68" s="12">
        <v>-0.6493506</v>
      </c>
      <c r="Y68" s="12">
        <v>-1.1313962</v>
      </c>
      <c r="Z68" s="12">
        <v>-1.2727576</v>
      </c>
      <c r="AA68" s="12">
        <v>58.474894300000003</v>
      </c>
      <c r="AB68" s="12">
        <v>18.524501900000001</v>
      </c>
      <c r="AC68" s="12">
        <v>25.6360046</v>
      </c>
      <c r="AD68" s="12">
        <v>60.061030299999999</v>
      </c>
      <c r="AE68" s="12">
        <v>62.698062999999998</v>
      </c>
      <c r="AF68" s="12">
        <v>-8.2338486</v>
      </c>
      <c r="AG68" s="12">
        <v>40.318255700000002</v>
      </c>
    </row>
    <row r="69" spans="1:33" s="11" customFormat="1" hidden="1" outlineLevel="1" x14ac:dyDescent="0.3">
      <c r="A69" s="11" t="s">
        <v>75</v>
      </c>
      <c r="B69" s="12">
        <v>1.8456245</v>
      </c>
      <c r="C69" s="12">
        <v>99.49</v>
      </c>
      <c r="D69" s="12">
        <v>0.77317840000000004</v>
      </c>
      <c r="E69" s="17">
        <v>0.25</v>
      </c>
      <c r="F69" s="13">
        <v>108.16666669999999</v>
      </c>
      <c r="G69" s="12">
        <v>0.67021280000000005</v>
      </c>
      <c r="H69" s="12">
        <v>0.83669510000000002</v>
      </c>
      <c r="I69" s="12">
        <v>2.4895404999999999</v>
      </c>
      <c r="J69" s="12">
        <v>2.4900224</v>
      </c>
      <c r="K69" s="12">
        <v>2.2381994000000001</v>
      </c>
      <c r="L69" s="12">
        <v>4.4271972000000002</v>
      </c>
      <c r="M69" s="12">
        <v>-10.2537669</v>
      </c>
      <c r="N69" s="12">
        <v>7.6205787999999997</v>
      </c>
      <c r="O69" s="12">
        <v>3.1054808</v>
      </c>
      <c r="P69" s="7">
        <v>881.7</v>
      </c>
      <c r="Q69" s="7">
        <v>118.7</v>
      </c>
      <c r="R69" s="7">
        <v>11.9</v>
      </c>
      <c r="S69" s="12">
        <v>7.4051017000000003</v>
      </c>
      <c r="T69" s="12">
        <v>0.25</v>
      </c>
      <c r="U69" s="12">
        <v>99.373333299999999</v>
      </c>
      <c r="V69" s="12">
        <v>1</v>
      </c>
      <c r="W69" s="12">
        <v>-1.2835032</v>
      </c>
      <c r="X69" s="12">
        <v>6.8954659999999999</v>
      </c>
      <c r="Y69" s="12">
        <v>3.0215827000000002</v>
      </c>
      <c r="Z69" s="12">
        <v>-3.3168745999999998</v>
      </c>
      <c r="AA69" s="12">
        <v>63.572801599999998</v>
      </c>
      <c r="AB69" s="12">
        <v>17.417360800000001</v>
      </c>
      <c r="AC69" s="12">
        <v>22.515170900000001</v>
      </c>
      <c r="AD69" s="12">
        <v>63.9761034</v>
      </c>
      <c r="AE69" s="12">
        <v>67.479552200000001</v>
      </c>
      <c r="AF69" s="12">
        <v>-8.8928378000000006</v>
      </c>
      <c r="AG69" s="12">
        <v>39.213487000000001</v>
      </c>
    </row>
    <row r="70" spans="1:33" s="11" customFormat="1" hidden="1" outlineLevel="1" x14ac:dyDescent="0.3">
      <c r="A70" s="11" t="s">
        <v>76</v>
      </c>
      <c r="B70" s="12">
        <v>1.1953549000000001</v>
      </c>
      <c r="C70" s="12">
        <v>100.22333329999999</v>
      </c>
      <c r="D70" s="12">
        <v>0.69323509999999999</v>
      </c>
      <c r="E70" s="17">
        <v>0.21666669999999999</v>
      </c>
      <c r="F70" s="13">
        <v>109.7</v>
      </c>
      <c r="G70" s="12">
        <v>6.8900936000000002</v>
      </c>
      <c r="H70" s="12">
        <v>4.9332719999999997</v>
      </c>
      <c r="I70" s="12">
        <v>1.8954603999999999</v>
      </c>
      <c r="J70" s="12">
        <v>2.0742376999999999</v>
      </c>
      <c r="K70" s="12">
        <v>0.52206929999999996</v>
      </c>
      <c r="L70" s="12">
        <v>4.5347360999999999</v>
      </c>
      <c r="M70" s="12">
        <v>-3.3707001999999999</v>
      </c>
      <c r="N70" s="12">
        <v>6.2368025999999999</v>
      </c>
      <c r="O70" s="12">
        <v>3.3487265000000002</v>
      </c>
      <c r="P70" s="7">
        <v>889.1</v>
      </c>
      <c r="Q70" s="7">
        <v>106.2</v>
      </c>
      <c r="R70" s="7">
        <v>10.7</v>
      </c>
      <c r="S70" s="12">
        <v>6.5857260000000002</v>
      </c>
      <c r="T70" s="12">
        <v>0.15</v>
      </c>
      <c r="U70" s="12">
        <v>100.3433333</v>
      </c>
      <c r="V70" s="12">
        <v>1</v>
      </c>
      <c r="W70" s="12">
        <v>-1.6030013000000001</v>
      </c>
      <c r="X70" s="12">
        <v>5.1713769999999997</v>
      </c>
      <c r="Y70" s="12">
        <v>2.7762199000000001</v>
      </c>
      <c r="Z70" s="12">
        <v>-2.5182058999999999</v>
      </c>
      <c r="AA70" s="12">
        <v>63.106581400000003</v>
      </c>
      <c r="AB70" s="12">
        <v>18.5581569</v>
      </c>
      <c r="AC70" s="12">
        <v>21.1954672</v>
      </c>
      <c r="AD70" s="12">
        <v>59.511331900000002</v>
      </c>
      <c r="AE70" s="12">
        <v>62.369835999999999</v>
      </c>
      <c r="AF70" s="12">
        <v>-8.7680897000000009</v>
      </c>
      <c r="AG70" s="12">
        <v>42.018048100000001</v>
      </c>
    </row>
    <row r="71" spans="1:33" s="11" customFormat="1" hidden="1" outlineLevel="1" x14ac:dyDescent="0.3">
      <c r="A71" s="11" t="s">
        <v>77</v>
      </c>
      <c r="B71" s="12">
        <v>1.5779679</v>
      </c>
      <c r="C71" s="12">
        <v>99.91</v>
      </c>
      <c r="D71" s="12">
        <v>0.48948940000000002</v>
      </c>
      <c r="E71" s="17">
        <v>0.1166667</v>
      </c>
      <c r="F71" s="13">
        <v>101.8233333</v>
      </c>
      <c r="G71" s="12">
        <v>1.726823</v>
      </c>
      <c r="H71" s="12">
        <v>3.1590666999999999</v>
      </c>
      <c r="I71" s="12">
        <v>4.71537E-2</v>
      </c>
      <c r="J71" s="12">
        <v>2.0003323000000002</v>
      </c>
      <c r="K71" s="12">
        <v>-0.20473340000000001</v>
      </c>
      <c r="L71" s="12">
        <v>2.3046194999999998</v>
      </c>
      <c r="M71" s="12">
        <v>-3.7795964</v>
      </c>
      <c r="N71" s="12">
        <v>4.9246632000000004</v>
      </c>
      <c r="O71" s="12">
        <v>0.50315779999999999</v>
      </c>
      <c r="P71" s="7">
        <v>885.7</v>
      </c>
      <c r="Q71" s="7">
        <v>104.9</v>
      </c>
      <c r="R71" s="7">
        <v>10.6</v>
      </c>
      <c r="S71" s="12">
        <v>6.9203459000000001</v>
      </c>
      <c r="T71" s="12">
        <v>0.05</v>
      </c>
      <c r="U71" s="12">
        <v>100.0333333</v>
      </c>
      <c r="V71" s="12">
        <v>1</v>
      </c>
      <c r="W71" s="12">
        <v>-0.78947369999999994</v>
      </c>
      <c r="X71" s="12">
        <v>4.4695897999999996</v>
      </c>
      <c r="Y71" s="12">
        <v>1.2973534</v>
      </c>
      <c r="Z71" s="12">
        <v>-2.7967024999999999</v>
      </c>
      <c r="AA71" s="12">
        <v>61.3258321</v>
      </c>
      <c r="AB71" s="12">
        <v>15.949334199999999</v>
      </c>
      <c r="AC71" s="12">
        <v>26.154046300000001</v>
      </c>
      <c r="AD71" s="12">
        <v>60.0478041</v>
      </c>
      <c r="AE71" s="12">
        <v>63.477016599999999</v>
      </c>
      <c r="AF71" s="12">
        <v>-7.8313832000000003</v>
      </c>
      <c r="AG71" s="12">
        <v>41.888951900000002</v>
      </c>
    </row>
    <row r="72" spans="1:33" s="11" customFormat="1" hidden="1" outlineLevel="1" x14ac:dyDescent="0.3">
      <c r="A72" s="11" t="s">
        <v>78</v>
      </c>
      <c r="B72" s="12">
        <v>1.7505474000000001</v>
      </c>
      <c r="C72" s="12">
        <v>99.97</v>
      </c>
      <c r="D72" s="12">
        <v>0.25070199999999998</v>
      </c>
      <c r="E72" s="17">
        <v>0.05</v>
      </c>
      <c r="F72" s="13">
        <v>76.4033333</v>
      </c>
      <c r="G72" s="12">
        <v>9.2418745999999992</v>
      </c>
      <c r="H72" s="12">
        <v>6.5672058</v>
      </c>
      <c r="I72" s="12">
        <v>-9.9788630999999999</v>
      </c>
      <c r="J72" s="12">
        <v>1.1675078000000001</v>
      </c>
      <c r="K72" s="12">
        <v>-0.2804294</v>
      </c>
      <c r="L72" s="12">
        <v>4.0251983999999998</v>
      </c>
      <c r="M72" s="12">
        <v>-1.3271565999999999</v>
      </c>
      <c r="N72" s="12">
        <v>6.4483392000000004</v>
      </c>
      <c r="O72" s="12">
        <v>5.0849687000000001</v>
      </c>
      <c r="P72" s="7">
        <v>882.1</v>
      </c>
      <c r="Q72" s="7">
        <v>100.7</v>
      </c>
      <c r="R72" s="7">
        <v>10.199999999999999</v>
      </c>
      <c r="S72" s="12">
        <v>6.7338291000000003</v>
      </c>
      <c r="T72" s="12">
        <v>0.05</v>
      </c>
      <c r="U72" s="12">
        <v>99.406666700000002</v>
      </c>
      <c r="V72" s="12">
        <v>1</v>
      </c>
      <c r="W72" s="12">
        <v>-0.71243520000000005</v>
      </c>
      <c r="X72" s="12">
        <v>5.2015250999999996</v>
      </c>
      <c r="Y72" s="12">
        <v>4.0312093999999998</v>
      </c>
      <c r="Z72" s="12">
        <v>1.7163835000000001</v>
      </c>
      <c r="AA72" s="12">
        <v>57.570363700000001</v>
      </c>
      <c r="AB72" s="12">
        <v>19.3538134</v>
      </c>
      <c r="AC72" s="12">
        <v>25.2514979</v>
      </c>
      <c r="AD72" s="12">
        <v>61.392495599999997</v>
      </c>
      <c r="AE72" s="12">
        <v>63.566581399999997</v>
      </c>
      <c r="AF72" s="12">
        <v>-7.0584346</v>
      </c>
      <c r="AG72" s="12">
        <v>41.5558415</v>
      </c>
    </row>
    <row r="73" spans="1:33" s="11" customFormat="1" hidden="1" outlineLevel="1" x14ac:dyDescent="0.3">
      <c r="A73" s="11" t="s">
        <v>79</v>
      </c>
      <c r="B73" s="12">
        <v>2.0633189000000001</v>
      </c>
      <c r="C73" s="12">
        <v>99.203333299999997</v>
      </c>
      <c r="D73" s="12">
        <v>-0.28813620000000001</v>
      </c>
      <c r="E73" s="17">
        <v>0.05</v>
      </c>
      <c r="F73" s="13">
        <v>53.9166667</v>
      </c>
      <c r="G73" s="12">
        <v>10.5727571</v>
      </c>
      <c r="H73" s="12">
        <v>4.8254061999999998</v>
      </c>
      <c r="I73" s="12">
        <v>0.54260450000000005</v>
      </c>
      <c r="J73" s="12">
        <v>2.9822962</v>
      </c>
      <c r="K73" s="12">
        <v>3.2960313000000001</v>
      </c>
      <c r="L73" s="12">
        <v>1.8004815000000001</v>
      </c>
      <c r="M73" s="12">
        <v>-7.8377661999999999</v>
      </c>
      <c r="N73" s="12">
        <v>3.9079773000000002</v>
      </c>
      <c r="O73" s="12">
        <v>-7.11035E-2</v>
      </c>
      <c r="P73" s="7">
        <v>884.1</v>
      </c>
      <c r="Q73" s="7">
        <v>100.6</v>
      </c>
      <c r="R73" s="7">
        <v>10.199999999999999</v>
      </c>
      <c r="S73" s="12">
        <v>6.2190175999999999</v>
      </c>
      <c r="T73" s="12">
        <v>0.05</v>
      </c>
      <c r="U73" s="12">
        <v>99.443333300000006</v>
      </c>
      <c r="V73" s="12">
        <v>1</v>
      </c>
      <c r="W73" s="12">
        <v>1.6826003</v>
      </c>
      <c r="X73" s="12">
        <v>1.9440352999999999</v>
      </c>
      <c r="Y73" s="12">
        <v>0.61452510000000005</v>
      </c>
      <c r="Z73" s="12">
        <v>-2.4481145999999998</v>
      </c>
      <c r="AA73" s="12">
        <v>62.322785799999998</v>
      </c>
      <c r="AB73" s="12">
        <v>18.1672026</v>
      </c>
      <c r="AC73" s="12">
        <v>22.076878099999998</v>
      </c>
      <c r="AD73" s="12">
        <v>63.230780500000002</v>
      </c>
      <c r="AE73" s="12">
        <v>65.799473800000001</v>
      </c>
      <c r="AF73" s="12">
        <v>-5.3934870999999998</v>
      </c>
      <c r="AG73" s="12">
        <v>35.2456648</v>
      </c>
    </row>
    <row r="74" spans="1:33" s="11" customFormat="1" hidden="1" outlineLevel="1" x14ac:dyDescent="0.3">
      <c r="A74" s="11" t="s">
        <v>80</v>
      </c>
      <c r="B74" s="12">
        <v>2.2703967</v>
      </c>
      <c r="C74" s="12">
        <v>100.5233333</v>
      </c>
      <c r="D74" s="12">
        <v>0.29933149999999997</v>
      </c>
      <c r="E74" s="17">
        <v>0.05</v>
      </c>
      <c r="F74" s="13">
        <v>61.693333299999999</v>
      </c>
      <c r="G74" s="12">
        <v>7.5387310999999997</v>
      </c>
      <c r="H74" s="12">
        <v>3.6005614000000001</v>
      </c>
      <c r="I74" s="12">
        <v>0.48719489999999999</v>
      </c>
      <c r="J74" s="12">
        <v>4.1199642000000001</v>
      </c>
      <c r="K74" s="12">
        <v>1.702494</v>
      </c>
      <c r="L74" s="12">
        <v>1.7352074</v>
      </c>
      <c r="M74" s="12">
        <v>11.5772745</v>
      </c>
      <c r="N74" s="12">
        <v>2.5896585999999999</v>
      </c>
      <c r="O74" s="12">
        <v>1.7873296999999999</v>
      </c>
      <c r="P74" s="7">
        <v>898.2</v>
      </c>
      <c r="Q74" s="7">
        <v>97.1</v>
      </c>
      <c r="R74" s="7">
        <v>9.8000000000000007</v>
      </c>
      <c r="S74" s="12">
        <v>6.4276344999999999</v>
      </c>
      <c r="T74" s="12">
        <v>0.05</v>
      </c>
      <c r="U74" s="12">
        <v>101.1533333</v>
      </c>
      <c r="V74" s="12">
        <v>1</v>
      </c>
      <c r="W74" s="12">
        <v>5.1646445999999999</v>
      </c>
      <c r="X74" s="12">
        <v>3.5448827999999999</v>
      </c>
      <c r="Y74" s="12">
        <v>2.5920873000000002</v>
      </c>
      <c r="Z74" s="12">
        <v>-1.9974991</v>
      </c>
      <c r="AA74" s="12">
        <v>60.873378099999996</v>
      </c>
      <c r="AB74" s="12">
        <v>18.9064099</v>
      </c>
      <c r="AC74" s="12">
        <v>22.456436700000001</v>
      </c>
      <c r="AD74" s="12">
        <v>58.817415599999997</v>
      </c>
      <c r="AE74" s="12">
        <v>61.055264100000002</v>
      </c>
      <c r="AF74" s="12">
        <v>-4.8381806999999997</v>
      </c>
      <c r="AG74" s="12">
        <v>35.161422899999998</v>
      </c>
    </row>
    <row r="75" spans="1:33" s="11" customFormat="1" hidden="1" outlineLevel="1" x14ac:dyDescent="0.3">
      <c r="A75" s="11" t="s">
        <v>81</v>
      </c>
      <c r="B75" s="12">
        <v>2.2457793000000001</v>
      </c>
      <c r="C75" s="12">
        <v>100.1533333</v>
      </c>
      <c r="D75" s="12">
        <v>0.24355250000000001</v>
      </c>
      <c r="E75" s="17">
        <v>0.05</v>
      </c>
      <c r="F75" s="13">
        <v>50.233333299999998</v>
      </c>
      <c r="G75" s="12">
        <v>3.1563780000000001</v>
      </c>
      <c r="H75" s="12">
        <v>2.6980843999999999</v>
      </c>
      <c r="I75" s="12">
        <v>-0.1115985</v>
      </c>
      <c r="J75" s="12">
        <v>4.5167279999999996</v>
      </c>
      <c r="K75" s="12">
        <v>3.6900268000000001</v>
      </c>
      <c r="L75" s="12">
        <v>2.1625950999999999</v>
      </c>
      <c r="M75" s="12">
        <v>9.6935462999999995</v>
      </c>
      <c r="N75" s="12">
        <v>4.1207449</v>
      </c>
      <c r="O75" s="12">
        <v>4.7456389999999997</v>
      </c>
      <c r="P75" s="7">
        <v>902</v>
      </c>
      <c r="Q75" s="7">
        <v>96.9</v>
      </c>
      <c r="R75" s="7">
        <v>9.6999999999999993</v>
      </c>
      <c r="S75" s="12">
        <v>7.3370737999999998</v>
      </c>
      <c r="T75" s="12">
        <v>0.05</v>
      </c>
      <c r="U75" s="12">
        <v>99.91</v>
      </c>
      <c r="V75" s="12">
        <v>1</v>
      </c>
      <c r="W75" s="12">
        <v>3.7798408999999999</v>
      </c>
      <c r="X75" s="12">
        <v>3.6826428</v>
      </c>
      <c r="Y75" s="12">
        <v>1.9211066000000001</v>
      </c>
      <c r="Z75" s="12">
        <v>-1.7204767999999999</v>
      </c>
      <c r="AA75" s="12">
        <v>59.8942914</v>
      </c>
      <c r="AB75" s="12">
        <v>15.9477347</v>
      </c>
      <c r="AC75" s="12">
        <v>26.495342300000001</v>
      </c>
      <c r="AD75" s="12">
        <v>59.337848899999997</v>
      </c>
      <c r="AE75" s="12">
        <v>61.676767400000003</v>
      </c>
      <c r="AF75" s="12">
        <v>-5.0674735999999996</v>
      </c>
      <c r="AG75" s="12">
        <v>36.744519199999999</v>
      </c>
    </row>
    <row r="76" spans="1:33" s="11" customFormat="1" hidden="1" outlineLevel="1" x14ac:dyDescent="0.3">
      <c r="A76" s="11" t="s">
        <v>82</v>
      </c>
      <c r="B76" s="12">
        <v>2.5478125</v>
      </c>
      <c r="C76" s="12">
        <v>100.1233333</v>
      </c>
      <c r="D76" s="12">
        <v>0.1533793</v>
      </c>
      <c r="E76" s="17">
        <v>0.05</v>
      </c>
      <c r="F76" s="13">
        <v>43.57</v>
      </c>
      <c r="G76" s="12">
        <v>-4.4542590999999998</v>
      </c>
      <c r="H76" s="12">
        <v>3.5849796999999999</v>
      </c>
      <c r="I76" s="12">
        <v>-6.4045861999999998</v>
      </c>
      <c r="J76" s="12">
        <v>3.8031036999999999</v>
      </c>
      <c r="K76" s="12">
        <v>1.2725827000000001</v>
      </c>
      <c r="L76" s="12">
        <v>0.43256</v>
      </c>
      <c r="M76" s="12">
        <v>8.6600684999999995</v>
      </c>
      <c r="N76" s="12">
        <v>1.4197371999999999</v>
      </c>
      <c r="O76" s="12">
        <v>5.7576299999999997E-2</v>
      </c>
      <c r="P76" s="7">
        <v>900</v>
      </c>
      <c r="Q76" s="7">
        <v>98.1</v>
      </c>
      <c r="R76" s="7">
        <v>9.8000000000000007</v>
      </c>
      <c r="S76" s="12">
        <v>7.4671192</v>
      </c>
      <c r="T76" s="12">
        <v>0.05</v>
      </c>
      <c r="U76" s="12">
        <v>99.5</v>
      </c>
      <c r="V76" s="12">
        <v>1</v>
      </c>
      <c r="W76" s="12">
        <v>3.6203523</v>
      </c>
      <c r="X76" s="12">
        <v>0.95780480000000001</v>
      </c>
      <c r="Y76" s="12">
        <v>-2.4750000000000001</v>
      </c>
      <c r="Z76" s="12">
        <v>3.3594797000000001</v>
      </c>
      <c r="AA76" s="12">
        <v>56.799864399999997</v>
      </c>
      <c r="AB76" s="12">
        <v>19.338583199999999</v>
      </c>
      <c r="AC76" s="12">
        <v>23.869257699999999</v>
      </c>
      <c r="AD76" s="12">
        <v>60.097702300000002</v>
      </c>
      <c r="AE76" s="12">
        <v>60.103866500000002</v>
      </c>
      <c r="AF76" s="12">
        <v>-4.0835926999999996</v>
      </c>
      <c r="AG76" s="12">
        <v>36.989512499999996</v>
      </c>
    </row>
    <row r="77" spans="1:33" s="11" customFormat="1" hidden="1" outlineLevel="1" x14ac:dyDescent="0.3">
      <c r="A77" s="11" t="s">
        <v>83</v>
      </c>
      <c r="B77" s="12">
        <v>1.9366078</v>
      </c>
      <c r="C77" s="12">
        <v>99.246666700000006</v>
      </c>
      <c r="D77" s="12">
        <v>4.3681400000000002E-2</v>
      </c>
      <c r="E77" s="17">
        <v>3.3333300000000003E-2</v>
      </c>
      <c r="F77" s="13">
        <v>33.696666700000002</v>
      </c>
      <c r="G77" s="12">
        <v>-1.7728294</v>
      </c>
      <c r="H77" s="12">
        <v>4.7116471999999998</v>
      </c>
      <c r="I77" s="12">
        <v>2.9492891999999999</v>
      </c>
      <c r="J77" s="12">
        <v>3.185524</v>
      </c>
      <c r="K77" s="12">
        <v>5.0763674999999999</v>
      </c>
      <c r="L77" s="12">
        <v>1.3264781000000001</v>
      </c>
      <c r="M77" s="12">
        <v>1.8120805</v>
      </c>
      <c r="N77" s="12">
        <v>2.6683536000000001</v>
      </c>
      <c r="O77" s="12">
        <v>3.7142450999999999</v>
      </c>
      <c r="P77" s="7">
        <v>889.2</v>
      </c>
      <c r="Q77" s="7">
        <v>101.6</v>
      </c>
      <c r="R77" s="7">
        <v>10.3</v>
      </c>
      <c r="S77" s="12">
        <v>5.2184980999999997</v>
      </c>
      <c r="T77" s="12">
        <v>0</v>
      </c>
      <c r="U77" s="12">
        <v>98.94</v>
      </c>
      <c r="V77" s="12">
        <v>1</v>
      </c>
      <c r="W77" s="12">
        <v>2.4069199999999999</v>
      </c>
      <c r="X77" s="12">
        <v>0.46229409999999999</v>
      </c>
      <c r="Y77" s="12">
        <v>-4.7196002000000004</v>
      </c>
      <c r="Z77" s="12">
        <v>2.5107857999999998</v>
      </c>
      <c r="AA77" s="12">
        <v>63.4769079</v>
      </c>
      <c r="AB77" s="12">
        <v>18.049367</v>
      </c>
      <c r="AC77" s="12">
        <v>17.678053599999998</v>
      </c>
      <c r="AD77" s="12">
        <v>61.470047399999999</v>
      </c>
      <c r="AE77" s="12">
        <v>60.6743758</v>
      </c>
      <c r="AF77" s="12">
        <v>-4.2667622999999999</v>
      </c>
      <c r="AG77" s="12">
        <v>35.684415100000002</v>
      </c>
    </row>
    <row r="78" spans="1:33" s="11" customFormat="1" hidden="1" outlineLevel="1" x14ac:dyDescent="0.3">
      <c r="A78" s="11" t="s">
        <v>84</v>
      </c>
      <c r="B78" s="12">
        <v>2.4666936000000002</v>
      </c>
      <c r="C78" s="12">
        <v>100.42</v>
      </c>
      <c r="D78" s="12">
        <v>-0.10279530000000001</v>
      </c>
      <c r="E78" s="17">
        <v>0</v>
      </c>
      <c r="F78" s="13">
        <v>45.523333299999997</v>
      </c>
      <c r="G78" s="12">
        <v>-2.0494791000000001</v>
      </c>
      <c r="H78" s="12">
        <v>4.9020023000000004</v>
      </c>
      <c r="I78" s="12">
        <v>3.0551697999999998</v>
      </c>
      <c r="J78" s="12">
        <v>2.6888355000000002</v>
      </c>
      <c r="K78" s="12">
        <v>3.5992244000000002</v>
      </c>
      <c r="L78" s="12">
        <v>1.1768719000000001</v>
      </c>
      <c r="M78" s="12">
        <v>4.9850400000000003E-2</v>
      </c>
      <c r="N78" s="12">
        <v>6.6603021</v>
      </c>
      <c r="O78" s="12">
        <v>6.0111496999999998</v>
      </c>
      <c r="P78" s="7">
        <v>898.5</v>
      </c>
      <c r="Q78" s="7">
        <v>94.5</v>
      </c>
      <c r="R78" s="7">
        <v>9.5</v>
      </c>
      <c r="S78" s="12">
        <v>5.0944947000000003</v>
      </c>
      <c r="T78" s="12">
        <v>0</v>
      </c>
      <c r="U78" s="12">
        <v>100.4233333</v>
      </c>
      <c r="V78" s="12">
        <v>1</v>
      </c>
      <c r="W78" s="12">
        <v>6.6578774999999997</v>
      </c>
      <c r="X78" s="12">
        <v>2.5952511999999999</v>
      </c>
      <c r="Y78" s="12">
        <v>-1.0106383000000001</v>
      </c>
      <c r="Z78" s="12">
        <v>-0.61545260000000002</v>
      </c>
      <c r="AA78" s="12">
        <v>61.447418200000001</v>
      </c>
      <c r="AB78" s="12">
        <v>18.319972199999999</v>
      </c>
      <c r="AC78" s="12">
        <v>20.3209822</v>
      </c>
      <c r="AD78" s="12">
        <v>58.640007599999997</v>
      </c>
      <c r="AE78" s="12">
        <v>58.7299583</v>
      </c>
      <c r="AF78" s="12">
        <v>-3.2467532000000001</v>
      </c>
      <c r="AG78" s="12">
        <v>38.5774477</v>
      </c>
    </row>
    <row r="79" spans="1:33" s="11" customFormat="1" hidden="1" outlineLevel="1" x14ac:dyDescent="0.3">
      <c r="A79" s="11" t="s">
        <v>85</v>
      </c>
      <c r="B79" s="12">
        <v>1.6225508</v>
      </c>
      <c r="C79" s="12">
        <v>100.42</v>
      </c>
      <c r="D79" s="12">
        <v>0.26625840000000001</v>
      </c>
      <c r="E79" s="17">
        <v>0</v>
      </c>
      <c r="F79" s="13">
        <v>45.786666699999998</v>
      </c>
      <c r="G79" s="12">
        <v>1.1392405000000001</v>
      </c>
      <c r="H79" s="12">
        <v>5.5127419</v>
      </c>
      <c r="I79" s="12">
        <v>1.4083650000000001</v>
      </c>
      <c r="J79" s="12">
        <v>1.1142799000000001</v>
      </c>
      <c r="K79" s="12">
        <v>1.7279131000000001</v>
      </c>
      <c r="L79" s="12">
        <v>0.91140730000000003</v>
      </c>
      <c r="M79" s="12">
        <v>-7.2980172000000003</v>
      </c>
      <c r="N79" s="12">
        <v>3.5457295000000002</v>
      </c>
      <c r="O79" s="12">
        <v>0.24146770000000001</v>
      </c>
      <c r="P79" s="7">
        <v>895</v>
      </c>
      <c r="Q79" s="7">
        <v>94.4</v>
      </c>
      <c r="R79" s="7">
        <v>9.5</v>
      </c>
      <c r="S79" s="12">
        <v>3.8198633000000002</v>
      </c>
      <c r="T79" s="12">
        <v>0</v>
      </c>
      <c r="U79" s="12">
        <v>100.08</v>
      </c>
      <c r="V79" s="12">
        <v>1</v>
      </c>
      <c r="W79" s="12">
        <v>1.4057508000000001</v>
      </c>
      <c r="X79" s="12">
        <v>1.8542700000000001</v>
      </c>
      <c r="Y79" s="12">
        <v>-3.2420206</v>
      </c>
      <c r="Z79" s="12">
        <v>1.5361217</v>
      </c>
      <c r="AA79" s="12">
        <v>60.944486699999999</v>
      </c>
      <c r="AB79" s="12">
        <v>15.8022814</v>
      </c>
      <c r="AC79" s="12">
        <v>22.480608400000001</v>
      </c>
      <c r="AD79" s="12">
        <v>59.3231939</v>
      </c>
      <c r="AE79" s="12">
        <v>58.552091300000001</v>
      </c>
      <c r="AF79" s="12">
        <v>-2.6854735000000001</v>
      </c>
      <c r="AG79" s="12">
        <v>37.717815000000002</v>
      </c>
    </row>
    <row r="80" spans="1:33" s="11" customFormat="1" hidden="1" outlineLevel="1" x14ac:dyDescent="0.3">
      <c r="A80" s="11" t="s">
        <v>86</v>
      </c>
      <c r="B80" s="12">
        <v>1.866331</v>
      </c>
      <c r="C80" s="12">
        <v>100.89333329999999</v>
      </c>
      <c r="D80" s="12">
        <v>0.7690515</v>
      </c>
      <c r="E80" s="17">
        <v>0</v>
      </c>
      <c r="F80" s="13">
        <v>49.186666700000004</v>
      </c>
      <c r="G80" s="12">
        <v>2.7233310999999998</v>
      </c>
      <c r="H80" s="12">
        <v>1.3767841000000001</v>
      </c>
      <c r="I80" s="12">
        <v>-6.7445620000000002</v>
      </c>
      <c r="J80" s="12">
        <v>2.6189317000000001</v>
      </c>
      <c r="K80" s="12">
        <v>3.8398968</v>
      </c>
      <c r="L80" s="12">
        <v>4.3852779999999996</v>
      </c>
      <c r="M80" s="12">
        <v>2.1836866000000001</v>
      </c>
      <c r="N80" s="12">
        <v>3.0461624</v>
      </c>
      <c r="O80" s="12">
        <v>4.5008756999999999</v>
      </c>
      <c r="P80" s="7">
        <v>890.4</v>
      </c>
      <c r="Q80" s="7">
        <v>90.8</v>
      </c>
      <c r="R80" s="7">
        <v>9.3000000000000007</v>
      </c>
      <c r="S80" s="12">
        <v>5.8823528999999999</v>
      </c>
      <c r="T80" s="12">
        <v>0</v>
      </c>
      <c r="U80" s="12">
        <v>100.96</v>
      </c>
      <c r="V80" s="12">
        <v>1</v>
      </c>
      <c r="W80" s="12">
        <v>10.6074913</v>
      </c>
      <c r="X80" s="12">
        <v>3.3333333000000001</v>
      </c>
      <c r="Y80" s="12">
        <v>3.6144577999999998</v>
      </c>
      <c r="Z80" s="12">
        <v>2.851264</v>
      </c>
      <c r="AA80" s="12">
        <v>57.425044100000001</v>
      </c>
      <c r="AB80" s="12">
        <v>19.188712500000001</v>
      </c>
      <c r="AC80" s="12">
        <v>23.5773075</v>
      </c>
      <c r="AD80" s="12">
        <v>59.232804199999997</v>
      </c>
      <c r="AE80" s="12">
        <v>59.423868300000002</v>
      </c>
      <c r="AF80" s="12">
        <v>-1.6391922999999999</v>
      </c>
      <c r="AG80" s="12">
        <v>40.297895699999998</v>
      </c>
    </row>
    <row r="81" spans="1:33" s="11" customFormat="1" hidden="1" outlineLevel="1" x14ac:dyDescent="0.3">
      <c r="A81" s="11" t="s">
        <v>87</v>
      </c>
      <c r="B81" s="12">
        <v>3.0351661999999999</v>
      </c>
      <c r="C81" s="12">
        <v>101</v>
      </c>
      <c r="D81" s="12">
        <v>1.766642</v>
      </c>
      <c r="E81" s="17">
        <v>0</v>
      </c>
      <c r="F81" s="13">
        <v>53.68</v>
      </c>
      <c r="G81" s="12">
        <v>8.9462931000000001</v>
      </c>
      <c r="H81" s="12">
        <v>3.1587472999999999</v>
      </c>
      <c r="I81" s="12">
        <v>0.89155289999999998</v>
      </c>
      <c r="J81" s="12">
        <v>3.0979066999999998</v>
      </c>
      <c r="K81" s="12">
        <v>2.5409166000000001</v>
      </c>
      <c r="L81" s="12">
        <v>2.3340774999999998</v>
      </c>
      <c r="M81" s="12">
        <v>2.0811753</v>
      </c>
      <c r="N81" s="12">
        <v>7.6149667000000001</v>
      </c>
      <c r="O81" s="12">
        <v>7.2941821999999998</v>
      </c>
      <c r="P81" s="7">
        <v>882.5</v>
      </c>
      <c r="Q81" s="7">
        <v>91.3</v>
      </c>
      <c r="R81" s="7">
        <v>9.4</v>
      </c>
      <c r="S81" s="12">
        <v>6.9758063999999997</v>
      </c>
      <c r="T81" s="12">
        <v>0</v>
      </c>
      <c r="U81" s="12">
        <v>102.0166667</v>
      </c>
      <c r="V81" s="12">
        <v>1</v>
      </c>
      <c r="W81" s="12">
        <v>11.7884686</v>
      </c>
      <c r="X81" s="12">
        <v>11.0727639</v>
      </c>
      <c r="Y81" s="12">
        <v>12.062937099999999</v>
      </c>
      <c r="Z81" s="12">
        <v>1.1585151</v>
      </c>
      <c r="AA81" s="12">
        <v>64.673684899999998</v>
      </c>
      <c r="AB81" s="12">
        <v>18.343155500000002</v>
      </c>
      <c r="AC81" s="12">
        <v>16.7296294</v>
      </c>
      <c r="AD81" s="12">
        <v>64.846622699999998</v>
      </c>
      <c r="AE81" s="12">
        <v>64.594771600000001</v>
      </c>
      <c r="AF81" s="12">
        <v>-1.0692884</v>
      </c>
      <c r="AG81" s="12">
        <v>37.396051100000001</v>
      </c>
    </row>
    <row r="82" spans="1:33" s="11" customFormat="1" hidden="1" outlineLevel="1" x14ac:dyDescent="0.3">
      <c r="A82" s="11" t="s">
        <v>88</v>
      </c>
      <c r="B82" s="12">
        <v>2.3084487</v>
      </c>
      <c r="C82" s="12">
        <v>102.11333329999999</v>
      </c>
      <c r="D82" s="12">
        <v>1.6862509999999999</v>
      </c>
      <c r="E82" s="17">
        <v>0</v>
      </c>
      <c r="F82" s="13">
        <v>49.67</v>
      </c>
      <c r="G82" s="12">
        <v>8.2556358000000003</v>
      </c>
      <c r="H82" s="12">
        <v>11.678301899999999</v>
      </c>
      <c r="I82" s="12">
        <v>4.3671749999999996</v>
      </c>
      <c r="J82" s="12">
        <v>3.0817152999999999</v>
      </c>
      <c r="K82" s="12">
        <v>0.59045259999999999</v>
      </c>
      <c r="L82" s="12">
        <v>4.4757249000000003</v>
      </c>
      <c r="M82" s="12">
        <v>14.485016699999999</v>
      </c>
      <c r="N82" s="12">
        <v>5.2177118</v>
      </c>
      <c r="O82" s="12">
        <v>7.3495413999999997</v>
      </c>
      <c r="P82" s="7">
        <v>891.7</v>
      </c>
      <c r="Q82" s="7">
        <v>86.6</v>
      </c>
      <c r="R82" s="7">
        <v>8.9</v>
      </c>
      <c r="S82" s="12">
        <v>8.6395620999999991</v>
      </c>
      <c r="T82" s="12">
        <v>0</v>
      </c>
      <c r="U82" s="12">
        <v>103.4666667</v>
      </c>
      <c r="V82" s="12">
        <v>1</v>
      </c>
      <c r="W82" s="12">
        <v>7.7873918</v>
      </c>
      <c r="X82" s="12">
        <v>8.5306780999999994</v>
      </c>
      <c r="Y82" s="12">
        <v>11.418592200000001</v>
      </c>
      <c r="Z82" s="12">
        <v>-1.4537471</v>
      </c>
      <c r="AA82" s="12">
        <v>60.6746573</v>
      </c>
      <c r="AB82" s="12">
        <v>18.7696553</v>
      </c>
      <c r="AC82" s="12">
        <v>22.245297600000001</v>
      </c>
      <c r="AD82" s="12">
        <v>59.845428099999999</v>
      </c>
      <c r="AE82" s="12">
        <v>61.535038299999997</v>
      </c>
      <c r="AF82" s="12">
        <v>-1.2204267</v>
      </c>
      <c r="AG82" s="12">
        <v>38.607121200000002</v>
      </c>
    </row>
    <row r="83" spans="1:33" s="11" customFormat="1" hidden="1" outlineLevel="1" x14ac:dyDescent="0.3">
      <c r="A83" s="11" t="s">
        <v>89</v>
      </c>
      <c r="B83" s="12">
        <v>3.0333996999999999</v>
      </c>
      <c r="C83" s="12">
        <v>102.1166667</v>
      </c>
      <c r="D83" s="12">
        <v>1.6895705000000001</v>
      </c>
      <c r="E83" s="17">
        <v>0</v>
      </c>
      <c r="F83" s="13">
        <v>52.11</v>
      </c>
      <c r="G83" s="12">
        <v>6.2189806000000001</v>
      </c>
      <c r="H83" s="12">
        <v>4.8221769999999999</v>
      </c>
      <c r="I83" s="12">
        <v>0.91470739999999995</v>
      </c>
      <c r="J83" s="12">
        <v>3.9363768000000001</v>
      </c>
      <c r="K83" s="12">
        <v>3.5475338000000001</v>
      </c>
      <c r="L83" s="12">
        <v>3.7972225000000002</v>
      </c>
      <c r="M83" s="12">
        <v>28.738347600000001</v>
      </c>
      <c r="N83" s="12">
        <v>3.7692618000000002</v>
      </c>
      <c r="O83" s="12">
        <v>12.630376500000001</v>
      </c>
      <c r="P83" s="7">
        <v>902.9</v>
      </c>
      <c r="Q83" s="7">
        <v>84.1</v>
      </c>
      <c r="R83" s="7">
        <v>8.5</v>
      </c>
      <c r="S83" s="12">
        <v>8.2494191000000008</v>
      </c>
      <c r="T83" s="12">
        <v>0</v>
      </c>
      <c r="U83" s="12">
        <v>102.99</v>
      </c>
      <c r="V83" s="12">
        <v>1</v>
      </c>
      <c r="W83" s="12">
        <v>10.586011299999999</v>
      </c>
      <c r="X83" s="12">
        <v>7.7692307999999999</v>
      </c>
      <c r="Y83" s="12">
        <v>14.857142899999999</v>
      </c>
      <c r="Z83" s="12">
        <v>-2.6861578000000002</v>
      </c>
      <c r="AA83" s="12">
        <v>60.288691300000004</v>
      </c>
      <c r="AB83" s="12">
        <v>15.730988399999999</v>
      </c>
      <c r="AC83" s="12">
        <v>27.0948496</v>
      </c>
      <c r="AD83" s="12">
        <v>59.426293200000003</v>
      </c>
      <c r="AE83" s="12">
        <v>62.542236299999999</v>
      </c>
      <c r="AF83" s="12">
        <v>-0.35953619999999997</v>
      </c>
      <c r="AG83" s="12">
        <v>37.864840399999999</v>
      </c>
    </row>
    <row r="84" spans="1:33" s="11" customFormat="1" hidden="1" outlineLevel="1" x14ac:dyDescent="0.3">
      <c r="A84" s="11" t="s">
        <v>90</v>
      </c>
      <c r="B84" s="12">
        <v>2.9900169999999999</v>
      </c>
      <c r="C84" s="12">
        <v>102.6233333</v>
      </c>
      <c r="D84" s="12">
        <v>1.7146821999999999</v>
      </c>
      <c r="E84" s="17">
        <v>0</v>
      </c>
      <c r="F84" s="13">
        <v>61.53</v>
      </c>
      <c r="G84" s="12">
        <v>9.2964035000000003</v>
      </c>
      <c r="H84" s="12">
        <v>9.7142619999999997</v>
      </c>
      <c r="I84" s="12">
        <v>-6.8129521999999998</v>
      </c>
      <c r="J84" s="12">
        <v>3.1078638000000001</v>
      </c>
      <c r="K84" s="12">
        <v>4.5865859999999996</v>
      </c>
      <c r="L84" s="12">
        <v>3.1882971000000002</v>
      </c>
      <c r="M84" s="12">
        <v>-4.3026112999999997</v>
      </c>
      <c r="N84" s="12">
        <v>8.8313609</v>
      </c>
      <c r="O84" s="12">
        <v>6.8304245000000003</v>
      </c>
      <c r="P84" s="7">
        <v>902.2</v>
      </c>
      <c r="Q84" s="7">
        <v>79.7</v>
      </c>
      <c r="R84" s="7">
        <v>8.1</v>
      </c>
      <c r="S84" s="12">
        <v>7.5316928000000001</v>
      </c>
      <c r="T84" s="12">
        <v>0</v>
      </c>
      <c r="U84" s="12">
        <v>103.5166667</v>
      </c>
      <c r="V84" s="12">
        <v>1</v>
      </c>
      <c r="W84" s="12">
        <v>4.2117246000000002</v>
      </c>
      <c r="X84" s="12">
        <v>12.133995000000001</v>
      </c>
      <c r="Y84" s="12">
        <v>8.3869372000000002</v>
      </c>
      <c r="Z84" s="12">
        <v>7.6377145000000004</v>
      </c>
      <c r="AA84" s="12">
        <v>57.691774600000002</v>
      </c>
      <c r="AB84" s="12">
        <v>19.225971000000001</v>
      </c>
      <c r="AC84" s="12">
        <v>21.174904999999999</v>
      </c>
      <c r="AD84" s="12">
        <v>62.650051300000001</v>
      </c>
      <c r="AE84" s="12">
        <v>60.7427019</v>
      </c>
      <c r="AF84" s="12">
        <v>-0.95390710000000001</v>
      </c>
      <c r="AG84" s="12">
        <v>38.883947800000001</v>
      </c>
    </row>
    <row r="85" spans="1:33" s="11" customFormat="1" hidden="1" outlineLevel="1" x14ac:dyDescent="0.3">
      <c r="A85" s="11" t="s">
        <v>91</v>
      </c>
      <c r="B85" s="12">
        <v>2.2828298</v>
      </c>
      <c r="C85" s="12">
        <v>102.5466667</v>
      </c>
      <c r="D85" s="12">
        <v>1.5313532000000001</v>
      </c>
      <c r="E85" s="17">
        <v>0</v>
      </c>
      <c r="F85" s="13">
        <v>66.806666699999994</v>
      </c>
      <c r="G85" s="12">
        <v>9.3145790999999996</v>
      </c>
      <c r="H85" s="12">
        <v>11.9078775</v>
      </c>
      <c r="I85" s="12">
        <v>1.8653458000000001</v>
      </c>
      <c r="J85" s="12">
        <v>1.9748934</v>
      </c>
      <c r="K85" s="12">
        <v>3.2251861000000002</v>
      </c>
      <c r="L85" s="12">
        <v>2.6477588000000001</v>
      </c>
      <c r="M85" s="12">
        <v>11.439114399999999</v>
      </c>
      <c r="N85" s="12">
        <v>2.6701366000000002</v>
      </c>
      <c r="O85" s="12">
        <v>6.8392245000000003</v>
      </c>
      <c r="P85" s="7">
        <v>898</v>
      </c>
      <c r="Q85" s="7">
        <v>80</v>
      </c>
      <c r="R85" s="7">
        <v>8.1999999999999993</v>
      </c>
      <c r="S85" s="12">
        <v>8.7825103999999996</v>
      </c>
      <c r="T85" s="12">
        <v>0</v>
      </c>
      <c r="U85" s="12">
        <v>104.09</v>
      </c>
      <c r="V85" s="12">
        <v>1</v>
      </c>
      <c r="W85" s="12">
        <v>2.7923784</v>
      </c>
      <c r="X85" s="12">
        <v>5.6706370000000001</v>
      </c>
      <c r="Y85" s="12">
        <v>6.8642745999999999</v>
      </c>
      <c r="Z85" s="12">
        <v>0.22225400000000001</v>
      </c>
      <c r="AA85" s="12">
        <v>65.264879100000002</v>
      </c>
      <c r="AB85" s="12">
        <v>18.221650700000001</v>
      </c>
      <c r="AC85" s="12">
        <v>16.980203499999998</v>
      </c>
      <c r="AD85" s="12">
        <v>64.793383199999994</v>
      </c>
      <c r="AE85" s="12">
        <v>65.258528999999996</v>
      </c>
      <c r="AF85" s="12">
        <v>-1.0959889</v>
      </c>
      <c r="AG85" s="12">
        <v>34.018097300000001</v>
      </c>
    </row>
    <row r="86" spans="1:33" s="11" customFormat="1" hidden="1" outlineLevel="1" x14ac:dyDescent="0.3">
      <c r="A86" s="11" t="s">
        <v>92</v>
      </c>
      <c r="B86" s="12">
        <v>2.5023559999999998</v>
      </c>
      <c r="C86" s="12">
        <v>104.0133333</v>
      </c>
      <c r="D86" s="12">
        <v>1.8606777000000001</v>
      </c>
      <c r="E86" s="17">
        <v>0</v>
      </c>
      <c r="F86" s="13">
        <v>74.5</v>
      </c>
      <c r="G86" s="12">
        <v>12.8340949</v>
      </c>
      <c r="H86" s="12">
        <v>14.0307136</v>
      </c>
      <c r="I86" s="12">
        <v>4.9901644999999997</v>
      </c>
      <c r="J86" s="12">
        <v>4.6431364999999998</v>
      </c>
      <c r="K86" s="12">
        <v>3.7105945999999999</v>
      </c>
      <c r="L86" s="12">
        <v>1.3231142</v>
      </c>
      <c r="M86" s="12">
        <v>-3.9169361</v>
      </c>
      <c r="N86" s="12">
        <v>10.793634900000001</v>
      </c>
      <c r="O86" s="12">
        <v>5.4761454000000001</v>
      </c>
      <c r="P86" s="7">
        <v>909.6</v>
      </c>
      <c r="Q86" s="7">
        <v>75.400000000000006</v>
      </c>
      <c r="R86" s="7">
        <v>7.7</v>
      </c>
      <c r="S86" s="12">
        <v>8.4202951000000006</v>
      </c>
      <c r="T86" s="12">
        <v>0</v>
      </c>
      <c r="U86" s="12">
        <v>105.9233333</v>
      </c>
      <c r="V86" s="12">
        <v>1</v>
      </c>
      <c r="W86" s="12">
        <v>1.5194954000000001</v>
      </c>
      <c r="X86" s="12">
        <v>14.629308200000001</v>
      </c>
      <c r="Y86" s="12">
        <v>6.4142754000000002</v>
      </c>
      <c r="Z86" s="12">
        <v>1.7758592</v>
      </c>
      <c r="AA86" s="12">
        <v>59.853286699999998</v>
      </c>
      <c r="AB86" s="12">
        <v>18.366482699999999</v>
      </c>
      <c r="AC86" s="12">
        <v>18.9292935</v>
      </c>
      <c r="AD86" s="12">
        <v>63.168679300000001</v>
      </c>
      <c r="AE86" s="12">
        <v>60.316376200000001</v>
      </c>
      <c r="AF86" s="12">
        <v>-0.44409860000000001</v>
      </c>
      <c r="AG86" s="12">
        <v>36.1749492</v>
      </c>
    </row>
    <row r="87" spans="1:33" s="11" customFormat="1" hidden="1" outlineLevel="1" x14ac:dyDescent="0.3">
      <c r="A87" s="11" t="s">
        <v>93</v>
      </c>
      <c r="B87" s="12">
        <v>1.7229988000000001</v>
      </c>
      <c r="C87" s="12">
        <v>104.3666667</v>
      </c>
      <c r="D87" s="12">
        <v>2.2033621999999999</v>
      </c>
      <c r="E87" s="17">
        <v>0</v>
      </c>
      <c r="F87" s="13">
        <v>75.223333299999993</v>
      </c>
      <c r="G87" s="12">
        <v>11.3156184</v>
      </c>
      <c r="H87" s="12">
        <v>7.2964092000000003</v>
      </c>
      <c r="I87" s="12">
        <v>-0.3841096</v>
      </c>
      <c r="J87" s="12">
        <v>4.3315143000000003</v>
      </c>
      <c r="K87" s="12">
        <v>2.9727022000000001</v>
      </c>
      <c r="L87" s="12">
        <v>1.5157186</v>
      </c>
      <c r="M87" s="12">
        <v>16.882408399999999</v>
      </c>
      <c r="N87" s="12">
        <v>3.3751486000000002</v>
      </c>
      <c r="O87" s="12">
        <v>6.6940071000000003</v>
      </c>
      <c r="P87" s="7">
        <v>920.1</v>
      </c>
      <c r="Q87" s="7">
        <v>68.8</v>
      </c>
      <c r="R87" s="7">
        <v>7</v>
      </c>
      <c r="S87" s="12">
        <v>8.0500893999999992</v>
      </c>
      <c r="T87" s="12">
        <v>0</v>
      </c>
      <c r="U87" s="12">
        <v>105.99</v>
      </c>
      <c r="V87" s="12">
        <v>1</v>
      </c>
      <c r="W87" s="12">
        <v>1.6239315999999999</v>
      </c>
      <c r="X87" s="12">
        <v>6.5191530000000002</v>
      </c>
      <c r="Y87" s="12">
        <v>9.3848936999999992</v>
      </c>
      <c r="Z87" s="12">
        <v>-5.4426375</v>
      </c>
      <c r="AA87" s="12">
        <v>59.156781899999999</v>
      </c>
      <c r="AB87" s="12">
        <v>15.488079600000001</v>
      </c>
      <c r="AC87" s="12">
        <v>30.0673168</v>
      </c>
      <c r="AD87" s="12">
        <v>58.301324200000003</v>
      </c>
      <c r="AE87" s="12">
        <v>63.0135024</v>
      </c>
      <c r="AF87" s="12">
        <v>-6.1473939</v>
      </c>
      <c r="AG87" s="12">
        <v>37.179970900000001</v>
      </c>
    </row>
    <row r="88" spans="1:33" s="11" customFormat="1" hidden="1" outlineLevel="1" x14ac:dyDescent="0.3">
      <c r="A88" s="11" t="s">
        <v>94</v>
      </c>
      <c r="B88" s="12">
        <v>1.7730376000000001</v>
      </c>
      <c r="C88" s="12">
        <v>104.64</v>
      </c>
      <c r="D88" s="12">
        <v>1.9651152000000001</v>
      </c>
      <c r="E88" s="17">
        <v>0</v>
      </c>
      <c r="F88" s="13">
        <v>67.713333300000002</v>
      </c>
      <c r="G88" s="12">
        <v>10.9281246</v>
      </c>
      <c r="H88" s="12">
        <v>6.1967672</v>
      </c>
      <c r="I88" s="12">
        <v>-8.5333401000000002</v>
      </c>
      <c r="J88" s="12">
        <v>4.7189202000000003</v>
      </c>
      <c r="K88" s="12">
        <v>2.0687517999999998</v>
      </c>
      <c r="L88" s="12">
        <v>1.6575791</v>
      </c>
      <c r="M88" s="12">
        <v>29.197516100000001</v>
      </c>
      <c r="N88" s="12">
        <v>1.0919306</v>
      </c>
      <c r="O88" s="12">
        <v>6.3466452000000002</v>
      </c>
      <c r="P88" s="7">
        <v>909.8</v>
      </c>
      <c r="Q88" s="7">
        <v>67.099999999999994</v>
      </c>
      <c r="R88" s="7">
        <v>6.9</v>
      </c>
      <c r="S88" s="12">
        <v>8.3911233999999997</v>
      </c>
      <c r="T88" s="12">
        <v>0</v>
      </c>
      <c r="U88" s="12">
        <v>106.51</v>
      </c>
      <c r="V88" s="12">
        <v>1</v>
      </c>
      <c r="W88" s="12">
        <v>0.1911523</v>
      </c>
      <c r="X88" s="12">
        <v>4.7355609999999997</v>
      </c>
      <c r="Y88" s="12">
        <v>8.5596896000000005</v>
      </c>
      <c r="Z88" s="12">
        <v>2.8902838000000002</v>
      </c>
      <c r="AA88" s="12">
        <v>55.254077600000002</v>
      </c>
      <c r="AB88" s="12">
        <v>19.564802199999999</v>
      </c>
      <c r="AC88" s="12">
        <v>25.476514900000002</v>
      </c>
      <c r="AD88" s="12">
        <v>60.278333099999998</v>
      </c>
      <c r="AE88" s="12">
        <v>60.573727699999999</v>
      </c>
      <c r="AF88" s="12">
        <v>-5.4245418000000001</v>
      </c>
      <c r="AG88" s="12">
        <v>36.990285900000003</v>
      </c>
    </row>
    <row r="89" spans="1:33" s="11" customFormat="1" hidden="1" outlineLevel="1" x14ac:dyDescent="0.3">
      <c r="A89" s="11" t="s">
        <v>95</v>
      </c>
      <c r="B89" s="12">
        <v>1.9308453999999999</v>
      </c>
      <c r="C89" s="12">
        <v>104.17</v>
      </c>
      <c r="D89" s="12">
        <v>1.5830191</v>
      </c>
      <c r="E89" s="17">
        <v>0</v>
      </c>
      <c r="F89" s="13">
        <v>63.17</v>
      </c>
      <c r="G89" s="12">
        <v>7.0748743999999997</v>
      </c>
      <c r="H89" s="12">
        <v>3.7574057000000001</v>
      </c>
      <c r="I89" s="12">
        <v>0.59999409999999997</v>
      </c>
      <c r="J89" s="12">
        <v>1.7530138</v>
      </c>
      <c r="K89" s="12">
        <v>1.261477</v>
      </c>
      <c r="L89" s="12">
        <v>5.6612888000000003</v>
      </c>
      <c r="M89" s="12">
        <v>-1.589404</v>
      </c>
      <c r="N89" s="12">
        <v>3.4751970999999999</v>
      </c>
      <c r="O89" s="12">
        <v>3.3467394000000001</v>
      </c>
      <c r="P89" s="7">
        <v>903.6</v>
      </c>
      <c r="Q89" s="7">
        <v>66.900000000000006</v>
      </c>
      <c r="R89" s="7">
        <v>6.9</v>
      </c>
      <c r="S89" s="12">
        <v>7.2765072999999996</v>
      </c>
      <c r="T89" s="12">
        <v>0</v>
      </c>
      <c r="U89" s="12">
        <v>107.0066667</v>
      </c>
      <c r="V89" s="12">
        <v>1</v>
      </c>
      <c r="W89" s="12">
        <v>-0.83093640000000002</v>
      </c>
      <c r="X89" s="12">
        <v>6.6405292999999999</v>
      </c>
      <c r="Y89" s="12">
        <v>5.0851582000000004</v>
      </c>
      <c r="Z89" s="12">
        <v>0.117935</v>
      </c>
      <c r="AA89" s="12">
        <v>61.932069400000003</v>
      </c>
      <c r="AB89" s="12">
        <v>19.233717599999999</v>
      </c>
      <c r="AC89" s="12">
        <v>18.3801633</v>
      </c>
      <c r="AD89" s="12">
        <v>64.159565999999998</v>
      </c>
      <c r="AE89" s="12">
        <v>63.704042200000004</v>
      </c>
      <c r="AF89" s="12">
        <v>-4.7846890000000002</v>
      </c>
      <c r="AG89" s="12">
        <v>37.151856700000003</v>
      </c>
    </row>
    <row r="90" spans="1:33" s="11" customFormat="1" hidden="1" outlineLevel="1" x14ac:dyDescent="0.3">
      <c r="A90" s="11" t="s">
        <v>96</v>
      </c>
      <c r="B90" s="12">
        <v>1.5959346999999999</v>
      </c>
      <c r="C90" s="12">
        <v>105.7566667</v>
      </c>
      <c r="D90" s="12">
        <v>1.6760672000000001</v>
      </c>
      <c r="E90" s="17">
        <v>0</v>
      </c>
      <c r="F90" s="13">
        <v>68.923333299999996</v>
      </c>
      <c r="G90" s="12">
        <v>-2.5085099999999999E-2</v>
      </c>
      <c r="H90" s="12">
        <v>-4.9527853000000004</v>
      </c>
      <c r="I90" s="12">
        <v>2.7349201000000001</v>
      </c>
      <c r="J90" s="12">
        <v>0.54969219999999996</v>
      </c>
      <c r="K90" s="12">
        <v>0.84392449999999997</v>
      </c>
      <c r="L90" s="12">
        <v>5.2790827</v>
      </c>
      <c r="M90" s="12">
        <v>17.031189300000001</v>
      </c>
      <c r="N90" s="12">
        <v>-3.0057360000000002</v>
      </c>
      <c r="O90" s="12">
        <v>4.0049361000000001</v>
      </c>
      <c r="P90" s="7">
        <v>905.6</v>
      </c>
      <c r="Q90" s="7">
        <v>61.5</v>
      </c>
      <c r="R90" s="7">
        <v>6.4</v>
      </c>
      <c r="S90" s="12">
        <v>7.1025555999999996</v>
      </c>
      <c r="T90" s="12">
        <v>0</v>
      </c>
      <c r="U90" s="12">
        <v>109.41333330000001</v>
      </c>
      <c r="V90" s="12">
        <v>1</v>
      </c>
      <c r="W90" s="12">
        <v>-0.1129624</v>
      </c>
      <c r="X90" s="12">
        <v>-1.5357993000000001</v>
      </c>
      <c r="Y90" s="12">
        <v>5.3025152999999996</v>
      </c>
      <c r="Z90" s="12">
        <v>-1.7737202000000001</v>
      </c>
      <c r="AA90" s="12">
        <v>58.420606399999997</v>
      </c>
      <c r="AB90" s="12">
        <v>19.4691881</v>
      </c>
      <c r="AC90" s="12">
        <v>23.380502100000001</v>
      </c>
      <c r="AD90" s="12">
        <v>59.384414700000001</v>
      </c>
      <c r="AE90" s="12">
        <v>60.654711399999997</v>
      </c>
      <c r="AF90" s="12">
        <v>-4.6438034999999998</v>
      </c>
      <c r="AG90" s="12">
        <v>36.555904099999999</v>
      </c>
    </row>
    <row r="91" spans="1:33" s="11" customFormat="1" hidden="1" outlineLevel="1" x14ac:dyDescent="0.3">
      <c r="A91" s="11" t="s">
        <v>97</v>
      </c>
      <c r="B91" s="12">
        <v>2.3612953000000001</v>
      </c>
      <c r="C91" s="12">
        <v>105.74</v>
      </c>
      <c r="D91" s="12">
        <v>1.3158734999999999</v>
      </c>
      <c r="E91" s="17">
        <v>0</v>
      </c>
      <c r="F91" s="13">
        <v>61.93</v>
      </c>
      <c r="G91" s="12">
        <v>4.2595904999999998</v>
      </c>
      <c r="H91" s="12">
        <v>7.9256143000000003</v>
      </c>
      <c r="I91" s="12">
        <v>0.85054680000000005</v>
      </c>
      <c r="J91" s="12">
        <v>1.3133022000000001</v>
      </c>
      <c r="K91" s="12">
        <v>0.47912060000000001</v>
      </c>
      <c r="L91" s="12">
        <v>6.3686635999999996</v>
      </c>
      <c r="M91" s="12">
        <v>-7.0861798</v>
      </c>
      <c r="N91" s="12">
        <v>5.5957186999999999</v>
      </c>
      <c r="O91" s="12">
        <v>1.4610456999999999</v>
      </c>
      <c r="P91" s="7">
        <v>917.8</v>
      </c>
      <c r="Q91" s="7">
        <v>58.9</v>
      </c>
      <c r="R91" s="7">
        <v>6</v>
      </c>
      <c r="S91" s="12">
        <v>7.5827815000000003</v>
      </c>
      <c r="T91" s="12">
        <v>0</v>
      </c>
      <c r="U91" s="12">
        <v>108.96</v>
      </c>
      <c r="V91" s="12">
        <v>1</v>
      </c>
      <c r="W91" s="12">
        <v>4.5696664</v>
      </c>
      <c r="X91" s="12">
        <v>5.8968059000000004</v>
      </c>
      <c r="Y91" s="12">
        <v>0.80628489999999997</v>
      </c>
      <c r="Z91" s="12">
        <v>-3.0500657000000002</v>
      </c>
      <c r="AA91" s="12">
        <v>58.540184000000004</v>
      </c>
      <c r="AB91" s="12">
        <v>16.669972999999999</v>
      </c>
      <c r="AC91" s="12">
        <v>26.484737299999999</v>
      </c>
      <c r="AD91" s="12">
        <v>58.794356100000002</v>
      </c>
      <c r="AE91" s="12">
        <v>60.489250400000003</v>
      </c>
      <c r="AF91" s="12">
        <v>1.0467199</v>
      </c>
      <c r="AG91" s="12">
        <v>36.6615532</v>
      </c>
    </row>
    <row r="92" spans="1:33" s="11" customFormat="1" hidden="1" outlineLevel="1" x14ac:dyDescent="0.3">
      <c r="A92" s="11" t="s">
        <v>98</v>
      </c>
      <c r="B92" s="12">
        <v>1.3592039</v>
      </c>
      <c r="C92" s="12">
        <v>106.0066667</v>
      </c>
      <c r="D92" s="12">
        <v>1.3060653</v>
      </c>
      <c r="E92" s="17">
        <v>0</v>
      </c>
      <c r="F92" s="13">
        <v>63.41</v>
      </c>
      <c r="G92" s="12">
        <v>-0.28772009999999998</v>
      </c>
      <c r="H92" s="12">
        <v>6.8582020000000004</v>
      </c>
      <c r="I92" s="12">
        <v>-5.8064195999999999</v>
      </c>
      <c r="J92" s="12">
        <v>-1.0198479</v>
      </c>
      <c r="K92" s="12">
        <v>-2.0445343999999999</v>
      </c>
      <c r="L92" s="12">
        <v>5.1562612000000003</v>
      </c>
      <c r="M92" s="12">
        <v>-1.2062113000000001</v>
      </c>
      <c r="N92" s="12">
        <v>-0.45939400000000002</v>
      </c>
      <c r="O92" s="12">
        <v>0.34349049999999998</v>
      </c>
      <c r="P92" s="7">
        <v>913.1</v>
      </c>
      <c r="Q92" s="7">
        <v>57.9</v>
      </c>
      <c r="R92" s="7">
        <v>6</v>
      </c>
      <c r="S92" s="12">
        <v>6.9097888999999997</v>
      </c>
      <c r="T92" s="12">
        <v>0</v>
      </c>
      <c r="U92" s="12">
        <v>108.74</v>
      </c>
      <c r="V92" s="12">
        <v>1</v>
      </c>
      <c r="W92" s="12">
        <v>0</v>
      </c>
      <c r="X92" s="12">
        <v>-0.65497570000000005</v>
      </c>
      <c r="Y92" s="12">
        <v>-0.92514719999999995</v>
      </c>
      <c r="Z92" s="12">
        <v>2.3583148999999999</v>
      </c>
      <c r="AA92" s="12">
        <v>56.481642299999997</v>
      </c>
      <c r="AB92" s="12">
        <v>21.2868952</v>
      </c>
      <c r="AC92" s="12">
        <v>22.369237600000002</v>
      </c>
      <c r="AD92" s="12">
        <v>58.370776800000002</v>
      </c>
      <c r="AE92" s="12">
        <v>58.508552000000002</v>
      </c>
      <c r="AF92" s="12">
        <v>0.82513230000000004</v>
      </c>
      <c r="AG92" s="12">
        <v>36.663515699999998</v>
      </c>
    </row>
    <row r="93" spans="1:33" s="11" customFormat="1" hidden="1" outlineLevel="1" x14ac:dyDescent="0.3">
      <c r="A93" s="11" t="s">
        <v>99</v>
      </c>
      <c r="B93" s="12">
        <v>-2.2061226999999999</v>
      </c>
      <c r="C93" s="12">
        <v>105.74666670000001</v>
      </c>
      <c r="D93" s="12">
        <v>1.5135516</v>
      </c>
      <c r="E93" s="17">
        <v>0</v>
      </c>
      <c r="F93" s="13">
        <v>50.44</v>
      </c>
      <c r="G93" s="12">
        <v>4.0666845</v>
      </c>
      <c r="H93" s="12">
        <v>1.9684448000000001</v>
      </c>
      <c r="I93" s="12">
        <v>-0.1947574</v>
      </c>
      <c r="J93" s="12">
        <v>-1.3033888</v>
      </c>
      <c r="K93" s="12">
        <v>0.49935610000000002</v>
      </c>
      <c r="L93" s="12">
        <v>2.5052574000000001</v>
      </c>
      <c r="M93" s="12">
        <v>-8.1931358999999997</v>
      </c>
      <c r="N93" s="12">
        <v>4.3579442000000004</v>
      </c>
      <c r="O93" s="12">
        <v>5.6891360000000004</v>
      </c>
      <c r="P93" s="7">
        <v>901.5</v>
      </c>
      <c r="Q93" s="7">
        <v>74.3</v>
      </c>
      <c r="R93" s="7">
        <v>7.6</v>
      </c>
      <c r="S93" s="12">
        <v>6.7506459999999997</v>
      </c>
      <c r="T93" s="12">
        <v>0</v>
      </c>
      <c r="U93" s="12">
        <v>109.08</v>
      </c>
      <c r="V93" s="12">
        <v>1</v>
      </c>
      <c r="W93" s="12">
        <v>-1.1923944</v>
      </c>
      <c r="X93" s="12">
        <v>3.2628675999999999</v>
      </c>
      <c r="Y93" s="12">
        <v>4.6075480000000004</v>
      </c>
      <c r="Z93" s="12">
        <v>0.53377960000000002</v>
      </c>
      <c r="AA93" s="12">
        <v>63.583247900000003</v>
      </c>
      <c r="AB93" s="12">
        <v>19.5478743</v>
      </c>
      <c r="AC93" s="12">
        <v>17.196358799999999</v>
      </c>
      <c r="AD93" s="12">
        <v>64.849892499999996</v>
      </c>
      <c r="AE93" s="12">
        <v>65.177373500000002</v>
      </c>
      <c r="AF93" s="12">
        <v>0.62914570000000003</v>
      </c>
      <c r="AG93" s="12">
        <v>37.361297899999997</v>
      </c>
    </row>
    <row r="94" spans="1:33" s="11" customFormat="1" hidden="1" outlineLevel="1" x14ac:dyDescent="0.3">
      <c r="A94" s="11" t="s">
        <v>100</v>
      </c>
      <c r="B94" s="12">
        <v>-13.380244299999999</v>
      </c>
      <c r="C94" s="12">
        <v>106.50333329999999</v>
      </c>
      <c r="D94" s="12">
        <v>0.70602319999999996</v>
      </c>
      <c r="E94" s="17">
        <v>0</v>
      </c>
      <c r="F94" s="13">
        <v>29.343333300000001</v>
      </c>
      <c r="G94" s="12">
        <v>5.6742419000000002</v>
      </c>
      <c r="H94" s="12">
        <v>-5.9343224000000001</v>
      </c>
      <c r="I94" s="12">
        <v>-1.7842043000000001</v>
      </c>
      <c r="J94" s="12">
        <v>-9.2178730000000009</v>
      </c>
      <c r="K94" s="12">
        <v>-16.7146902</v>
      </c>
      <c r="L94" s="12">
        <v>1.2176674999999999</v>
      </c>
      <c r="M94" s="12">
        <v>-6.7842529999999996</v>
      </c>
      <c r="N94" s="12">
        <v>-10.821634</v>
      </c>
      <c r="O94" s="12">
        <v>-13.694315599999999</v>
      </c>
      <c r="P94" s="7">
        <v>892.1</v>
      </c>
      <c r="Q94" s="7">
        <v>83.5</v>
      </c>
      <c r="R94" s="7">
        <v>8.6</v>
      </c>
      <c r="S94" s="12">
        <v>4.3383947999999997</v>
      </c>
      <c r="T94" s="12">
        <v>0</v>
      </c>
      <c r="U94" s="12">
        <v>108.6533333</v>
      </c>
      <c r="V94" s="12">
        <v>1</v>
      </c>
      <c r="W94" s="12">
        <v>-5.7110545000000004</v>
      </c>
      <c r="X94" s="12">
        <v>-11.884885799999999</v>
      </c>
      <c r="Y94" s="12">
        <v>-17.279965600000001</v>
      </c>
      <c r="Z94" s="12">
        <v>3.6642426000000001</v>
      </c>
      <c r="AA94" s="12">
        <v>53.0314561</v>
      </c>
      <c r="AB94" s="12">
        <v>21.740233400000001</v>
      </c>
      <c r="AC94" s="12">
        <v>22.867692699999999</v>
      </c>
      <c r="AD94" s="12">
        <v>56.533626499999997</v>
      </c>
      <c r="AE94" s="12">
        <v>54.171599299999997</v>
      </c>
      <c r="AF94" s="12">
        <v>-0.40582960000000001</v>
      </c>
      <c r="AG94" s="12">
        <v>42.208605300000002</v>
      </c>
    </row>
    <row r="95" spans="1:33" s="11" customFormat="1" hidden="1" outlineLevel="1" x14ac:dyDescent="0.3">
      <c r="A95" s="11" t="s">
        <v>101</v>
      </c>
      <c r="B95" s="12">
        <v>-3.6984297000000002</v>
      </c>
      <c r="C95" s="12">
        <v>106.27</v>
      </c>
      <c r="D95" s="12">
        <v>0.50122940000000005</v>
      </c>
      <c r="E95" s="17">
        <v>0</v>
      </c>
      <c r="F95" s="13">
        <v>42.963333300000002</v>
      </c>
      <c r="G95" s="12">
        <v>20.084721999999999</v>
      </c>
      <c r="H95" s="12">
        <v>1.1316238999999999</v>
      </c>
      <c r="I95" s="12">
        <v>-5.9316601999999996</v>
      </c>
      <c r="J95" s="12">
        <v>-2.7440692000000002</v>
      </c>
      <c r="K95" s="12">
        <v>0.70194120000000004</v>
      </c>
      <c r="L95" s="12">
        <v>2.278832</v>
      </c>
      <c r="M95" s="12">
        <v>-15.7647166</v>
      </c>
      <c r="N95" s="12">
        <v>1.0491687000000001</v>
      </c>
      <c r="O95" s="12">
        <v>-0.3992097</v>
      </c>
      <c r="P95" s="7">
        <v>892.8</v>
      </c>
      <c r="Q95" s="7">
        <v>81.400000000000006</v>
      </c>
      <c r="R95" s="7">
        <v>8.4</v>
      </c>
      <c r="S95" s="12">
        <v>6.9867651999999998</v>
      </c>
      <c r="T95" s="12">
        <v>0</v>
      </c>
      <c r="U95" s="12">
        <v>108.6566667</v>
      </c>
      <c r="V95" s="12">
        <v>1</v>
      </c>
      <c r="W95" s="12">
        <v>-1.8230561999999999</v>
      </c>
      <c r="X95" s="12">
        <v>-2.10926E-2</v>
      </c>
      <c r="Y95" s="12">
        <v>-3.2608695999999999</v>
      </c>
      <c r="Z95" s="12">
        <v>-0.37701230000000002</v>
      </c>
      <c r="AA95" s="12">
        <v>58.788785099999998</v>
      </c>
      <c r="AB95" s="12">
        <v>18.297663799999999</v>
      </c>
      <c r="AC95" s="12">
        <v>22.6270217</v>
      </c>
      <c r="AD95" s="12">
        <v>59.571714</v>
      </c>
      <c r="AE95" s="12">
        <v>59.285184700000002</v>
      </c>
      <c r="AF95" s="12">
        <v>-0.32869179999999998</v>
      </c>
      <c r="AG95" s="12">
        <v>43.5164981</v>
      </c>
    </row>
    <row r="96" spans="1:33" s="11" customFormat="1" hidden="1" outlineLevel="1" x14ac:dyDescent="0.3">
      <c r="A96" s="11" t="s">
        <v>102</v>
      </c>
      <c r="B96" s="12">
        <v>-3.2236577</v>
      </c>
      <c r="C96" s="12">
        <v>106.2833333</v>
      </c>
      <c r="D96" s="12">
        <v>0.26098979999999999</v>
      </c>
      <c r="E96" s="17">
        <v>0</v>
      </c>
      <c r="F96" s="13">
        <v>44.29</v>
      </c>
      <c r="G96" s="12">
        <v>6.5558633000000004</v>
      </c>
      <c r="H96" s="12">
        <v>-1.1875374999999999</v>
      </c>
      <c r="I96" s="12">
        <v>-8.9922213000000006</v>
      </c>
      <c r="J96" s="12">
        <v>-0.68228149999999999</v>
      </c>
      <c r="K96" s="12">
        <v>-0.98160780000000003</v>
      </c>
      <c r="L96" s="12">
        <v>2.4755169000000001</v>
      </c>
      <c r="M96" s="12">
        <v>-7.9150489000000004</v>
      </c>
      <c r="N96" s="12">
        <v>6.7808821000000004</v>
      </c>
      <c r="O96" s="12">
        <v>4.1140768999999997</v>
      </c>
      <c r="P96" s="7">
        <v>885.5</v>
      </c>
      <c r="Q96" s="7">
        <v>75.599999999999994</v>
      </c>
      <c r="R96" s="7">
        <v>7.9</v>
      </c>
      <c r="S96" s="12">
        <v>6.6427288999999998</v>
      </c>
      <c r="T96" s="12">
        <v>0</v>
      </c>
      <c r="U96" s="12">
        <v>108.08</v>
      </c>
      <c r="V96" s="12">
        <v>1</v>
      </c>
      <c r="W96" s="12">
        <v>2.8618152000000001</v>
      </c>
      <c r="X96" s="12">
        <v>7.2947682</v>
      </c>
      <c r="Y96" s="12">
        <v>2.2920204000000002</v>
      </c>
      <c r="Z96" s="12">
        <v>7.4832611</v>
      </c>
      <c r="AA96" s="12">
        <v>53.159462400000002</v>
      </c>
      <c r="AB96" s="12">
        <v>21.553761300000001</v>
      </c>
      <c r="AC96" s="12">
        <v>22.5125542</v>
      </c>
      <c r="AD96" s="12">
        <v>62.093836199999998</v>
      </c>
      <c r="AE96" s="12">
        <v>59.319614000000001</v>
      </c>
      <c r="AF96" s="12">
        <v>-2.9940700000000001E-2</v>
      </c>
      <c r="AG96" s="12">
        <v>42.214583400000002</v>
      </c>
    </row>
    <row r="97" spans="1:33" s="11" customFormat="1" hidden="1" outlineLevel="1" x14ac:dyDescent="0.3">
      <c r="A97" s="11" t="s">
        <v>103</v>
      </c>
      <c r="B97" s="12">
        <v>-0.1765746</v>
      </c>
      <c r="C97" s="12">
        <v>107.21</v>
      </c>
      <c r="D97" s="12">
        <v>1.3838102999999999</v>
      </c>
      <c r="E97" s="17">
        <v>0</v>
      </c>
      <c r="F97" s="13">
        <v>60.82</v>
      </c>
      <c r="G97" s="12">
        <v>20.821877600000001</v>
      </c>
      <c r="H97" s="12">
        <v>-3.4445918</v>
      </c>
      <c r="I97" s="12">
        <v>-9.6281397999999996</v>
      </c>
      <c r="J97" s="12">
        <v>0.73987539999999996</v>
      </c>
      <c r="K97" s="12">
        <v>-5.2956405999999996</v>
      </c>
      <c r="L97" s="12">
        <v>0.74926409999999999</v>
      </c>
      <c r="M97" s="12">
        <v>21.2296133</v>
      </c>
      <c r="N97" s="12">
        <v>1.9506584</v>
      </c>
      <c r="O97" s="12">
        <v>1.8848902000000001</v>
      </c>
      <c r="P97" s="7">
        <v>858.2</v>
      </c>
      <c r="Q97" s="7">
        <v>74.7</v>
      </c>
      <c r="R97" s="7">
        <v>8.1</v>
      </c>
      <c r="S97" s="12">
        <v>10.105900099999999</v>
      </c>
      <c r="T97" s="12">
        <v>0</v>
      </c>
      <c r="U97" s="12">
        <v>108.95</v>
      </c>
      <c r="V97" s="12">
        <v>1</v>
      </c>
      <c r="W97" s="12">
        <v>2.4787997000000002</v>
      </c>
      <c r="X97" s="12">
        <v>2.2029372</v>
      </c>
      <c r="Y97" s="12">
        <v>2.5453741000000001</v>
      </c>
      <c r="Z97" s="12">
        <v>-2.8242544000000001</v>
      </c>
      <c r="AA97" s="12">
        <v>59.616015500000003</v>
      </c>
      <c r="AB97" s="12">
        <v>21.4286733</v>
      </c>
      <c r="AC97" s="12">
        <v>19.528720400000001</v>
      </c>
      <c r="AD97" s="12">
        <v>65.512716299999994</v>
      </c>
      <c r="AE97" s="12">
        <v>66.086125499999994</v>
      </c>
      <c r="AF97" s="12">
        <v>-0.14981120000000001</v>
      </c>
      <c r="AG97" s="12">
        <v>40.149150300000002</v>
      </c>
    </row>
    <row r="98" spans="1:33" s="11" customFormat="1" hidden="1" outlineLevel="1" x14ac:dyDescent="0.3">
      <c r="A98" s="11" t="s">
        <v>104</v>
      </c>
      <c r="B98" s="12">
        <v>14.630134099999999</v>
      </c>
      <c r="C98" s="12">
        <v>108.82</v>
      </c>
      <c r="D98" s="12">
        <v>2.1752058000000001</v>
      </c>
      <c r="E98" s="17">
        <v>0</v>
      </c>
      <c r="F98" s="13">
        <v>68.833333300000007</v>
      </c>
      <c r="G98" s="12">
        <v>26.576439100000002</v>
      </c>
      <c r="H98" s="12">
        <v>17.005139100000001</v>
      </c>
      <c r="I98" s="12">
        <v>-5.2766469000000003</v>
      </c>
      <c r="J98" s="12">
        <v>12.013425</v>
      </c>
      <c r="K98" s="12">
        <v>18.616125199999999</v>
      </c>
      <c r="L98" s="12">
        <v>4.7522976999999997</v>
      </c>
      <c r="M98" s="12">
        <v>39.260928900000003</v>
      </c>
      <c r="N98" s="12">
        <v>17.998590199999999</v>
      </c>
      <c r="O98" s="12">
        <v>33.761591699999997</v>
      </c>
      <c r="P98" s="7">
        <v>866.7</v>
      </c>
      <c r="Q98" s="7">
        <v>73.400000000000006</v>
      </c>
      <c r="R98" s="7">
        <v>7.9</v>
      </c>
      <c r="S98" s="12">
        <v>12.028511999999999</v>
      </c>
      <c r="T98" s="12">
        <v>0</v>
      </c>
      <c r="U98" s="12">
        <v>111.1733333</v>
      </c>
      <c r="V98" s="12">
        <v>1</v>
      </c>
      <c r="W98" s="12">
        <v>13.3433283</v>
      </c>
      <c r="X98" s="12">
        <v>24.582398399999999</v>
      </c>
      <c r="Y98" s="12">
        <v>43.886576499999997</v>
      </c>
      <c r="Z98" s="12">
        <v>-8.9517830000000007</v>
      </c>
      <c r="AA98" s="12">
        <v>56.5298965</v>
      </c>
      <c r="AB98" s="12">
        <v>21.8877226</v>
      </c>
      <c r="AC98" s="12">
        <v>28.131897800000001</v>
      </c>
      <c r="AD98" s="12">
        <v>61.276794000000002</v>
      </c>
      <c r="AE98" s="12">
        <v>67.827537199999995</v>
      </c>
      <c r="AF98" s="12">
        <v>1.3529245999999999</v>
      </c>
      <c r="AG98" s="12">
        <v>39.7440395</v>
      </c>
    </row>
    <row r="99" spans="1:33" s="11" customFormat="1" hidden="1" outlineLevel="1" x14ac:dyDescent="0.3">
      <c r="A99" s="11" t="s">
        <v>105</v>
      </c>
      <c r="B99" s="12">
        <v>4.8925850000000004</v>
      </c>
      <c r="C99" s="12">
        <v>109.55666669999999</v>
      </c>
      <c r="D99" s="12">
        <v>3.0927511999999999</v>
      </c>
      <c r="E99" s="17">
        <v>0</v>
      </c>
      <c r="F99" s="13">
        <v>73.47</v>
      </c>
      <c r="G99" s="12">
        <v>-2.4634849999999999</v>
      </c>
      <c r="H99" s="12">
        <v>11.165951099999999</v>
      </c>
      <c r="I99" s="12">
        <v>-0.64235019999999998</v>
      </c>
      <c r="J99" s="12">
        <v>7.3191489000000001</v>
      </c>
      <c r="K99" s="12">
        <v>4.7687721999999999</v>
      </c>
      <c r="L99" s="12">
        <v>7.4550999999999998</v>
      </c>
      <c r="M99" s="12">
        <v>32.886961200000002</v>
      </c>
      <c r="N99" s="12">
        <v>9.6018477999999998</v>
      </c>
      <c r="O99" s="12">
        <v>16.357538699999999</v>
      </c>
      <c r="P99" s="7">
        <v>883</v>
      </c>
      <c r="Q99" s="7">
        <v>67.900000000000006</v>
      </c>
      <c r="R99" s="7">
        <v>7.2</v>
      </c>
      <c r="S99" s="12">
        <v>12.428078299999999</v>
      </c>
      <c r="T99" s="12">
        <v>0</v>
      </c>
      <c r="U99" s="12">
        <v>112.6766667</v>
      </c>
      <c r="V99" s="12">
        <v>1</v>
      </c>
      <c r="W99" s="12">
        <v>6.3353358999999996</v>
      </c>
      <c r="X99" s="12">
        <v>22.130801699999999</v>
      </c>
      <c r="Y99" s="12">
        <v>31.312274800000001</v>
      </c>
      <c r="Z99" s="12">
        <v>-6.6705597000000001</v>
      </c>
      <c r="AA99" s="12">
        <v>57.2522685</v>
      </c>
      <c r="AB99" s="12">
        <v>17.255862</v>
      </c>
      <c r="AC99" s="12">
        <v>30.033240500000002</v>
      </c>
      <c r="AD99" s="12">
        <v>65.019989199999998</v>
      </c>
      <c r="AE99" s="12">
        <v>69.561360199999996</v>
      </c>
      <c r="AF99" s="12">
        <v>5.7021226</v>
      </c>
      <c r="AG99" s="12">
        <v>41.3545874</v>
      </c>
    </row>
    <row r="100" spans="1:33" s="11" customFormat="1" hidden="1" outlineLevel="1" x14ac:dyDescent="0.3">
      <c r="A100" s="11" t="s">
        <v>106</v>
      </c>
      <c r="B100" s="12">
        <v>5.3916862999999999</v>
      </c>
      <c r="C100" s="12">
        <v>111.5333333</v>
      </c>
      <c r="D100" s="12">
        <v>4.9396268000000001</v>
      </c>
      <c r="E100" s="17">
        <v>0</v>
      </c>
      <c r="F100" s="13">
        <v>79.586666699999995</v>
      </c>
      <c r="G100" s="12">
        <v>22.3488951</v>
      </c>
      <c r="H100" s="12">
        <v>10.924313</v>
      </c>
      <c r="I100" s="12">
        <v>-13.2809553</v>
      </c>
      <c r="J100" s="12">
        <v>6.5108420999999996</v>
      </c>
      <c r="K100" s="12">
        <v>12.339559599999999</v>
      </c>
      <c r="L100" s="12">
        <v>1.3604991</v>
      </c>
      <c r="M100" s="12">
        <v>7.0866141999999996</v>
      </c>
      <c r="N100" s="12">
        <v>7.6490058999999997</v>
      </c>
      <c r="O100" s="12">
        <v>10.815717299999999</v>
      </c>
      <c r="P100" s="7">
        <v>870</v>
      </c>
      <c r="Q100" s="7">
        <v>66.5</v>
      </c>
      <c r="R100" s="7">
        <v>7.1</v>
      </c>
      <c r="S100" s="12">
        <v>12.4859708</v>
      </c>
      <c r="T100" s="12">
        <v>0</v>
      </c>
      <c r="U100" s="12">
        <v>115.7433333</v>
      </c>
      <c r="V100" s="12">
        <v>1</v>
      </c>
      <c r="W100" s="12">
        <v>4.3455219999999999</v>
      </c>
      <c r="X100" s="12">
        <v>22.101090200000002</v>
      </c>
      <c r="Y100" s="12">
        <v>29.315352699999998</v>
      </c>
      <c r="Z100" s="12">
        <v>2.2632481000000002</v>
      </c>
      <c r="AA100" s="12">
        <v>55.569206899999998</v>
      </c>
      <c r="AB100" s="12">
        <v>23.620765800000001</v>
      </c>
      <c r="AC100" s="12">
        <v>21.587075800000001</v>
      </c>
      <c r="AD100" s="12">
        <v>66.396154600000003</v>
      </c>
      <c r="AE100" s="12">
        <v>67.174280899999999</v>
      </c>
      <c r="AF100" s="12">
        <v>7.5173708000000001</v>
      </c>
      <c r="AG100" s="12">
        <v>44.044631199999998</v>
      </c>
    </row>
    <row r="101" spans="1:33" hidden="1" outlineLevel="1" x14ac:dyDescent="0.3">
      <c r="A101" t="s">
        <v>108</v>
      </c>
      <c r="B101" s="12">
        <v>5.7284746999999996</v>
      </c>
      <c r="C101" s="12">
        <v>114.2266667</v>
      </c>
      <c r="D101" s="12">
        <v>6.5447875</v>
      </c>
      <c r="E101" s="17">
        <v>0</v>
      </c>
      <c r="F101" s="12">
        <v>100.2966667</v>
      </c>
      <c r="G101" s="12">
        <v>3.1463333000000002</v>
      </c>
      <c r="H101" s="12">
        <v>23.583501900000002</v>
      </c>
      <c r="I101" s="12">
        <v>-1.9409027999999999</v>
      </c>
      <c r="J101" s="12">
        <v>7.5124788000000002</v>
      </c>
      <c r="K101" s="12">
        <v>13.0833379</v>
      </c>
      <c r="L101" s="12">
        <v>0.2390438</v>
      </c>
      <c r="M101" s="12">
        <v>12.1003703</v>
      </c>
      <c r="N101" s="12">
        <v>12.997329199999999</v>
      </c>
      <c r="O101" s="12">
        <v>16.392032</v>
      </c>
      <c r="P101" s="7">
        <v>873.8</v>
      </c>
      <c r="Q101" s="7">
        <v>68</v>
      </c>
      <c r="R101" s="7">
        <v>7.3</v>
      </c>
      <c r="S101" s="12">
        <v>7.3097004999999999</v>
      </c>
      <c r="T101" s="12">
        <v>0</v>
      </c>
      <c r="U101" s="12">
        <v>119.0233333</v>
      </c>
      <c r="V101" s="12">
        <v>1</v>
      </c>
      <c r="W101" s="12">
        <v>4.7422025000000003</v>
      </c>
      <c r="X101" s="12">
        <v>33.507511399999999</v>
      </c>
      <c r="Y101" s="12">
        <v>38.571120200000003</v>
      </c>
      <c r="Z101" s="12">
        <v>-5.6921868</v>
      </c>
      <c r="AA101" s="12">
        <v>61.782585099999999</v>
      </c>
      <c r="AB101" s="12">
        <v>18.8543114</v>
      </c>
      <c r="AC101" s="12">
        <v>22.8533446</v>
      </c>
      <c r="AD101" s="12">
        <v>74.107196799999997</v>
      </c>
      <c r="AE101" s="12">
        <v>77.598646400000007</v>
      </c>
      <c r="AF101" s="12">
        <v>8.4260222000000002</v>
      </c>
      <c r="AG101" s="12">
        <v>37.515822</v>
      </c>
    </row>
    <row r="102" spans="1:33" hidden="1" outlineLevel="1" x14ac:dyDescent="0.3">
      <c r="A102" t="s">
        <v>109</v>
      </c>
      <c r="B102" s="12">
        <v>4.2015890999999996</v>
      </c>
      <c r="C102" s="12">
        <v>118.4333333</v>
      </c>
      <c r="D102" s="12">
        <v>8.8341604</v>
      </c>
      <c r="E102" s="17">
        <v>0</v>
      </c>
      <c r="F102" s="12">
        <v>113.5433333</v>
      </c>
      <c r="G102" s="12">
        <v>-1.2380747999999999</v>
      </c>
      <c r="H102" s="12">
        <v>6.1884712000000004</v>
      </c>
      <c r="I102" s="12">
        <v>-1.8688480000000001</v>
      </c>
      <c r="J102" s="12">
        <v>4.4170142999999999</v>
      </c>
      <c r="K102" s="12">
        <v>7.8776504000000003</v>
      </c>
      <c r="L102" s="12">
        <v>2.7248733999999999</v>
      </c>
      <c r="M102" s="12">
        <v>-6.6956300000000004</v>
      </c>
      <c r="N102" s="12">
        <v>13.321680600000001</v>
      </c>
      <c r="O102" s="12">
        <v>9.4872370000000004</v>
      </c>
      <c r="P102" s="7">
        <v>890.7</v>
      </c>
      <c r="Q102" s="7">
        <v>62.8</v>
      </c>
      <c r="R102" s="7">
        <v>6.6</v>
      </c>
      <c r="S102" s="12">
        <v>8.2979851999999994</v>
      </c>
      <c r="T102" s="12">
        <v>0</v>
      </c>
      <c r="U102" s="12">
        <v>129.3666667</v>
      </c>
      <c r="V102" s="12">
        <v>1</v>
      </c>
      <c r="W102" s="12">
        <v>3.6772486999999998</v>
      </c>
      <c r="X102" s="12">
        <v>37.222333399999997</v>
      </c>
      <c r="Y102" s="12">
        <v>32.236485299999998</v>
      </c>
      <c r="Z102" s="12">
        <v>-6.3299690999999996</v>
      </c>
      <c r="AA102" s="12">
        <v>58.907170800000003</v>
      </c>
      <c r="AB102" s="12">
        <v>17.656352300000002</v>
      </c>
      <c r="AC102" s="12">
        <v>28.182394599999999</v>
      </c>
      <c r="AD102" s="12">
        <v>71.2771154</v>
      </c>
      <c r="AE102" s="12">
        <v>76.024072599999997</v>
      </c>
      <c r="AF102" s="12">
        <v>9.1321396999999997</v>
      </c>
      <c r="AG102" s="12">
        <v>38.965268799999997</v>
      </c>
    </row>
    <row r="103" spans="1:33" hidden="1" outlineLevel="1" x14ac:dyDescent="0.3">
      <c r="A103" t="s">
        <v>110</v>
      </c>
      <c r="B103" s="12">
        <v>2.5907767000000002</v>
      </c>
      <c r="C103" s="12">
        <v>120.83</v>
      </c>
      <c r="D103" s="12">
        <v>10.289956500000001</v>
      </c>
      <c r="E103" s="17">
        <v>0.75</v>
      </c>
      <c r="F103" s="12">
        <v>100.7133333</v>
      </c>
      <c r="G103" s="12">
        <v>6.4173840000000002</v>
      </c>
      <c r="H103" s="12">
        <v>6.9760369999999998</v>
      </c>
      <c r="I103" s="12">
        <v>-0.40816720000000001</v>
      </c>
      <c r="J103" s="12">
        <v>0.80511829999999995</v>
      </c>
      <c r="K103" s="12">
        <v>2.7048728999999998</v>
      </c>
      <c r="L103" s="12">
        <v>2.5780511000000002</v>
      </c>
      <c r="M103" s="12">
        <v>-5.1895068000000002</v>
      </c>
      <c r="N103" s="12">
        <v>11.7250376</v>
      </c>
      <c r="O103" s="12">
        <v>10.0333919</v>
      </c>
      <c r="P103" s="7">
        <v>904.5</v>
      </c>
      <c r="Q103" s="7">
        <v>66.400000000000006</v>
      </c>
      <c r="R103" s="7">
        <v>6.9</v>
      </c>
      <c r="S103" s="12">
        <v>6.3203684999999998</v>
      </c>
      <c r="T103" s="12">
        <v>1.25</v>
      </c>
      <c r="U103" s="12">
        <v>137.00666670000001</v>
      </c>
      <c r="V103" s="12">
        <v>1</v>
      </c>
      <c r="W103" s="12">
        <v>-2.593734</v>
      </c>
      <c r="X103" s="12">
        <v>32.855415399999998</v>
      </c>
      <c r="Y103" s="12">
        <v>32.4184695</v>
      </c>
      <c r="Z103" s="12">
        <v>-5.9928546999999996</v>
      </c>
      <c r="AA103" s="12">
        <v>58.988321599999999</v>
      </c>
      <c r="AB103" s="12">
        <v>17.381199299999999</v>
      </c>
      <c r="AC103" s="12">
        <v>28.540970399999999</v>
      </c>
      <c r="AD103" s="12">
        <v>73.8609735</v>
      </c>
      <c r="AE103" s="12">
        <v>78.771464800000004</v>
      </c>
      <c r="AF103" s="12">
        <v>5.7651218999999996</v>
      </c>
      <c r="AG103" s="12">
        <v>38.812194499999997</v>
      </c>
    </row>
    <row r="104" spans="1:33" hidden="1" outlineLevel="1" x14ac:dyDescent="0.3">
      <c r="A104" t="s">
        <v>111</v>
      </c>
      <c r="B104" s="12">
        <v>1.4006327999999999</v>
      </c>
      <c r="C104" s="12">
        <v>123.8</v>
      </c>
      <c r="D104" s="12">
        <v>10.9982068</v>
      </c>
      <c r="E104" s="17">
        <v>1.9166666999999999</v>
      </c>
      <c r="F104" s="12">
        <v>88.556666699999994</v>
      </c>
      <c r="G104" s="12">
        <v>12.1732587</v>
      </c>
      <c r="H104" s="12">
        <v>11.440136300000001</v>
      </c>
      <c r="I104" s="12">
        <v>-13.315407799999999</v>
      </c>
      <c r="J104" s="12">
        <v>1.6425893</v>
      </c>
      <c r="K104" s="12">
        <v>3.1791371000000002</v>
      </c>
      <c r="L104" s="12">
        <v>5.1070517000000004</v>
      </c>
      <c r="M104" s="12">
        <v>8.9089183999999992</v>
      </c>
      <c r="N104" s="12">
        <v>3.9953778999999998</v>
      </c>
      <c r="O104" s="12">
        <v>9.2759110000000007</v>
      </c>
      <c r="P104" s="7">
        <v>895.9</v>
      </c>
      <c r="Q104" s="7">
        <v>63.5</v>
      </c>
      <c r="R104" s="7">
        <v>6.7</v>
      </c>
      <c r="S104" s="12">
        <v>7.9570964999999996</v>
      </c>
      <c r="T104" s="12">
        <v>2.5</v>
      </c>
      <c r="U104" s="12">
        <v>140.49666669999999</v>
      </c>
      <c r="V104" s="12">
        <v>1</v>
      </c>
      <c r="W104" s="12">
        <v>-1.1681056999999999</v>
      </c>
      <c r="X104" s="12">
        <v>18.5227273</v>
      </c>
      <c r="Y104" s="12">
        <v>25.220600000000001</v>
      </c>
      <c r="Z104" s="12">
        <v>-1.2213365</v>
      </c>
      <c r="AA104" s="12">
        <v>59.425119799999997</v>
      </c>
      <c r="AB104" s="12">
        <v>22.0323417</v>
      </c>
      <c r="AC104" s="12">
        <v>23.3123781</v>
      </c>
      <c r="AD104" s="12">
        <v>69.122910000000005</v>
      </c>
      <c r="AE104" s="12">
        <v>73.892749600000002</v>
      </c>
      <c r="AF104" s="12">
        <v>4.3046296000000002</v>
      </c>
      <c r="AG104" s="12">
        <v>41.0295858</v>
      </c>
    </row>
    <row r="105" spans="1:33" collapsed="1" x14ac:dyDescent="0.3">
      <c r="A105" t="s">
        <v>112</v>
      </c>
      <c r="B105" s="12">
        <v>1.3448477999999999</v>
      </c>
      <c r="C105" s="12">
        <v>124.9666667</v>
      </c>
      <c r="D105" s="12">
        <v>9.4023579000000002</v>
      </c>
      <c r="E105" s="17">
        <v>3</v>
      </c>
      <c r="F105" s="12">
        <v>81.173333299999996</v>
      </c>
      <c r="G105" s="12">
        <v>11.351335499999999</v>
      </c>
      <c r="H105" s="12">
        <v>13.599876500000001</v>
      </c>
      <c r="I105" s="12">
        <v>-1.1568769000000001</v>
      </c>
      <c r="J105" s="12">
        <v>-3.9080200000000002E-2</v>
      </c>
      <c r="K105" s="12">
        <v>-1.5335026</v>
      </c>
      <c r="L105" s="12">
        <v>6.8715774999999999</v>
      </c>
      <c r="M105" s="12">
        <v>19.27589</v>
      </c>
      <c r="N105" s="12">
        <v>-0.33416879999999999</v>
      </c>
      <c r="O105" s="12">
        <v>4.7979890999999997</v>
      </c>
      <c r="P105" s="7">
        <v>885.7</v>
      </c>
      <c r="Q105" s="7">
        <v>59.8</v>
      </c>
      <c r="R105" s="7">
        <v>6.4</v>
      </c>
      <c r="S105" s="12">
        <v>12.3175416</v>
      </c>
      <c r="T105" s="12">
        <v>3.5</v>
      </c>
      <c r="U105" s="12">
        <v>142.25</v>
      </c>
      <c r="V105" s="12">
        <v>1</v>
      </c>
      <c r="W105" s="12">
        <v>-5.3479185999999999</v>
      </c>
      <c r="X105" s="12">
        <v>6.2785387999999998</v>
      </c>
      <c r="Y105" s="12">
        <v>8.0841121000000005</v>
      </c>
      <c r="Z105" s="12">
        <v>-5.0968065999999999</v>
      </c>
      <c r="AA105" s="12">
        <v>63.761377799999998</v>
      </c>
      <c r="AB105" s="12">
        <v>18.7348569</v>
      </c>
      <c r="AC105" s="12">
        <v>22.1061707</v>
      </c>
      <c r="AD105" s="12">
        <v>71.129373799999996</v>
      </c>
      <c r="AE105" s="12">
        <v>75.731779200000005</v>
      </c>
      <c r="AF105" s="12">
        <v>3.5166051999999999</v>
      </c>
      <c r="AG105" s="12">
        <v>40.431914900000002</v>
      </c>
    </row>
    <row r="106" spans="1:33" x14ac:dyDescent="0.3">
      <c r="A106" t="s">
        <v>113</v>
      </c>
      <c r="B106" s="12">
        <v>0.20197219999999999</v>
      </c>
      <c r="C106" s="12">
        <v>126.9766667</v>
      </c>
      <c r="D106" s="12">
        <v>7.2136222999999999</v>
      </c>
      <c r="E106" s="17">
        <v>3.75</v>
      </c>
      <c r="F106" s="12">
        <v>78.316666699999999</v>
      </c>
      <c r="G106" s="12">
        <v>12.028545100000001</v>
      </c>
      <c r="H106" s="12">
        <v>27.307736200000001</v>
      </c>
      <c r="I106" s="12">
        <v>3.3017515999999998</v>
      </c>
      <c r="J106" s="12">
        <v>-1.1450696</v>
      </c>
      <c r="K106" s="12">
        <v>-1.8761460999999999</v>
      </c>
      <c r="L106" s="12">
        <v>5.9370877000000002</v>
      </c>
      <c r="M106" s="12">
        <v>0.96320640000000002</v>
      </c>
      <c r="N106" s="12">
        <v>-4.5413721999999996</v>
      </c>
      <c r="O106" s="12">
        <v>-2.4491816000000002</v>
      </c>
      <c r="P106" s="7">
        <v>892.6</v>
      </c>
      <c r="Q106" s="7">
        <v>60.6</v>
      </c>
      <c r="R106" s="7">
        <v>6.4</v>
      </c>
      <c r="S106" s="12">
        <v>11.995104</v>
      </c>
      <c r="T106" s="12">
        <v>4</v>
      </c>
      <c r="U106" s="12">
        <v>144.55000000000001</v>
      </c>
      <c r="V106" s="12">
        <v>1</v>
      </c>
      <c r="W106" s="12">
        <v>-7.2722632999999997</v>
      </c>
      <c r="X106" s="12">
        <v>-6.2417967000000001</v>
      </c>
      <c r="Y106" s="12">
        <v>-7.1643423999999998</v>
      </c>
      <c r="Z106" s="12">
        <v>-4.1197799000000002</v>
      </c>
      <c r="AA106" s="12">
        <v>60.465920400000002</v>
      </c>
      <c r="AB106" s="12">
        <v>18.647684699999999</v>
      </c>
      <c r="AC106" s="12">
        <v>24.438099600000001</v>
      </c>
      <c r="AD106" s="12">
        <v>63.5236467</v>
      </c>
      <c r="AE106" s="12">
        <v>67.075351499999996</v>
      </c>
      <c r="AF106" s="12">
        <v>3.0197992999999999</v>
      </c>
      <c r="AG106" s="12">
        <v>37.580851099999997</v>
      </c>
    </row>
    <row r="107" spans="1:33" x14ac:dyDescent="0.3">
      <c r="A107" t="s">
        <v>114</v>
      </c>
      <c r="B107" s="12">
        <v>-0.19771859999999999</v>
      </c>
      <c r="C107" s="12">
        <v>127.6866667</v>
      </c>
      <c r="D107" s="12">
        <v>5.6746392999999999</v>
      </c>
      <c r="E107" s="17">
        <v>4.25</v>
      </c>
      <c r="F107" s="12">
        <v>86.66</v>
      </c>
      <c r="G107" s="12">
        <v>14.602702000000001</v>
      </c>
      <c r="H107" s="12">
        <v>11.771561800000001</v>
      </c>
      <c r="I107" s="12">
        <v>-1.4020459000000001</v>
      </c>
      <c r="J107" s="12">
        <v>-0.67868479999999998</v>
      </c>
      <c r="K107" s="12">
        <v>-1.2643241999999999</v>
      </c>
      <c r="L107" s="12">
        <v>7.6781185000000001</v>
      </c>
      <c r="M107" s="12">
        <v>3.3994578</v>
      </c>
      <c r="N107" s="12">
        <v>-12.1562146</v>
      </c>
      <c r="O107" s="12">
        <v>-8.3230845000000002</v>
      </c>
      <c r="P107" s="7">
        <v>897.2</v>
      </c>
      <c r="Q107" s="7">
        <v>61.5</v>
      </c>
      <c r="R107" s="7">
        <v>6.5</v>
      </c>
      <c r="S107" s="12">
        <v>11.817087799999999</v>
      </c>
      <c r="T107" s="12">
        <v>4.5</v>
      </c>
      <c r="U107" s="12">
        <v>144.22333330000001</v>
      </c>
      <c r="V107" s="12">
        <v>1</v>
      </c>
      <c r="W107" s="12">
        <v>-6.5910887999999996</v>
      </c>
      <c r="X107" s="12">
        <v>-16.889871299999999</v>
      </c>
      <c r="Y107" s="12">
        <v>-16.9470861</v>
      </c>
      <c r="Z107" s="12">
        <v>-5.2753984999999997</v>
      </c>
      <c r="AA107" s="12">
        <v>61.1350616</v>
      </c>
      <c r="AB107" s="12">
        <v>18.4081154</v>
      </c>
      <c r="AC107" s="12">
        <v>24.4284985</v>
      </c>
      <c r="AD107" s="12">
        <v>60.4316751</v>
      </c>
      <c r="AE107" s="12">
        <v>64.404296000000002</v>
      </c>
      <c r="AF107" s="12">
        <v>2.8282322999999998</v>
      </c>
      <c r="AG107" s="12">
        <v>39.573049599999997</v>
      </c>
    </row>
    <row r="108" spans="1:33" x14ac:dyDescent="0.3">
      <c r="A108" t="s">
        <v>115</v>
      </c>
      <c r="B108" s="7" t="s">
        <v>107</v>
      </c>
      <c r="C108" s="12">
        <v>127.9933333</v>
      </c>
      <c r="D108" s="12">
        <v>3.3871836000000002</v>
      </c>
      <c r="E108" s="17">
        <v>4.5</v>
      </c>
      <c r="F108" s="12">
        <v>83.723333299999993</v>
      </c>
      <c r="G108" s="7" t="s">
        <v>107</v>
      </c>
      <c r="H108" s="7" t="s">
        <v>107</v>
      </c>
      <c r="I108" s="7" t="s">
        <v>107</v>
      </c>
      <c r="J108" s="7" t="s">
        <v>107</v>
      </c>
      <c r="K108" s="7" t="s">
        <v>107</v>
      </c>
      <c r="L108" s="7" t="s">
        <v>107</v>
      </c>
      <c r="M108" s="7" t="s">
        <v>107</v>
      </c>
      <c r="N108" s="7" t="s">
        <v>107</v>
      </c>
      <c r="O108" s="7" t="s">
        <v>107</v>
      </c>
      <c r="P108" s="7" t="s">
        <v>107</v>
      </c>
      <c r="Q108" s="7" t="s">
        <v>107</v>
      </c>
      <c r="R108" s="7" t="s">
        <v>107</v>
      </c>
      <c r="S108" s="7" t="s">
        <v>107</v>
      </c>
      <c r="T108" s="12">
        <v>4.5</v>
      </c>
      <c r="U108" s="12">
        <v>142.50333330000001</v>
      </c>
      <c r="V108" s="12">
        <v>1</v>
      </c>
      <c r="W108" s="7" t="s">
        <v>107</v>
      </c>
      <c r="X108" s="7" t="s">
        <v>107</v>
      </c>
      <c r="Y108" s="7" t="s">
        <v>107</v>
      </c>
      <c r="Z108" s="7" t="s">
        <v>107</v>
      </c>
      <c r="AA108" s="7" t="s">
        <v>107</v>
      </c>
      <c r="AB108" s="7" t="s">
        <v>107</v>
      </c>
      <c r="AC108" s="7" t="s">
        <v>107</v>
      </c>
      <c r="AD108" s="7" t="s">
        <v>107</v>
      </c>
      <c r="AE108" s="7" t="s">
        <v>107</v>
      </c>
      <c r="AF108" s="7" t="s">
        <v>107</v>
      </c>
      <c r="AG108" s="7" t="s">
        <v>107</v>
      </c>
    </row>
  </sheetData>
  <pageMargins left="0.7" right="0.7" top="0.75" bottom="0.75" header="0.3" footer="0.3"/>
  <pageSetup paperSize="9" orientation="portrait" horizontalDpi="90" verticalDpi="9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6F6B4-756B-4862-BF46-332A7EBEF14C}">
  <sheetPr codeName="Tabelle13">
    <tabColor rgb="FF00B0F0"/>
  </sheetPr>
  <dimension ref="A1:AG108"/>
  <sheetViews>
    <sheetView workbookViewId="0">
      <pane xSplit="1" ySplit="12" topLeftCell="V13" activePane="bottomRight" state="frozen"/>
      <selection activeCell="AI1" sqref="AI1:AN1048576"/>
      <selection pane="topRight" activeCell="AI1" sqref="AI1:AN1048576"/>
      <selection pane="bottomLeft" activeCell="AI1" sqref="AI1:AN1048576"/>
      <selection pane="bottomRight" activeCell="AG1" sqref="AG1"/>
    </sheetView>
  </sheetViews>
  <sheetFormatPr defaultColWidth="9.109375" defaultRowHeight="14.4" outlineLevelRow="1" x14ac:dyDescent="0.3"/>
  <cols>
    <col min="2" max="2" width="11.5546875" bestFit="1" customWidth="1"/>
    <col min="4" max="4" width="12.44140625" customWidth="1"/>
    <col min="7" max="7" width="12.44140625" bestFit="1" customWidth="1"/>
    <col min="8" max="8" width="12.33203125" customWidth="1"/>
    <col min="18" max="18" width="11.109375" bestFit="1" customWidth="1"/>
    <col min="19" max="19" width="12.44140625" bestFit="1" customWidth="1"/>
    <col min="24" max="24" width="12.5546875" bestFit="1" customWidth="1"/>
    <col min="25" max="25" width="12.6640625" bestFit="1" customWidth="1"/>
    <col min="27" max="27" width="13.6640625" customWidth="1"/>
  </cols>
  <sheetData>
    <row r="1" spans="1:33" s="8" customFormat="1" x14ac:dyDescent="0.3">
      <c r="A1" s="8" t="s">
        <v>0</v>
      </c>
      <c r="B1" s="8" t="s">
        <v>1</v>
      </c>
      <c r="C1" s="8" t="s">
        <v>2</v>
      </c>
      <c r="D1" s="8" t="s">
        <v>3</v>
      </c>
      <c r="E1" s="14" t="s">
        <v>4</v>
      </c>
      <c r="F1" s="8" t="s">
        <v>5</v>
      </c>
      <c r="G1" s="8" t="s">
        <v>6</v>
      </c>
      <c r="H1" s="8" t="s">
        <v>254</v>
      </c>
      <c r="I1" s="8" t="s">
        <v>7</v>
      </c>
      <c r="J1" s="8" t="s">
        <v>230</v>
      </c>
      <c r="K1" s="8" t="s">
        <v>231</v>
      </c>
      <c r="L1" s="8" t="s">
        <v>232</v>
      </c>
      <c r="M1" s="8" t="s">
        <v>233</v>
      </c>
      <c r="N1" s="8" t="s">
        <v>234</v>
      </c>
      <c r="O1" s="8" t="s">
        <v>235</v>
      </c>
      <c r="P1" s="8" t="s">
        <v>8</v>
      </c>
      <c r="Q1" s="8" t="s">
        <v>9</v>
      </c>
      <c r="R1" s="8" t="s">
        <v>10</v>
      </c>
      <c r="S1" s="8" t="s">
        <v>11</v>
      </c>
      <c r="T1" s="14" t="s">
        <v>12</v>
      </c>
      <c r="U1" s="8" t="s">
        <v>13</v>
      </c>
      <c r="V1" s="8" t="s">
        <v>14</v>
      </c>
      <c r="W1" s="8" t="s">
        <v>15</v>
      </c>
      <c r="X1" s="8" t="s">
        <v>16</v>
      </c>
      <c r="Y1" s="8" t="s">
        <v>17</v>
      </c>
      <c r="Z1" s="8" t="s">
        <v>18</v>
      </c>
      <c r="AA1" s="9" t="s">
        <v>248</v>
      </c>
      <c r="AB1" s="8" t="s">
        <v>236</v>
      </c>
      <c r="AC1" s="8" t="s">
        <v>237</v>
      </c>
      <c r="AD1" s="8" t="s">
        <v>238</v>
      </c>
      <c r="AE1" s="8" t="s">
        <v>239</v>
      </c>
      <c r="AF1" s="14" t="s">
        <v>255</v>
      </c>
      <c r="AG1" s="14" t="s">
        <v>1317</v>
      </c>
    </row>
    <row r="2" spans="1:33" s="10" customFormat="1" outlineLevel="1" x14ac:dyDescent="0.3">
      <c r="A2" s="16" t="s">
        <v>1292</v>
      </c>
      <c r="B2" s="26"/>
      <c r="C2" s="26"/>
      <c r="D2" s="26" t="s">
        <v>198</v>
      </c>
      <c r="E2" s="26"/>
      <c r="F2" s="26"/>
      <c r="G2" s="26" t="s">
        <v>789</v>
      </c>
      <c r="H2" s="26" t="s">
        <v>793</v>
      </c>
      <c r="I2" s="26"/>
      <c r="J2" s="26" t="s">
        <v>796</v>
      </c>
      <c r="K2" s="26" t="s">
        <v>798</v>
      </c>
      <c r="L2" s="26" t="s">
        <v>800</v>
      </c>
      <c r="M2" s="26" t="s">
        <v>802</v>
      </c>
      <c r="N2" s="26" t="s">
        <v>804</v>
      </c>
      <c r="O2" s="26" t="s">
        <v>806</v>
      </c>
      <c r="P2" s="26"/>
      <c r="Q2" s="26"/>
      <c r="R2" s="26"/>
      <c r="S2" s="26" t="s">
        <v>828</v>
      </c>
      <c r="T2" s="26"/>
      <c r="U2" s="26"/>
      <c r="V2" s="26"/>
      <c r="W2" s="26" t="s">
        <v>814</v>
      </c>
      <c r="X2" s="26" t="s">
        <v>816</v>
      </c>
      <c r="Y2" s="26" t="s">
        <v>818</v>
      </c>
      <c r="Z2" s="26"/>
      <c r="AA2" s="26" t="s">
        <v>821</v>
      </c>
      <c r="AB2" s="26"/>
      <c r="AC2" s="26"/>
      <c r="AD2" s="26"/>
      <c r="AE2" s="26"/>
      <c r="AF2" s="26" t="s">
        <v>896</v>
      </c>
      <c r="AG2" s="26"/>
    </row>
    <row r="3" spans="1:33" outlineLevel="1" x14ac:dyDescent="0.3">
      <c r="A3" s="16" t="s">
        <v>1293</v>
      </c>
      <c r="B3" s="27" t="s">
        <v>123</v>
      </c>
      <c r="C3" s="27" t="s">
        <v>195</v>
      </c>
      <c r="D3" s="27" t="s">
        <v>195</v>
      </c>
      <c r="E3" s="27" t="s">
        <v>186</v>
      </c>
      <c r="F3" s="27" t="s">
        <v>125</v>
      </c>
      <c r="G3" s="27" t="s">
        <v>277</v>
      </c>
      <c r="H3" s="27" t="s">
        <v>277</v>
      </c>
      <c r="I3" s="27" t="s">
        <v>277</v>
      </c>
      <c r="J3" s="27" t="s">
        <v>123</v>
      </c>
      <c r="K3" s="27" t="s">
        <v>125</v>
      </c>
      <c r="L3" s="27" t="s">
        <v>125</v>
      </c>
      <c r="M3" s="27" t="s">
        <v>125</v>
      </c>
      <c r="N3" s="27" t="s">
        <v>125</v>
      </c>
      <c r="O3" s="27" t="s">
        <v>125</v>
      </c>
      <c r="P3" s="27" t="s">
        <v>1267</v>
      </c>
      <c r="Q3" s="27" t="s">
        <v>1267</v>
      </c>
      <c r="R3" s="27" t="s">
        <v>1267</v>
      </c>
      <c r="S3" s="27" t="s">
        <v>830</v>
      </c>
      <c r="T3" s="27" t="s">
        <v>811</v>
      </c>
      <c r="U3" s="27" t="s">
        <v>195</v>
      </c>
      <c r="V3" s="27" t="s">
        <v>284</v>
      </c>
      <c r="W3" s="27" t="s">
        <v>125</v>
      </c>
      <c r="X3" s="27" t="s">
        <v>207</v>
      </c>
      <c r="Y3" s="27" t="s">
        <v>207</v>
      </c>
      <c r="Z3" s="27" t="s">
        <v>203</v>
      </c>
      <c r="AA3" s="27" t="s">
        <v>125</v>
      </c>
      <c r="AB3" s="27" t="s">
        <v>125</v>
      </c>
      <c r="AC3" s="27" t="s">
        <v>125</v>
      </c>
      <c r="AD3" s="27" t="s">
        <v>125</v>
      </c>
      <c r="AE3" s="27" t="s">
        <v>125</v>
      </c>
      <c r="AF3" s="27" t="s">
        <v>436</v>
      </c>
      <c r="AG3" s="27" t="s">
        <v>125</v>
      </c>
    </row>
    <row r="4" spans="1:33" outlineLevel="1" x14ac:dyDescent="0.3">
      <c r="A4" s="16" t="s">
        <v>1288</v>
      </c>
      <c r="B4" s="2">
        <v>144396</v>
      </c>
      <c r="C4" s="2">
        <v>77811</v>
      </c>
      <c r="D4" s="2">
        <v>77812</v>
      </c>
      <c r="E4" s="2">
        <v>144399</v>
      </c>
      <c r="F4" s="27">
        <v>101874</v>
      </c>
      <c r="G4" s="2">
        <v>32809</v>
      </c>
      <c r="H4" s="2">
        <v>32808</v>
      </c>
      <c r="I4" s="2">
        <v>89172</v>
      </c>
      <c r="J4" s="2">
        <v>88680</v>
      </c>
      <c r="K4" s="27">
        <v>90880</v>
      </c>
      <c r="L4" s="27">
        <v>90924</v>
      </c>
      <c r="M4" s="27">
        <v>90946</v>
      </c>
      <c r="N4" s="27">
        <v>90990</v>
      </c>
      <c r="O4" s="27">
        <v>91012</v>
      </c>
      <c r="P4" s="2">
        <v>32652</v>
      </c>
      <c r="Q4" s="2">
        <v>32682</v>
      </c>
      <c r="R4" s="2">
        <v>32699</v>
      </c>
      <c r="S4" s="2">
        <v>53413</v>
      </c>
      <c r="T4" s="2">
        <v>785</v>
      </c>
      <c r="U4" s="2">
        <v>574</v>
      </c>
      <c r="V4" s="2">
        <v>966</v>
      </c>
      <c r="W4" s="27">
        <v>32211</v>
      </c>
      <c r="X4" s="2">
        <v>87281</v>
      </c>
      <c r="Y4" s="2">
        <v>87318</v>
      </c>
      <c r="Z4" s="2">
        <v>88753</v>
      </c>
      <c r="AA4" s="27">
        <v>90352</v>
      </c>
      <c r="AB4" s="27">
        <v>90396</v>
      </c>
      <c r="AC4" s="27">
        <v>90418</v>
      </c>
      <c r="AD4" s="27">
        <v>90506</v>
      </c>
      <c r="AE4" s="27">
        <v>90528</v>
      </c>
      <c r="AF4" s="2">
        <v>89626</v>
      </c>
      <c r="AG4" s="27">
        <v>144771</v>
      </c>
    </row>
    <row r="5" spans="1:33" outlineLevel="1" x14ac:dyDescent="0.3">
      <c r="A5" t="s">
        <v>1291</v>
      </c>
      <c r="B5" s="27" t="s">
        <v>221</v>
      </c>
      <c r="C5" s="27" t="s">
        <v>194</v>
      </c>
      <c r="D5" s="27" t="s">
        <v>199</v>
      </c>
      <c r="E5" s="27" t="s">
        <v>253</v>
      </c>
      <c r="F5" s="27" t="s">
        <v>189</v>
      </c>
      <c r="G5" s="27" t="s">
        <v>790</v>
      </c>
      <c r="H5" s="27" t="s">
        <v>794</v>
      </c>
      <c r="I5" s="27" t="s">
        <v>795</v>
      </c>
      <c r="J5" s="27" t="s">
        <v>797</v>
      </c>
      <c r="K5" s="27" t="s">
        <v>799</v>
      </c>
      <c r="L5" s="27" t="s">
        <v>801</v>
      </c>
      <c r="M5" s="27" t="s">
        <v>803</v>
      </c>
      <c r="N5" s="27" t="s">
        <v>805</v>
      </c>
      <c r="O5" s="27" t="s">
        <v>807</v>
      </c>
      <c r="P5" s="27" t="s">
        <v>808</v>
      </c>
      <c r="Q5" s="27" t="s">
        <v>809</v>
      </c>
      <c r="R5" s="27" t="s">
        <v>810</v>
      </c>
      <c r="S5" s="27" t="s">
        <v>829</v>
      </c>
      <c r="T5" s="27" t="s">
        <v>1302</v>
      </c>
      <c r="U5" s="27" t="s">
        <v>812</v>
      </c>
      <c r="V5" s="27" t="s">
        <v>813</v>
      </c>
      <c r="W5" s="27" t="s">
        <v>815</v>
      </c>
      <c r="X5" s="27" t="s">
        <v>817</v>
      </c>
      <c r="Y5" s="27" t="s">
        <v>819</v>
      </c>
      <c r="Z5" s="27" t="s">
        <v>820</v>
      </c>
      <c r="AA5" s="27" t="s">
        <v>822</v>
      </c>
      <c r="AB5" s="27" t="s">
        <v>823</v>
      </c>
      <c r="AC5" s="27" t="s">
        <v>824</v>
      </c>
      <c r="AD5" s="27" t="s">
        <v>825</v>
      </c>
      <c r="AE5" s="27" t="s">
        <v>826</v>
      </c>
      <c r="AF5" s="27" t="s">
        <v>897</v>
      </c>
      <c r="AG5" s="27" t="s">
        <v>827</v>
      </c>
    </row>
    <row r="6" spans="1:33" outlineLevel="1" x14ac:dyDescent="0.3">
      <c r="A6" t="s">
        <v>1289</v>
      </c>
      <c r="B6" s="27" t="s">
        <v>222</v>
      </c>
      <c r="C6" s="27" t="s">
        <v>196</v>
      </c>
      <c r="D6" s="27" t="s">
        <v>196</v>
      </c>
      <c r="E6" s="27" t="s">
        <v>187</v>
      </c>
      <c r="F6" s="27" t="s">
        <v>190</v>
      </c>
      <c r="G6" s="27" t="s">
        <v>791</v>
      </c>
      <c r="H6" s="27" t="s">
        <v>791</v>
      </c>
      <c r="I6" s="27" t="s">
        <v>791</v>
      </c>
      <c r="J6" s="27" t="s">
        <v>791</v>
      </c>
      <c r="K6" s="27" t="s">
        <v>791</v>
      </c>
      <c r="L6" s="27" t="s">
        <v>791</v>
      </c>
      <c r="M6" s="27" t="s">
        <v>791</v>
      </c>
      <c r="N6" s="27" t="s">
        <v>791</v>
      </c>
      <c r="O6" s="27" t="s">
        <v>791</v>
      </c>
      <c r="P6" s="27" t="s">
        <v>791</v>
      </c>
      <c r="Q6" s="27" t="s">
        <v>791</v>
      </c>
      <c r="R6" s="27" t="s">
        <v>791</v>
      </c>
      <c r="S6" s="27" t="s">
        <v>791</v>
      </c>
      <c r="T6" s="27" t="s">
        <v>791</v>
      </c>
      <c r="U6" s="27" t="s">
        <v>791</v>
      </c>
      <c r="V6" s="27" t="s">
        <v>791</v>
      </c>
      <c r="W6" s="27" t="s">
        <v>791</v>
      </c>
      <c r="X6" s="27" t="s">
        <v>791</v>
      </c>
      <c r="Y6" s="27" t="s">
        <v>791</v>
      </c>
      <c r="Z6" s="27" t="s">
        <v>791</v>
      </c>
      <c r="AA6" s="27" t="s">
        <v>791</v>
      </c>
      <c r="AB6" s="27" t="s">
        <v>791</v>
      </c>
      <c r="AC6" s="27" t="s">
        <v>791</v>
      </c>
      <c r="AD6" s="27" t="s">
        <v>791</v>
      </c>
      <c r="AE6" s="27" t="s">
        <v>791</v>
      </c>
      <c r="AF6" s="27" t="s">
        <v>791</v>
      </c>
      <c r="AG6" s="27" t="s">
        <v>791</v>
      </c>
    </row>
    <row r="7" spans="1:33" outlineLevel="1" x14ac:dyDescent="0.3">
      <c r="A7" t="s">
        <v>1290</v>
      </c>
      <c r="B7" s="27" t="s">
        <v>223</v>
      </c>
      <c r="C7" s="27" t="s">
        <v>197</v>
      </c>
      <c r="D7" s="27" t="s">
        <v>197</v>
      </c>
      <c r="E7" s="27" t="s">
        <v>188</v>
      </c>
      <c r="F7" s="27" t="s">
        <v>191</v>
      </c>
      <c r="G7" s="27" t="s">
        <v>792</v>
      </c>
      <c r="H7" s="27" t="s">
        <v>792</v>
      </c>
      <c r="I7" s="27" t="s">
        <v>792</v>
      </c>
      <c r="J7" s="27" t="s">
        <v>792</v>
      </c>
      <c r="K7" s="27" t="s">
        <v>792</v>
      </c>
      <c r="L7" s="27" t="s">
        <v>792</v>
      </c>
      <c r="M7" s="27" t="s">
        <v>792</v>
      </c>
      <c r="N7" s="27" t="s">
        <v>792</v>
      </c>
      <c r="O7" s="27" t="s">
        <v>792</v>
      </c>
      <c r="P7" s="27" t="s">
        <v>792</v>
      </c>
      <c r="Q7" s="27" t="s">
        <v>792</v>
      </c>
      <c r="R7" s="27" t="s">
        <v>792</v>
      </c>
      <c r="S7" s="27" t="s">
        <v>792</v>
      </c>
      <c r="T7" s="27" t="s">
        <v>792</v>
      </c>
      <c r="U7" s="27" t="s">
        <v>792</v>
      </c>
      <c r="V7" s="27" t="s">
        <v>792</v>
      </c>
      <c r="W7" s="27" t="s">
        <v>792</v>
      </c>
      <c r="X7" s="27" t="s">
        <v>792</v>
      </c>
      <c r="Y7" s="27" t="s">
        <v>792</v>
      </c>
      <c r="Z7" s="27" t="s">
        <v>792</v>
      </c>
      <c r="AA7" s="27" t="s">
        <v>792</v>
      </c>
      <c r="AB7" s="27" t="s">
        <v>792</v>
      </c>
      <c r="AC7" s="27" t="s">
        <v>792</v>
      </c>
      <c r="AD7" s="27" t="s">
        <v>792</v>
      </c>
      <c r="AE7" s="27" t="s">
        <v>792</v>
      </c>
      <c r="AF7" s="27" t="s">
        <v>792</v>
      </c>
      <c r="AG7" s="27" t="s">
        <v>792</v>
      </c>
    </row>
    <row r="8" spans="1:33" outlineLevel="1" x14ac:dyDescent="0.3">
      <c r="A8" s="16" t="s">
        <v>489</v>
      </c>
      <c r="B8" s="27" t="s">
        <v>120</v>
      </c>
      <c r="C8" s="27" t="s">
        <v>163</v>
      </c>
      <c r="D8" s="27" t="s">
        <v>163</v>
      </c>
      <c r="E8" s="27" t="s">
        <v>159</v>
      </c>
      <c r="F8" s="27"/>
      <c r="G8" s="27" t="s">
        <v>290</v>
      </c>
      <c r="H8" s="27" t="s">
        <v>293</v>
      </c>
      <c r="I8" s="27" t="s">
        <v>278</v>
      </c>
      <c r="J8" s="27" t="s">
        <v>120</v>
      </c>
      <c r="K8" s="27" t="s">
        <v>126</v>
      </c>
      <c r="L8" s="27" t="s">
        <v>129</v>
      </c>
      <c r="M8" s="27" t="s">
        <v>132</v>
      </c>
      <c r="N8" s="27" t="s">
        <v>135</v>
      </c>
      <c r="O8" s="27" t="s">
        <v>138</v>
      </c>
      <c r="P8" s="27" t="s">
        <v>141</v>
      </c>
      <c r="Q8" s="27" t="s">
        <v>146</v>
      </c>
      <c r="R8" s="27" t="s">
        <v>149</v>
      </c>
      <c r="S8" s="27" t="s">
        <v>154</v>
      </c>
      <c r="T8" s="27" t="s">
        <v>159</v>
      </c>
      <c r="U8" s="27" t="s">
        <v>163</v>
      </c>
      <c r="V8" s="27" t="s">
        <v>168</v>
      </c>
      <c r="W8" s="27" t="s">
        <v>217</v>
      </c>
      <c r="X8" s="27" t="s">
        <v>208</v>
      </c>
      <c r="Y8" s="27" t="s">
        <v>213</v>
      </c>
      <c r="Z8" s="27" t="s">
        <v>204</v>
      </c>
      <c r="AA8" s="27" t="s">
        <v>126</v>
      </c>
      <c r="AB8" s="27" t="s">
        <v>129</v>
      </c>
      <c r="AC8" s="27" t="s">
        <v>132</v>
      </c>
      <c r="AD8" s="27" t="s">
        <v>135</v>
      </c>
      <c r="AE8" s="27" t="s">
        <v>138</v>
      </c>
      <c r="AF8" s="27" t="s">
        <v>351</v>
      </c>
      <c r="AG8" s="27" t="s">
        <v>402</v>
      </c>
    </row>
    <row r="9" spans="1:33" outlineLevel="1" x14ac:dyDescent="0.3">
      <c r="A9" s="16" t="s">
        <v>490</v>
      </c>
      <c r="B9" s="27" t="s">
        <v>121</v>
      </c>
      <c r="C9" s="27" t="s">
        <v>164</v>
      </c>
      <c r="D9" s="27" t="s">
        <v>164</v>
      </c>
      <c r="E9" s="27" t="s">
        <v>160</v>
      </c>
      <c r="F9" s="27"/>
      <c r="G9" s="27" t="s">
        <v>291</v>
      </c>
      <c r="H9" s="27" t="s">
        <v>294</v>
      </c>
      <c r="I9" s="27" t="s">
        <v>279</v>
      </c>
      <c r="J9" s="27" t="s">
        <v>121</v>
      </c>
      <c r="K9" s="27" t="s">
        <v>127</v>
      </c>
      <c r="L9" s="27" t="s">
        <v>130</v>
      </c>
      <c r="M9" s="27" t="s">
        <v>133</v>
      </c>
      <c r="N9" s="27" t="s">
        <v>136</v>
      </c>
      <c r="O9" s="27" t="s">
        <v>139</v>
      </c>
      <c r="P9" s="27" t="s">
        <v>142</v>
      </c>
      <c r="Q9" s="27" t="s">
        <v>147</v>
      </c>
      <c r="R9" s="27" t="s">
        <v>150</v>
      </c>
      <c r="S9" s="27" t="s">
        <v>155</v>
      </c>
      <c r="T9" s="27" t="s">
        <v>160</v>
      </c>
      <c r="U9" s="27" t="s">
        <v>164</v>
      </c>
      <c r="V9" s="27" t="s">
        <v>169</v>
      </c>
      <c r="W9" s="27" t="s">
        <v>218</v>
      </c>
      <c r="X9" s="27" t="s">
        <v>209</v>
      </c>
      <c r="Y9" s="27" t="s">
        <v>214</v>
      </c>
      <c r="Z9" s="27" t="s">
        <v>205</v>
      </c>
      <c r="AA9" s="27" t="s">
        <v>127</v>
      </c>
      <c r="AB9" s="27" t="s">
        <v>130</v>
      </c>
      <c r="AC9" s="27" t="s">
        <v>133</v>
      </c>
      <c r="AD9" s="27" t="s">
        <v>136</v>
      </c>
      <c r="AE9" s="27" t="s">
        <v>139</v>
      </c>
      <c r="AF9" s="27" t="s">
        <v>352</v>
      </c>
      <c r="AG9" s="28" t="s">
        <v>403</v>
      </c>
    </row>
    <row r="10" spans="1:33" outlineLevel="1" x14ac:dyDescent="0.3">
      <c r="A10" s="16" t="s">
        <v>491</v>
      </c>
      <c r="B10" s="27" t="s">
        <v>224</v>
      </c>
      <c r="C10" s="27" t="s">
        <v>165</v>
      </c>
      <c r="D10" s="27" t="s">
        <v>200</v>
      </c>
      <c r="E10" s="27" t="s">
        <v>226</v>
      </c>
      <c r="F10" s="27"/>
      <c r="G10" s="27" t="s">
        <v>175</v>
      </c>
      <c r="H10" s="27" t="s">
        <v>175</v>
      </c>
      <c r="I10" s="27" t="s">
        <v>184</v>
      </c>
      <c r="J10" s="27" t="s">
        <v>122</v>
      </c>
      <c r="K10" s="27" t="s">
        <v>122</v>
      </c>
      <c r="L10" s="27" t="s">
        <v>122</v>
      </c>
      <c r="M10" s="27" t="s">
        <v>122</v>
      </c>
      <c r="N10" s="27" t="s">
        <v>122</v>
      </c>
      <c r="O10" s="27" t="s">
        <v>122</v>
      </c>
      <c r="P10" s="27" t="s">
        <v>143</v>
      </c>
      <c r="Q10" s="27" t="s">
        <v>143</v>
      </c>
      <c r="R10" s="27" t="s">
        <v>151</v>
      </c>
      <c r="S10" s="27" t="s">
        <v>156</v>
      </c>
      <c r="T10" s="27" t="s">
        <v>447</v>
      </c>
      <c r="U10" s="27" t="s">
        <v>165</v>
      </c>
      <c r="V10" s="27" t="s">
        <v>170</v>
      </c>
      <c r="W10" s="27" t="s">
        <v>219</v>
      </c>
      <c r="X10" s="27" t="s">
        <v>210</v>
      </c>
      <c r="Y10" s="27" t="s">
        <v>210</v>
      </c>
      <c r="Z10" s="27" t="s">
        <v>184</v>
      </c>
      <c r="AA10" s="27" t="s">
        <v>184</v>
      </c>
      <c r="AB10" s="27" t="s">
        <v>184</v>
      </c>
      <c r="AC10" s="27" t="s">
        <v>184</v>
      </c>
      <c r="AD10" s="27" t="s">
        <v>184</v>
      </c>
      <c r="AE10" s="27" t="s">
        <v>184</v>
      </c>
      <c r="AF10" s="27" t="s">
        <v>156</v>
      </c>
      <c r="AG10" s="27" t="s">
        <v>184</v>
      </c>
    </row>
    <row r="11" spans="1:33" ht="15.6" customHeight="1" outlineLevel="1" x14ac:dyDescent="0.3">
      <c r="A11" s="16" t="s">
        <v>492</v>
      </c>
      <c r="B11" s="27" t="s">
        <v>225</v>
      </c>
      <c r="C11" s="27" t="s">
        <v>166</v>
      </c>
      <c r="D11" s="27" t="s">
        <v>201</v>
      </c>
      <c r="E11" s="27" t="s">
        <v>227</v>
      </c>
      <c r="F11" s="27"/>
      <c r="G11" s="27" t="s">
        <v>176</v>
      </c>
      <c r="H11" s="27" t="s">
        <v>176</v>
      </c>
      <c r="I11" s="27" t="s">
        <v>185</v>
      </c>
      <c r="J11" s="27" t="s">
        <v>118</v>
      </c>
      <c r="K11" s="27" t="s">
        <v>118</v>
      </c>
      <c r="L11" s="27" t="s">
        <v>118</v>
      </c>
      <c r="M11" s="27" t="s">
        <v>118</v>
      </c>
      <c r="N11" s="27" t="s">
        <v>118</v>
      </c>
      <c r="O11" s="27" t="s">
        <v>118</v>
      </c>
      <c r="P11" s="27" t="s">
        <v>144</v>
      </c>
      <c r="Q11" s="27" t="s">
        <v>144</v>
      </c>
      <c r="R11" s="27" t="s">
        <v>152</v>
      </c>
      <c r="S11" s="27" t="s">
        <v>157</v>
      </c>
      <c r="T11" s="27" t="s">
        <v>448</v>
      </c>
      <c r="U11" s="27" t="s">
        <v>166</v>
      </c>
      <c r="V11" s="27" t="s">
        <v>171</v>
      </c>
      <c r="W11" s="27" t="s">
        <v>220</v>
      </c>
      <c r="X11" s="27" t="s">
        <v>211</v>
      </c>
      <c r="Y11" s="27" t="s">
        <v>211</v>
      </c>
      <c r="Z11" s="27" t="s">
        <v>185</v>
      </c>
      <c r="AA11" s="27" t="s">
        <v>185</v>
      </c>
      <c r="AB11" s="27" t="s">
        <v>185</v>
      </c>
      <c r="AC11" s="27" t="s">
        <v>185</v>
      </c>
      <c r="AD11" s="27" t="s">
        <v>185</v>
      </c>
      <c r="AE11" s="27" t="s">
        <v>185</v>
      </c>
      <c r="AF11" s="27" t="s">
        <v>157</v>
      </c>
      <c r="AG11" s="27" t="s">
        <v>185</v>
      </c>
    </row>
    <row r="12" spans="1:33" outlineLevel="1" x14ac:dyDescent="0.3">
      <c r="B12" s="4" t="str">
        <f>INDEX({"31/01/2024 @ 15:42","macro_id=DBGlobal","label_id=144396","time=Q","year_from=2000","year_to=2023","direction=V","opt_font=true","fontsize=8","opt_color=true","col_desc=Calculation:10;Footnote 1:9;ID:8;Label:7;Reporter:6:s;Reporter:5:long;Indicator:4:s;Indicator:3:l;Unit:2:s;Unit:1:long;","numberformat=0.00","auto_tr=1999|2015","com=true","comp=4"},1,1)</f>
        <v>31/01/2024 @ 15:42</v>
      </c>
      <c r="C12" s="4" t="str">
        <f>INDEX({"31/01/2024 @ 15:42","macro_id=DBGlobal","label_id=77811","time=Q","year_from=2000","year_to=2023","direction=V","opt_font=true","fontsize=8","opt_color=true","col_desc=Calculation:10;Footnote 1:9;ID:8;Label:7;Reporter:6:s;Reporter:5:long;Indicator:4:s;Indicator:3:l;Unit:2:s;Unit:1:long;","numberformat=0.00","auto_tr=1999|2015","com=true","comp=4"},1,1)</f>
        <v>31/01/2024 @ 15:42</v>
      </c>
      <c r="D12" s="6" t="str">
        <f>INDEX({"31/01/2024 @ 15:42","macro_id=DBGlobal","label_id=77812","calc=SubScal(L_77812,100)","time=Q","year_from=2000","year_to=2023","direction=V","opt_font=true","fontsize=8","opt_color=true","col_desc=Calculation:10;Footnote 1:9;ID:8;Label:7;Reporter:6:s;Reporter:5:long;Indicator:4:s;Indicator:3:l;Unit:2:s;Unit:1:long;","numberformat=0.00","auto_tr=1999|2015","com=true","comp=4"},1,1)</f>
        <v>31/01/2024 @ 15:42</v>
      </c>
      <c r="E12" s="4" t="str">
        <f>INDEX({"31/01/2024 @ 15:42","macro_id=DBGlobal","label_id=144399","time=Q","year_from=2000","year_to=2023","direction=V","opt_font=true","fontsize=8","opt_color=true","col_desc=Calculation:10;Footnote 1:9;ID:8;Label:7;Reporter:6:s;Reporter:5:long;Indicator:4:s;Indicator:3:l;Unit:2:s;Unit:1:long;","numberformat=0.00","auto_tr=1999|2015","com=true","comp=4"},1,1)</f>
        <v>31/01/2024 @ 15:42</v>
      </c>
      <c r="F12" s="4" t="str">
        <f>INDEX({"31/01/2024 @ 15:42","macro_id=DBGlobal","label_id=101874","time=Q","year_from=2000","year_to=2023","direction=V","opt_font=true","fontsize=8","opt_color=true","col_desc=Calculation:10;Footnote 1:9;ID:8;Label:7;Reporter:6:s;Reporter:5:long;Indicator:4:s;Indicator:3:l;Unit:2:s;Unit:1:long;","numberformat=0.00","auto_tr=1999|2015","com=true","comp=4"},1,1)</f>
        <v>31/01/2024 @ 15:42</v>
      </c>
      <c r="G12" s="5" t="str">
        <f>INDEX({"31/01/2024 @ 15:42","macro_id=DBGlobal","label_id=32809","calc=SubScal(CPPY=100(L_32809),100)","time=Q","year_from=2000","year_to=2023","direction=V","opt_font=true","fontsize=8","opt_color=true","col_desc=Calculation:10;Footnote 1:9;ID:8;Label:7;Reporter:6:s;Reporter:5:long;Indicator:4:s;Indicator:3:l;Unit:2:s;Unit:1:long;","numberformat=0.00","auto_tr=1999|2015","com=true","comp=4"},1,1)</f>
        <v>31/01/2024 @ 15:42</v>
      </c>
      <c r="H12" s="5" t="str">
        <f>INDEX({"31/01/2024 @ 15:42","macro_id=DBGlobal","label_id=32808","calc=SubScal(CPPY=100(L_32808),100)","time=Q","year_from=2000","year_to=2023","direction=V","opt_font=true","fontsize=8","opt_color=true","col_desc=Calculation:10;Footnote 1:9;ID:8;Label:7;Reporter:6:s;Reporter:5:long;Indicator:4:s;Indicator:3:l;Unit:2:s;Unit:1:long;","numberformat=0.00","auto_tr=1999|2015","com=true","comp=4"},1,1)</f>
        <v>31/01/2024 @ 15:42</v>
      </c>
      <c r="I12" s="1" t="str">
        <f>INDEX({"31/01/2024 @ 15:42","macro_id=DBGlobal","label_id=89172","time=Q","year_from=2000","year_to=2023","direction=V","opt_font=true","fontsize=8","opt_color=true","col_desc=Calculation:10;Footnote 1:9;ID:8;Label:7;Reporter:6:s;Reporter:5:long;Indicator:4:s;Indicator:3:l;Unit:2:s;Unit:1:long;","numberformat=0.00","auto_tr=1999|2015","com=true","comp=4"},1,1)</f>
        <v>31/01/2024 @ 15:42</v>
      </c>
      <c r="J12" s="5" t="str">
        <f>INDEX({"31/01/2024 @ 15:42","macro_id=DBGlobal","label_id=88680","calc=SubScal(CPPY=100(L_88680),100)","time=Q","year_from=2000","year_to=2023","direction=V","opt_font=true","fontsize=8","opt_color=true","col_desc=Calculation:10;Footnote 1:9;ID:8;Label:7;Reporter:6:s;Reporter:5:long;Indicator:4:s;Indicator:3:l;Unit:2:s;Unit:1:long;","numberformat=0.00","auto_tr=1999|2015","com=true","comp=4"},1,1)</f>
        <v>31/01/2024 @ 15:42</v>
      </c>
      <c r="K12" s="5" t="str">
        <f>INDEX({"31/01/2024 @ 15:42","macro_id=DBGlobal","label_id=90880","calc=SubScal(CPPY=100(L_90880),100)","time=Q","year_from=2000","year_to=2023","direction=V","opt_font=true","fontsize=8","opt_color=true","col_desc=Calculation:10;Footnote 1:9;ID:8;Label:7;Reporter:6:s;Reporter:5:long;Indicator:4:s;Indicator:3:l;Unit:2:s;Unit:1:long;","numberformat=0.00","auto_tr=1999|2015","com=true","comp=4"},1,1)</f>
        <v>31/01/2024 @ 15:42</v>
      </c>
      <c r="L12" s="5" t="str">
        <f>INDEX({"31/01/2024 @ 15:42","macro_id=DBGlobal","label_id=90924","calc=SubScal(CPPY=100(L_90924),100)","time=Q","year_from=2000","year_to=2023","direction=V","opt_font=true","fontsize=8","opt_color=true","col_desc=Calculation:10;Footnote 1:9;ID:8;Label:7;Reporter:6:s;Reporter:5:long;Indicator:4:s;Indicator:3:l;Unit:2:s;Unit:1:long;","numberformat=0.00","auto_tr=1999|2015","com=true","comp=4"},1,1)</f>
        <v>31/01/2024 @ 15:42</v>
      </c>
      <c r="M12" s="5" t="str">
        <f>INDEX({"31/01/2024 @ 15:42","macro_id=DBGlobal","label_id=90946","calc=SubScal(CPPY=100(L_90946),100)","time=Q","year_from=2000","year_to=2023","direction=V","opt_font=true","fontsize=8","opt_color=true","col_desc=Calculation:10;Footnote 1:9;ID:8;Label:7;Reporter:6:s;Reporter:5:long;Indicator:4:s;Indicator:3:l;Unit:2:s;Unit:1:long;","numberformat=0.00","auto_tr=1999|2015","com=true","comp=4"},1,1)</f>
        <v>31/01/2024 @ 15:42</v>
      </c>
      <c r="N12" s="5" t="str">
        <f>INDEX({"31/01/2024 @ 15:42","macro_id=DBGlobal","label_id=90990","calc=SubScal(CPPY=100(L_90990),100)","time=Q","year_from=2000","year_to=2023","direction=V","opt_font=true","fontsize=8","opt_color=true","col_desc=Calculation:10;Footnote 1:9;ID:8;Label:7;Reporter:6:s;Reporter:5:long;Indicator:4:s;Indicator:3:l;Unit:2:s;Unit:1:long;","numberformat=0.00","auto_tr=1999|2015","com=true","comp=4"},1,1)</f>
        <v>31/01/2024 @ 15:42</v>
      </c>
      <c r="O12" s="5" t="str">
        <f>INDEX({"31/01/2024 @ 15:42","macro_id=DBGlobal","label_id=91012","calc=SubScal(CPPY=100(L_91012),100)","time=Q","year_from=2000","year_to=2023","direction=V","opt_font=true","fontsize=8","opt_color=true","col_desc=Calculation:10;Footnote 1:9;ID:8;Label:7;Reporter:6:s;Reporter:5:long;Indicator:4:s;Indicator:3:l;Unit:2:s;Unit:1:long;","numberformat=0.00","auto_tr=1999|2015","com=true","comp=4"},1,1)</f>
        <v>31/01/2024 @ 15:42</v>
      </c>
      <c r="P12" s="1" t="str">
        <f>INDEX({"31/01/2024 @ 15:42","macro_id=DBGlobal","label_id=32652","time=Q","year_from=2000","year_to=2023","direction=V","opt_font=true","fontsize=8","opt_color=true","col_desc=Calculation:10;Footnote 1:9;ID:8;Label:7;Reporter:6:s;Reporter:5:long;Indicator:4:s;Indicator:3:l;Unit:2:s;Unit:1:long;","numberformat=0.00","auto_tr=1999|2015","com=true","comp=4"},1,1)</f>
        <v>31/01/2024 @ 15:42</v>
      </c>
      <c r="Q12" s="1" t="str">
        <f>INDEX({"31/01/2024 @ 15:42","macro_id=DBGlobal","label_id=32682","time=Q","year_from=2000","year_to=2023","direction=V","opt_font=true","fontsize=8","opt_color=true","col_desc=Calculation:10;Footnote 1:9;ID:8;Label:7;Reporter:6:s;Reporter:5:long;Indicator:4:s;Indicator:3:l;Unit:2:s;Unit:1:long;","numberformat=0.00","auto_tr=1999|2015","com=true","comp=4"},1,1)</f>
        <v>31/01/2024 @ 15:42</v>
      </c>
      <c r="R12" s="1" t="str">
        <f>INDEX({"31/01/2024 @ 15:42","macro_id=DBGlobal","label_id=32699","time=Q","year_from=2000","year_to=2023","direction=V","opt_font=true","fontsize=8","opt_color=true","col_desc=Calculation:10;Footnote 1:9;ID:8;Label:7;Reporter:6:s;Reporter:5:long;Indicator:4:s;Indicator:3:l;Unit:2:s;Unit:1:long;","numberformat=0.00","auto_tr=1999|2015","com=true","comp=4"},1,1)</f>
        <v>31/01/2024 @ 15:42</v>
      </c>
      <c r="S12" s="5" t="str">
        <f>INDEX({"31/01/2024 @ 15:42","macro_id=DBGlobal","label_id=53413","calc=SubScal(L_53413,100)","time=Q","year_from=2000","year_to=2023","direction=V","opt_font=true","fontsize=8","opt_color=true","col_desc=Calculation:10;Footnote 1:9;ID:8;Label:7;Reporter:6:s;Reporter:5:long;Indicator:4:s;Indicator:3:l;Unit:2:s;Unit:1:long;","numberformat=0.00","auto_tr=1999|2015","com=true","comp=4"},1,1)</f>
        <v>31/01/2024 @ 15:42</v>
      </c>
      <c r="T12" s="1" t="str">
        <f>INDEX({"31/01/2024 @ 15:42","macro_id=DBGlobal","label_id=785","time=Q","year_from=2000","year_to=2023","direction=V","opt_font=true","fontsize=8","opt_color=true","col_desc=Calculation:10;Footnote 1:9;ID:8;Label:7;Reporter:6:s;Reporter:5:long;Indicator:4:s;Indicator:3:l;Unit:2:s;Unit:1:long;","numberformat=0.00","auto_tr=1999|2015","com=true","comp=4"},1,1)</f>
        <v>31/01/2024 @ 15:42</v>
      </c>
      <c r="U12" s="1" t="str">
        <f>INDEX({"31/01/2024 @ 15:42","macro_id=DBGlobal","label_id=574","time=Q","year_from=2000","year_to=2023","direction=V","opt_font=true","fontsize=8","opt_color=true","col_desc=Calculation:10;Footnote 1:9;ID:8;Label:7;Reporter:6:s;Reporter:5:long;Indicator:4:s;Indicator:3:l;Unit:2:s;Unit:1:long;","numberformat=0.00","auto_tr=1999|2015","com=true","comp=4"},1,1)</f>
        <v>31/01/2024 @ 15:42</v>
      </c>
      <c r="V12" s="1" t="str">
        <f>INDEX({"31/01/2024 @ 15:42","macro_id=DBGlobal","label_id=966","time=Q","year_from=2000","year_to=2023","direction=V","opt_font=true","fontsize=8","opt_color=true","col_desc=Calculation:10;Footnote 1:9;ID:8;Label:7;Reporter:6:s;Reporter:5:long;Indicator:4:s;Indicator:3:l;Unit:2:s;Unit:1:long;","numberformat=0.00","auto_tr=1999|2015","com=true","comp=4"},1,1)</f>
        <v>31/01/2024 @ 15:42</v>
      </c>
      <c r="W12" s="5" t="str">
        <f>INDEX({"31/01/2024 @ 15:42","macro_id=DBGlobal","label_id=32211","calc=SubScal(L_32211,100)","time=Q","year_from=2000","year_to=2023","direction=V","opt_font=true","fontsize=8","opt_color=true","col_desc=Calculation:10;Footnote 1:9;ID:8;Label:7;Reporter:6:s;Reporter:5:long;Indicator:4:s;Indicator:3:l;Unit:2:s;Unit:1:long;","numberformat=0.00","auto_tr=1999|2015","com=true","comp=4"},1,1)</f>
        <v>31/01/2024 @ 15:42</v>
      </c>
      <c r="X12" s="6" t="str">
        <f>INDEX({"31/01/2024 @ 15:42","macro_id=DBGlobal","label_id=87281","calc=SubScal(CPPY=100(AddNull(L_87281,L_87355)),100)","time=Q","year_from=2000","year_to=2023","direction=V","opt_font=true","fontsize=8","opt_color=true","col_desc=Calculation:10;Footnote 1:9;ID:8;Label:7;Reporter:6:s;Reporter:5:long;Indicator:4:s;Indicator:3:l;Unit:2:s;Unit:1:long;","numberformat=0.00","auto_tr=1999|2015","com=true","comp=4"},1,1)</f>
        <v>31/01/2024 @ 15:42</v>
      </c>
      <c r="Y12" s="6" t="str">
        <f>INDEX({"31/01/2024 @ 15:42","macro_id=DBGlobal","label_id=87318","calc=SubScal(CPPY=100(AddNull(L_87318,L_87392)),100)","time=Q","year_from=2000","year_to=2023","direction=V","opt_font=true","fontsize=8","opt_color=true","col_desc=Calculation:10;Footnote 1:9;ID:8;Label:7;Reporter:6:s;Reporter:5:long;Indicator:4:s;Indicator:3:l;Unit:2:s;Unit:1:long;","numberformat=0.00","auto_tr=1999|2015","com=true","comp=4"},1,1)</f>
        <v>31/01/2024 @ 15:42</v>
      </c>
      <c r="Z12" s="1" t="str">
        <f>INDEX({"31/01/2024 @ 15:42","macro_id=DBGlobal","label_id=88753","time=Q","year_from=2000","year_to=2023","direction=V","opt_font=true","fontsize=8","opt_color=true","col_desc=Calculation:10;Footnote 1:9;ID:8;Label:7;Reporter:6:s;Reporter:5:long;Indicator:4:s;Indicator:3:l;Unit:2:s;Unit:1:long;","numberformat=0.00","auto_tr=1999|2015","com=true","comp=4"},1,1)</f>
        <v>31/01/2024 @ 15:42</v>
      </c>
      <c r="AA12" s="5" t="str">
        <f>INDEX({"31/01/2024 @ 15:42","macro_id=DBGlobal","label_id=90352","calc=AddNull(L_90352,L_90374)","time=Q","year_from=2000","year_to=2023","direction=V","opt_font=true","fontsize=8","opt_color=true","col_desc=Calculation:10;Footnote 1:9;ID:8;Label:7;Reporter:6:s;Reporter:5:long;Indicator:4:s;Indicator:3:l;Unit:2:s;Unit:1:long;","numberformat=0.00","auto_tr=1999|2015","com=true","comp=4"},1,1)</f>
        <v>31/01/2024 @ 15:42</v>
      </c>
      <c r="AB12" s="1" t="str">
        <f>INDEX({"31/01/2024 @ 15:42","macro_id=DBGlobal","label_id=90396","time=Q","year_from=2000","year_to=2023","direction=V","opt_font=true","fontsize=8","opt_color=true","col_desc=Calculation:10;Footnote 1:9;ID:8;Label:7;Reporter:6:s;Reporter:5:long;Indicator:4:s;Indicator:3:l;Unit:2:s;Unit:1:long;","numberformat=0.00","auto_tr=1999|2015","com=true","comp=4"},1,1)</f>
        <v>31/01/2024 @ 15:42</v>
      </c>
      <c r="AC12" s="1" t="str">
        <f>INDEX({"31/01/2024 @ 15:42","macro_id=DBGlobal","label_id=90418","time=Q","year_from=2000","year_to=2023","direction=V","opt_font=true","fontsize=8","opt_color=true","col_desc=Calculation:10;Footnote 1:9;ID:8;Label:7;Reporter:6:s;Reporter:5:long;Indicator:4:s;Indicator:3:l;Unit:2:s;Unit:1:long;","numberformat=0.00","auto_tr=1999|2015","com=true","comp=4"},1,1)</f>
        <v>31/01/2024 @ 15:42</v>
      </c>
      <c r="AD12" s="1" t="str">
        <f>INDEX({"31/01/2024 @ 15:42","macro_id=DBGlobal","label_id=90506","time=Q","year_from=2000","year_to=2023","direction=V","opt_font=true","fontsize=8","opt_color=true","col_desc=Calculation:10;Footnote 1:9;ID:8;Label:7;Reporter:6:s;Reporter:5:long;Indicator:4:s;Indicator:3:l;Unit:2:s;Unit:1:long;","numberformat=0.00","auto_tr=1999|2015","com=true","comp=4"},1,1)</f>
        <v>31/01/2024 @ 15:42</v>
      </c>
      <c r="AE12" s="1" t="str">
        <f>INDEX({"31/01/2024 @ 15:42","macro_id=DBGlobal","label_id=90528","time=Q","year_from=2000","year_to=2023","direction=V","opt_font=true","fontsize=8","opt_color=true","col_desc=Calculation:10;Footnote 1:9;ID:8;Label:7;Reporter:6:s;Reporter:5:long;Indicator:4:s;Indicator:3:l;Unit:2:s;Unit:1:long;","numberformat=0.00","auto_tr=1999|2015","com=true","comp=4"},1,1)</f>
        <v>31/01/2024 @ 15:42</v>
      </c>
      <c r="AF12" s="5" t="str">
        <f>INDEX({"31/01/2024 @ 15:42","macro_id=DBGlobal","label_id=89626","calc=SubScal(L_89626,100)","time=Q","year_from=2000","year_to=2023","direction=V","opt_font=true","fontsize=8","opt_color=true","col_desc=Calculation:10;Footnote 1:9;ID:8;Label:7;Reporter:6:s;Reporter:5:long;Indicator:4:s;Indicator:3:l;Unit:2:s;Unit:1:long;","numberformat=0.00","auto_tr=1999|2015","com=true","comp=4"},1,1)</f>
        <v>31/01/2024 @ 15:42</v>
      </c>
      <c r="AG12" s="4" t="str">
        <f>INDEX({"31/01/2024 @ 15:42","macro_id=DBGlobal","label_id=144771","time=Q","year_from=2000","year_to=2023","direction=V","opt_font=true","fontsize=8","opt_color=true","col_desc=Calculation:10;Footnote 1:9;ID:8;Label:7;Reporter:6:s;Reporter:5:long;Indicator:4:s;Indicator:3:l;Unit:2:s;Unit:1:long;","numberformat=0.00","auto_tr=1999|2015","com=true","comp=4"},1,1)</f>
        <v>31/01/2024 @ 15:42</v>
      </c>
    </row>
    <row r="13" spans="1:33" s="11" customFormat="1" x14ac:dyDescent="0.3">
      <c r="A13" s="11" t="s">
        <v>19</v>
      </c>
      <c r="B13" s="12">
        <v>4.8214176000000002</v>
      </c>
      <c r="C13" s="12">
        <v>73.989999999999995</v>
      </c>
      <c r="D13" s="12">
        <v>1.7557532</v>
      </c>
      <c r="E13" s="12">
        <v>3.25</v>
      </c>
      <c r="F13" s="13">
        <v>26.926666699999998</v>
      </c>
      <c r="G13" s="12">
        <v>28.797372899999999</v>
      </c>
      <c r="H13" s="12">
        <v>13.4731085</v>
      </c>
      <c r="I13" s="12">
        <v>-10.248904</v>
      </c>
      <c r="J13" s="12">
        <v>-2.8388914999999999</v>
      </c>
      <c r="K13" s="12">
        <v>-1.4934365000000001</v>
      </c>
      <c r="L13" s="12">
        <v>-5.5968743999999999</v>
      </c>
      <c r="M13" s="12">
        <v>-17.648736899999999</v>
      </c>
      <c r="N13" s="12">
        <v>11.9934954</v>
      </c>
      <c r="O13" s="12">
        <v>0.89335819999999999</v>
      </c>
      <c r="P13" s="7">
        <v>2094.6</v>
      </c>
      <c r="Q13" s="7">
        <v>494.2</v>
      </c>
      <c r="R13" s="7">
        <v>18.899999999999999</v>
      </c>
      <c r="S13" s="12">
        <v>8.4199389999999994</v>
      </c>
      <c r="T13" s="12">
        <v>8.8000000000000007</v>
      </c>
      <c r="U13" s="12">
        <v>60.57</v>
      </c>
      <c r="V13" s="12">
        <v>1.3963907</v>
      </c>
      <c r="W13" s="7" t="s">
        <v>107</v>
      </c>
      <c r="X13" s="7" t="s">
        <v>107</v>
      </c>
      <c r="Y13" s="7" t="s">
        <v>107</v>
      </c>
      <c r="Z13" s="12">
        <v>-1.1557006000000001</v>
      </c>
      <c r="AA13" s="12">
        <v>56.256215599999997</v>
      </c>
      <c r="AB13" s="12">
        <v>18.601263400000001</v>
      </c>
      <c r="AC13" s="12">
        <v>26.527810800000001</v>
      </c>
      <c r="AD13" s="12">
        <v>49.735968499999998</v>
      </c>
      <c r="AE13" s="12">
        <v>51.121258400000002</v>
      </c>
      <c r="AF13" s="7" t="s">
        <v>107</v>
      </c>
      <c r="AG13" s="12">
        <v>43.673782699999997</v>
      </c>
    </row>
    <row r="14" spans="1:33" s="11" customFormat="1" hidden="1" outlineLevel="1" x14ac:dyDescent="0.3">
      <c r="A14" s="11" t="s">
        <v>20</v>
      </c>
      <c r="B14" s="12">
        <v>4.3154814000000004</v>
      </c>
      <c r="C14" s="12">
        <v>74.493333300000003</v>
      </c>
      <c r="D14" s="12">
        <v>1.6742492</v>
      </c>
      <c r="E14" s="12">
        <v>3.9166666999999999</v>
      </c>
      <c r="F14" s="13">
        <v>26.766666699999998</v>
      </c>
      <c r="G14" s="12">
        <v>29.201680700000001</v>
      </c>
      <c r="H14" s="12">
        <v>9.4088705000000008</v>
      </c>
      <c r="I14" s="12">
        <v>-15.367690899999999</v>
      </c>
      <c r="J14" s="12">
        <v>0.80851139999999999</v>
      </c>
      <c r="K14" s="12">
        <v>-1.629748</v>
      </c>
      <c r="L14" s="12">
        <v>-4.1926962999999997</v>
      </c>
      <c r="M14" s="12">
        <v>-18.036753300000001</v>
      </c>
      <c r="N14" s="12">
        <v>9.0626969000000006</v>
      </c>
      <c r="O14" s="12">
        <v>-8.1307811999999995</v>
      </c>
      <c r="P14" s="7">
        <v>2083.5</v>
      </c>
      <c r="Q14" s="7">
        <v>490.7</v>
      </c>
      <c r="R14" s="7">
        <v>18.899999999999999</v>
      </c>
      <c r="S14" s="12">
        <v>6.0576730999999997</v>
      </c>
      <c r="T14" s="12">
        <v>8.8000000000000007</v>
      </c>
      <c r="U14" s="12">
        <v>61.46</v>
      </c>
      <c r="V14" s="12">
        <v>1.4021110999999999</v>
      </c>
      <c r="W14" s="7" t="s">
        <v>107</v>
      </c>
      <c r="X14" s="7" t="s">
        <v>107</v>
      </c>
      <c r="Y14" s="7" t="s">
        <v>107</v>
      </c>
      <c r="Z14" s="12">
        <v>-1.7722370999999999</v>
      </c>
      <c r="AA14" s="12">
        <v>53.612271300000003</v>
      </c>
      <c r="AB14" s="12">
        <v>18.970017899999998</v>
      </c>
      <c r="AC14" s="12">
        <v>26.497862000000001</v>
      </c>
      <c r="AD14" s="12">
        <v>51.173428800000003</v>
      </c>
      <c r="AE14" s="12">
        <v>50.253579999999999</v>
      </c>
      <c r="AF14" s="7" t="s">
        <v>107</v>
      </c>
      <c r="AG14" s="12">
        <v>47.564361300000002</v>
      </c>
    </row>
    <row r="15" spans="1:33" s="11" customFormat="1" hidden="1" outlineLevel="1" x14ac:dyDescent="0.3">
      <c r="A15" s="11" t="s">
        <v>21</v>
      </c>
      <c r="B15" s="12">
        <v>3.5071058000000002</v>
      </c>
      <c r="C15" s="12">
        <v>74.819999999999993</v>
      </c>
      <c r="D15" s="12">
        <v>1.9670194000000001</v>
      </c>
      <c r="E15" s="17">
        <v>4.3333332999999996</v>
      </c>
      <c r="F15" s="13">
        <v>30.673333299999999</v>
      </c>
      <c r="G15" s="12">
        <v>26.236725499999999</v>
      </c>
      <c r="H15" s="12">
        <v>6.9365538000000004</v>
      </c>
      <c r="I15" s="12">
        <v>-13.451593600000001</v>
      </c>
      <c r="J15" s="12">
        <v>1.5302275000000001</v>
      </c>
      <c r="K15" s="12">
        <v>4.3744047999999998</v>
      </c>
      <c r="L15" s="12">
        <v>1.7423617</v>
      </c>
      <c r="M15" s="12">
        <v>-0.33966180000000001</v>
      </c>
      <c r="N15" s="12">
        <v>6.1242324999999997</v>
      </c>
      <c r="O15" s="12">
        <v>7.6638052999999999</v>
      </c>
      <c r="P15" s="7">
        <v>2106.3000000000002</v>
      </c>
      <c r="Q15" s="7">
        <v>484.2</v>
      </c>
      <c r="R15" s="7">
        <v>18.5</v>
      </c>
      <c r="S15" s="12">
        <v>4.7817223999999996</v>
      </c>
      <c r="T15" s="12">
        <v>8.8000000000000007</v>
      </c>
      <c r="U15" s="12">
        <v>61.64</v>
      </c>
      <c r="V15" s="12">
        <v>1.4177233</v>
      </c>
      <c r="W15" s="7" t="s">
        <v>107</v>
      </c>
      <c r="X15" s="7" t="s">
        <v>107</v>
      </c>
      <c r="Y15" s="7" t="s">
        <v>107</v>
      </c>
      <c r="Z15" s="12">
        <v>-0.22957269999999999</v>
      </c>
      <c r="AA15" s="12">
        <v>53.702458499999999</v>
      </c>
      <c r="AB15" s="12">
        <v>19.65231</v>
      </c>
      <c r="AC15" s="12">
        <v>25.9911733</v>
      </c>
      <c r="AD15" s="12">
        <v>52.225631700000001</v>
      </c>
      <c r="AE15" s="12">
        <v>51.570351000000002</v>
      </c>
      <c r="AF15" s="7" t="s">
        <v>107</v>
      </c>
      <c r="AG15" s="12">
        <v>48.088032300000002</v>
      </c>
    </row>
    <row r="16" spans="1:33" s="11" customFormat="1" hidden="1" outlineLevel="1" x14ac:dyDescent="0.3">
      <c r="A16" s="11" t="s">
        <v>22</v>
      </c>
      <c r="B16" s="12">
        <v>2.8994336000000001</v>
      </c>
      <c r="C16" s="12">
        <v>75.3</v>
      </c>
      <c r="D16" s="12">
        <v>2.2218200000000001</v>
      </c>
      <c r="E16" s="17">
        <v>4.75</v>
      </c>
      <c r="F16" s="13">
        <v>29.7233333</v>
      </c>
      <c r="G16" s="12">
        <v>7.0356867999999997</v>
      </c>
      <c r="H16" s="12">
        <v>6.6778015999999996</v>
      </c>
      <c r="I16" s="12">
        <v>-11.219447499999999</v>
      </c>
      <c r="J16" s="12">
        <v>5.2533981000000001</v>
      </c>
      <c r="K16" s="12">
        <v>9.0585596000000006</v>
      </c>
      <c r="L16" s="12">
        <v>16.297153600000001</v>
      </c>
      <c r="M16" s="12">
        <v>25.873627800000001</v>
      </c>
      <c r="N16" s="12">
        <v>6.7903881000000004</v>
      </c>
      <c r="O16" s="12">
        <v>22.8702243</v>
      </c>
      <c r="P16" s="7">
        <v>2122.3000000000002</v>
      </c>
      <c r="Q16" s="7">
        <v>471.8</v>
      </c>
      <c r="R16" s="7">
        <v>18</v>
      </c>
      <c r="S16" s="12">
        <v>6.4525825000000001</v>
      </c>
      <c r="T16" s="12">
        <v>8.8000000000000007</v>
      </c>
      <c r="U16" s="12">
        <v>62.343333299999998</v>
      </c>
      <c r="V16" s="12">
        <v>1.4399964999999999</v>
      </c>
      <c r="W16" s="7" t="s">
        <v>107</v>
      </c>
      <c r="X16" s="7" t="s">
        <v>107</v>
      </c>
      <c r="Y16" s="7" t="s">
        <v>107</v>
      </c>
      <c r="Z16" s="12">
        <v>-10.003053299999999</v>
      </c>
      <c r="AA16" s="12">
        <v>54.9293738</v>
      </c>
      <c r="AB16" s="12">
        <v>25.380851400000001</v>
      </c>
      <c r="AC16" s="12">
        <v>29.108615</v>
      </c>
      <c r="AD16" s="12">
        <v>59.128380700000001</v>
      </c>
      <c r="AE16" s="12">
        <v>68.546015499999996</v>
      </c>
      <c r="AF16" s="7" t="s">
        <v>107</v>
      </c>
      <c r="AG16" s="12">
        <v>50.452447999999997</v>
      </c>
    </row>
    <row r="17" spans="1:33" s="11" customFormat="1" hidden="1" outlineLevel="1" x14ac:dyDescent="0.3">
      <c r="A17" s="11" t="s">
        <v>23</v>
      </c>
      <c r="B17" s="12">
        <v>3.0047543999999999</v>
      </c>
      <c r="C17" s="12">
        <v>75.393333299999995</v>
      </c>
      <c r="D17" s="12">
        <v>1.8966527</v>
      </c>
      <c r="E17" s="17">
        <v>4.75</v>
      </c>
      <c r="F17" s="13">
        <v>25.873333299999999</v>
      </c>
      <c r="G17" s="12">
        <v>-4.6907927000000003</v>
      </c>
      <c r="H17" s="12">
        <v>2.3521850999999998</v>
      </c>
      <c r="I17" s="12">
        <v>-6.1448708999999999</v>
      </c>
      <c r="J17" s="12">
        <v>1.4442626000000001</v>
      </c>
      <c r="K17" s="12">
        <v>8.6780185000000003</v>
      </c>
      <c r="L17" s="12">
        <v>1.2116678999999999</v>
      </c>
      <c r="M17" s="12">
        <v>13.294330499999999</v>
      </c>
      <c r="N17" s="12">
        <v>20.932612899999999</v>
      </c>
      <c r="O17" s="12">
        <v>36.390130999999997</v>
      </c>
      <c r="P17" s="7">
        <v>2101.1</v>
      </c>
      <c r="Q17" s="7">
        <v>521.9</v>
      </c>
      <c r="R17" s="7">
        <v>19.7</v>
      </c>
      <c r="S17" s="12">
        <v>7.7918722999999996</v>
      </c>
      <c r="T17" s="12">
        <v>8.8000000000000007</v>
      </c>
      <c r="U17" s="12">
        <v>64.69</v>
      </c>
      <c r="V17" s="12">
        <v>1.4507734000000001</v>
      </c>
      <c r="W17" s="12">
        <v>3.1941031999999998</v>
      </c>
      <c r="X17" s="7" t="s">
        <v>107</v>
      </c>
      <c r="Y17" s="7" t="s">
        <v>107</v>
      </c>
      <c r="Z17" s="12">
        <v>-6.1307789000000001</v>
      </c>
      <c r="AA17" s="12">
        <v>57.894398700000004</v>
      </c>
      <c r="AB17" s="12">
        <v>18.196887700000001</v>
      </c>
      <c r="AC17" s="12">
        <v>29.847984499999999</v>
      </c>
      <c r="AD17" s="12">
        <v>59.5700389</v>
      </c>
      <c r="AE17" s="12">
        <v>65.509309799999997</v>
      </c>
      <c r="AF17" s="7" t="s">
        <v>107</v>
      </c>
      <c r="AG17" s="12">
        <v>47.345157200000003</v>
      </c>
    </row>
    <row r="18" spans="1:33" s="11" customFormat="1" hidden="1" outlineLevel="1" x14ac:dyDescent="0.3">
      <c r="A18" s="11" t="s">
        <v>24</v>
      </c>
      <c r="B18" s="12">
        <v>2.2522867999999998</v>
      </c>
      <c r="C18" s="12">
        <v>76.483333299999998</v>
      </c>
      <c r="D18" s="12">
        <v>2.6713800000000001</v>
      </c>
      <c r="E18" s="17">
        <v>4.5833332999999996</v>
      </c>
      <c r="F18" s="13">
        <v>27.273333300000001</v>
      </c>
      <c r="G18" s="12">
        <v>-9.010453</v>
      </c>
      <c r="H18" s="12">
        <v>10.796102599999999</v>
      </c>
      <c r="I18" s="12">
        <v>-5.9095117000000004</v>
      </c>
      <c r="J18" s="12">
        <v>1.6673952000000001</v>
      </c>
      <c r="K18" s="12">
        <v>2.0642912999999998</v>
      </c>
      <c r="L18" s="12">
        <v>4.6124896</v>
      </c>
      <c r="M18" s="12">
        <v>31.5328929</v>
      </c>
      <c r="N18" s="12">
        <v>10.9432832</v>
      </c>
      <c r="O18" s="12">
        <v>29.143073600000001</v>
      </c>
      <c r="P18" s="7">
        <v>2118</v>
      </c>
      <c r="Q18" s="7">
        <v>509.3</v>
      </c>
      <c r="R18" s="7">
        <v>19.2</v>
      </c>
      <c r="S18" s="12">
        <v>7.4831574999999999</v>
      </c>
      <c r="T18" s="12">
        <v>8.8000000000000007</v>
      </c>
      <c r="U18" s="12">
        <v>65.97</v>
      </c>
      <c r="V18" s="12">
        <v>1.4316648000000001</v>
      </c>
      <c r="W18" s="12">
        <v>6.5054211999999998</v>
      </c>
      <c r="X18" s="7" t="s">
        <v>107</v>
      </c>
      <c r="Y18" s="7" t="s">
        <v>107</v>
      </c>
      <c r="Z18" s="12">
        <v>-9.3051960999999999</v>
      </c>
      <c r="AA18" s="12">
        <v>53.599305100000002</v>
      </c>
      <c r="AB18" s="12">
        <v>19.1673428</v>
      </c>
      <c r="AC18" s="12">
        <v>34.1622573</v>
      </c>
      <c r="AD18" s="12">
        <v>56.734054800000003</v>
      </c>
      <c r="AE18" s="12">
        <v>63.662960099999999</v>
      </c>
      <c r="AF18" s="7" t="s">
        <v>107</v>
      </c>
      <c r="AG18" s="12">
        <v>49.462396900000002</v>
      </c>
    </row>
    <row r="19" spans="1:33" s="11" customFormat="1" hidden="1" outlineLevel="1" x14ac:dyDescent="0.3">
      <c r="A19" s="11" t="s">
        <v>25</v>
      </c>
      <c r="B19" s="12">
        <v>1.8991327</v>
      </c>
      <c r="C19" s="12">
        <v>76.516666700000002</v>
      </c>
      <c r="D19" s="12">
        <v>2.2676647000000001</v>
      </c>
      <c r="E19" s="17">
        <v>4.1666667000000004</v>
      </c>
      <c r="F19" s="13">
        <v>25.303333299999998</v>
      </c>
      <c r="G19" s="12">
        <v>-13.681457200000001</v>
      </c>
      <c r="H19" s="12">
        <v>-3.5375708000000001</v>
      </c>
      <c r="I19" s="12">
        <v>-7.1623999999999999</v>
      </c>
      <c r="J19" s="12">
        <v>2.5732297000000002</v>
      </c>
      <c r="K19" s="12">
        <v>5.6979721999999997</v>
      </c>
      <c r="L19" s="12">
        <v>6.0749938999999999</v>
      </c>
      <c r="M19" s="12">
        <v>12.362775299999999</v>
      </c>
      <c r="N19" s="12">
        <v>12.1592337</v>
      </c>
      <c r="O19" s="12">
        <v>21.410271099999999</v>
      </c>
      <c r="P19" s="7">
        <v>2136.6</v>
      </c>
      <c r="Q19" s="7">
        <v>505.6</v>
      </c>
      <c r="R19" s="7">
        <v>19</v>
      </c>
      <c r="S19" s="12">
        <v>8.3407636000000007</v>
      </c>
      <c r="T19" s="12">
        <v>8.8000000000000007</v>
      </c>
      <c r="U19" s="12">
        <v>66.363333299999994</v>
      </c>
      <c r="V19" s="12">
        <v>1.4305361999999999</v>
      </c>
      <c r="W19" s="12">
        <v>5.0000001000000003</v>
      </c>
      <c r="X19" s="7" t="s">
        <v>107</v>
      </c>
      <c r="Y19" s="7" t="s">
        <v>107</v>
      </c>
      <c r="Z19" s="12">
        <v>-5.3708030000000004</v>
      </c>
      <c r="AA19" s="12">
        <v>55.570187900000001</v>
      </c>
      <c r="AB19" s="12">
        <v>20.3280922</v>
      </c>
      <c r="AC19" s="12">
        <v>29.582789399999999</v>
      </c>
      <c r="AD19" s="12">
        <v>55.640574399999998</v>
      </c>
      <c r="AE19" s="12">
        <v>61.120508600000001</v>
      </c>
      <c r="AF19" s="7" t="s">
        <v>107</v>
      </c>
      <c r="AG19" s="12">
        <v>50.063872199999999</v>
      </c>
    </row>
    <row r="20" spans="1:33" s="11" customFormat="1" hidden="1" outlineLevel="1" x14ac:dyDescent="0.3">
      <c r="A20" s="11" t="s">
        <v>26</v>
      </c>
      <c r="B20" s="12">
        <v>1.4300580000000001</v>
      </c>
      <c r="C20" s="12">
        <v>76.746666700000006</v>
      </c>
      <c r="D20" s="12">
        <v>1.9212041</v>
      </c>
      <c r="E20" s="17">
        <v>3.4166666999999999</v>
      </c>
      <c r="F20" s="13">
        <v>19.350000000000001</v>
      </c>
      <c r="G20" s="12">
        <v>0.23632990000000001</v>
      </c>
      <c r="H20" s="12">
        <v>2.5405452999999998</v>
      </c>
      <c r="I20" s="12">
        <v>-9.4752121999999996</v>
      </c>
      <c r="J20" s="12">
        <v>7.2907731</v>
      </c>
      <c r="K20" s="12">
        <v>5.9100581999999999</v>
      </c>
      <c r="L20" s="12">
        <v>2.2236044000000001</v>
      </c>
      <c r="M20" s="12">
        <v>5.8087280999999997</v>
      </c>
      <c r="N20" s="12">
        <v>2.2176764000000002</v>
      </c>
      <c r="O20" s="12">
        <v>-1.1639428999999999</v>
      </c>
      <c r="P20" s="7">
        <v>2139</v>
      </c>
      <c r="Q20" s="7">
        <v>495.1</v>
      </c>
      <c r="R20" s="7">
        <v>18.7</v>
      </c>
      <c r="S20" s="12">
        <v>9.2639654</v>
      </c>
      <c r="T20" s="12">
        <v>8.8000000000000007</v>
      </c>
      <c r="U20" s="12">
        <v>66.586666699999995</v>
      </c>
      <c r="V20" s="12">
        <v>1.4363893999999999</v>
      </c>
      <c r="W20" s="12">
        <v>-0.15151519999999999</v>
      </c>
      <c r="X20" s="7" t="s">
        <v>107</v>
      </c>
      <c r="Y20" s="7" t="s">
        <v>107</v>
      </c>
      <c r="Z20" s="12">
        <v>-11.5224575</v>
      </c>
      <c r="AA20" s="12">
        <v>56.731600299999997</v>
      </c>
      <c r="AB20" s="12">
        <v>25.449327400000001</v>
      </c>
      <c r="AC20" s="12">
        <v>28.9730293</v>
      </c>
      <c r="AD20" s="12">
        <v>56.819138799999998</v>
      </c>
      <c r="AE20" s="12">
        <v>67.973095799999996</v>
      </c>
      <c r="AF20" s="7" t="s">
        <v>107</v>
      </c>
      <c r="AG20" s="12">
        <v>51.1128894</v>
      </c>
    </row>
    <row r="21" spans="1:33" s="11" customFormat="1" hidden="1" outlineLevel="1" x14ac:dyDescent="0.3">
      <c r="A21" s="11" t="s">
        <v>27</v>
      </c>
      <c r="B21" s="12">
        <v>7.1740499999999999E-2</v>
      </c>
      <c r="C21" s="12">
        <v>77.180000000000007</v>
      </c>
      <c r="D21" s="12">
        <v>2.3697940000000002</v>
      </c>
      <c r="E21" s="17">
        <v>3.25</v>
      </c>
      <c r="F21" s="13">
        <v>21.1333333</v>
      </c>
      <c r="G21" s="12">
        <v>2.1783043000000002</v>
      </c>
      <c r="H21" s="12">
        <v>-0.50546279999999999</v>
      </c>
      <c r="I21" s="12">
        <v>-6.8109288000000001</v>
      </c>
      <c r="J21" s="12">
        <v>3.7794713</v>
      </c>
      <c r="K21" s="12">
        <v>3.5823238000000002</v>
      </c>
      <c r="L21" s="12">
        <v>4.8329884999999999</v>
      </c>
      <c r="M21" s="12">
        <v>2.8469509</v>
      </c>
      <c r="N21" s="12">
        <v>-5.5033953000000002</v>
      </c>
      <c r="O21" s="12">
        <v>-5.1414217000000004</v>
      </c>
      <c r="P21" s="7">
        <v>2104.6</v>
      </c>
      <c r="Q21" s="7">
        <v>508.9</v>
      </c>
      <c r="R21" s="7">
        <v>19.399999999999999</v>
      </c>
      <c r="S21" s="12">
        <v>8.5891531000000008</v>
      </c>
      <c r="T21" s="12">
        <v>7.75</v>
      </c>
      <c r="U21" s="12">
        <v>67.826666700000004</v>
      </c>
      <c r="V21" s="12">
        <v>1.4015911000000001</v>
      </c>
      <c r="W21" s="12">
        <v>-7.9365000000000005E-2</v>
      </c>
      <c r="X21" s="7" t="s">
        <v>107</v>
      </c>
      <c r="Y21" s="7" t="s">
        <v>107</v>
      </c>
      <c r="Z21" s="12">
        <v>-5.8371361000000004</v>
      </c>
      <c r="AA21" s="12">
        <v>58.0441565</v>
      </c>
      <c r="AB21" s="12">
        <v>18.2261451</v>
      </c>
      <c r="AC21" s="12">
        <v>28.891577999999999</v>
      </c>
      <c r="AD21" s="12">
        <v>53.893060900000002</v>
      </c>
      <c r="AE21" s="12">
        <v>59.053754300000001</v>
      </c>
      <c r="AF21" s="7" t="s">
        <v>107</v>
      </c>
      <c r="AG21" s="12">
        <v>47.954566800000002</v>
      </c>
    </row>
    <row r="22" spans="1:33" s="11" customFormat="1" hidden="1" outlineLevel="1" x14ac:dyDescent="0.3">
      <c r="A22" s="11" t="s">
        <v>28</v>
      </c>
      <c r="B22" s="12">
        <v>1.2490021</v>
      </c>
      <c r="C22" s="12">
        <v>77.933333300000001</v>
      </c>
      <c r="D22" s="12">
        <v>1.8958379000000001</v>
      </c>
      <c r="E22" s="17">
        <v>3.25</v>
      </c>
      <c r="F22" s="13">
        <v>25.053333299999998</v>
      </c>
      <c r="G22" s="12">
        <v>0.77353139999999998</v>
      </c>
      <c r="H22" s="12">
        <v>-2.9823529</v>
      </c>
      <c r="I22" s="12">
        <v>-7.0057986000000003</v>
      </c>
      <c r="J22" s="12">
        <v>2.4613900000000002</v>
      </c>
      <c r="K22" s="12">
        <v>6.7027387000000003</v>
      </c>
      <c r="L22" s="12">
        <v>6.3459526999999998</v>
      </c>
      <c r="M22" s="12">
        <v>-7.921665</v>
      </c>
      <c r="N22" s="12">
        <v>6.1593644000000003</v>
      </c>
      <c r="O22" s="12">
        <v>4.9032776</v>
      </c>
      <c r="P22" s="7">
        <v>2114.1999999999998</v>
      </c>
      <c r="Q22" s="7">
        <v>486</v>
      </c>
      <c r="R22" s="7">
        <v>18.600000000000001</v>
      </c>
      <c r="S22" s="12">
        <v>10.485703600000001</v>
      </c>
      <c r="T22" s="12">
        <v>8.25</v>
      </c>
      <c r="U22" s="12">
        <v>68.12</v>
      </c>
      <c r="V22" s="12">
        <v>1.4277811</v>
      </c>
      <c r="W22" s="12">
        <v>6.1080658000000003</v>
      </c>
      <c r="X22" s="7" t="s">
        <v>107</v>
      </c>
      <c r="Y22" s="7" t="s">
        <v>107</v>
      </c>
      <c r="Z22" s="12">
        <v>-9.3593405000000001</v>
      </c>
      <c r="AA22" s="12">
        <v>55.4503342</v>
      </c>
      <c r="AB22" s="12">
        <v>19.8393245</v>
      </c>
      <c r="AC22" s="12">
        <v>31.424591599999999</v>
      </c>
      <c r="AD22" s="12">
        <v>56.3303783</v>
      </c>
      <c r="AE22" s="12">
        <v>63.044628500000002</v>
      </c>
      <c r="AF22" s="7" t="s">
        <v>107</v>
      </c>
      <c r="AG22" s="12">
        <v>48.880108200000002</v>
      </c>
    </row>
    <row r="23" spans="1:33" s="11" customFormat="1" hidden="1" outlineLevel="1" x14ac:dyDescent="0.3">
      <c r="A23" s="11" t="s">
        <v>29</v>
      </c>
      <c r="B23" s="12">
        <v>1.6677649999999999</v>
      </c>
      <c r="C23" s="12">
        <v>77.973333299999993</v>
      </c>
      <c r="D23" s="12">
        <v>1.9037246000000001</v>
      </c>
      <c r="E23" s="17">
        <v>3.25</v>
      </c>
      <c r="F23" s="13">
        <v>26.93</v>
      </c>
      <c r="G23" s="12">
        <v>10.8159755</v>
      </c>
      <c r="H23" s="12">
        <v>12.667370200000001</v>
      </c>
      <c r="I23" s="12">
        <v>-6.6135253000000001</v>
      </c>
      <c r="J23" s="12">
        <v>7.8606939000000002</v>
      </c>
      <c r="K23" s="12">
        <v>5.5759752999999996</v>
      </c>
      <c r="L23" s="12">
        <v>0.96025099999999997</v>
      </c>
      <c r="M23" s="12">
        <v>10.5076628</v>
      </c>
      <c r="N23" s="12">
        <v>14.1082366</v>
      </c>
      <c r="O23" s="12">
        <v>10.423622</v>
      </c>
      <c r="P23" s="7">
        <v>2138.4</v>
      </c>
      <c r="Q23" s="7">
        <v>479.9</v>
      </c>
      <c r="R23" s="7">
        <v>18.2</v>
      </c>
      <c r="S23" s="12">
        <v>8.8258766000000008</v>
      </c>
      <c r="T23" s="12">
        <v>8.25</v>
      </c>
      <c r="U23" s="12">
        <v>68.2</v>
      </c>
      <c r="V23" s="12">
        <v>1.4533514999999999</v>
      </c>
      <c r="W23" s="12">
        <v>8.5552864</v>
      </c>
      <c r="X23" s="7" t="s">
        <v>107</v>
      </c>
      <c r="Y23" s="7" t="s">
        <v>107</v>
      </c>
      <c r="Z23" s="12">
        <v>-5.2274305999999999</v>
      </c>
      <c r="AA23" s="12">
        <v>54.485986099999998</v>
      </c>
      <c r="AB23" s="12">
        <v>19.2450501</v>
      </c>
      <c r="AC23" s="12">
        <v>30.479814900000001</v>
      </c>
      <c r="AD23" s="12">
        <v>57.626125000000002</v>
      </c>
      <c r="AE23" s="12">
        <v>61.836976100000001</v>
      </c>
      <c r="AF23" s="7" t="s">
        <v>107</v>
      </c>
      <c r="AG23" s="12">
        <v>45.7378213</v>
      </c>
    </row>
    <row r="24" spans="1:33" s="11" customFormat="1" hidden="1" outlineLevel="1" x14ac:dyDescent="0.3">
      <c r="A24" s="11" t="s">
        <v>30</v>
      </c>
      <c r="B24" s="12">
        <v>1.208337</v>
      </c>
      <c r="C24" s="12">
        <v>78.4033333</v>
      </c>
      <c r="D24" s="12">
        <v>2.158617</v>
      </c>
      <c r="E24" s="17">
        <v>3.0833333000000001</v>
      </c>
      <c r="F24" s="13">
        <v>26.736666700000001</v>
      </c>
      <c r="G24" s="12">
        <v>20.549211799999998</v>
      </c>
      <c r="H24" s="12">
        <v>15.5944801</v>
      </c>
      <c r="I24" s="12">
        <v>-12.128545600000001</v>
      </c>
      <c r="J24" s="12">
        <v>3.9031939000000002</v>
      </c>
      <c r="K24" s="12">
        <v>6.6478247000000001</v>
      </c>
      <c r="L24" s="12">
        <v>-1.3933678</v>
      </c>
      <c r="M24" s="12">
        <v>-1.1545964</v>
      </c>
      <c r="N24" s="12">
        <v>14.425720500000001</v>
      </c>
      <c r="O24" s="12">
        <v>10.786653299999999</v>
      </c>
      <c r="P24" s="7">
        <v>2150.6</v>
      </c>
      <c r="Q24" s="7">
        <v>472.8</v>
      </c>
      <c r="R24" s="7">
        <v>17.899999999999999</v>
      </c>
      <c r="S24" s="12">
        <v>9.1288897999999996</v>
      </c>
      <c r="T24" s="12">
        <v>6.5</v>
      </c>
      <c r="U24" s="12">
        <v>68.696666699999994</v>
      </c>
      <c r="V24" s="12">
        <v>1.3839872</v>
      </c>
      <c r="W24" s="12">
        <v>13.1259485</v>
      </c>
      <c r="X24" s="7" t="s">
        <v>107</v>
      </c>
      <c r="Y24" s="7" t="s">
        <v>107</v>
      </c>
      <c r="Z24" s="12">
        <v>-10.4111615</v>
      </c>
      <c r="AA24" s="12">
        <v>56.141412299999999</v>
      </c>
      <c r="AB24" s="12">
        <v>23.8245051</v>
      </c>
      <c r="AC24" s="12">
        <v>29.462242</v>
      </c>
      <c r="AD24" s="12">
        <v>59.540591499999998</v>
      </c>
      <c r="AE24" s="12">
        <v>68.969759300000007</v>
      </c>
      <c r="AF24" s="7" t="s">
        <v>107</v>
      </c>
      <c r="AG24" s="12">
        <v>45.296883200000003</v>
      </c>
    </row>
    <row r="25" spans="1:33" s="11" customFormat="1" hidden="1" outlineLevel="1" x14ac:dyDescent="0.3">
      <c r="A25" s="11" t="s">
        <v>31</v>
      </c>
      <c r="B25" s="12">
        <v>1.0748135000000001</v>
      </c>
      <c r="C25" s="12">
        <v>78.856666700000005</v>
      </c>
      <c r="D25" s="12">
        <v>2.1724109</v>
      </c>
      <c r="E25" s="17">
        <v>2.6666666999999999</v>
      </c>
      <c r="F25" s="13">
        <v>31.52</v>
      </c>
      <c r="G25" s="12">
        <v>-3.6145543999999998</v>
      </c>
      <c r="H25" s="12">
        <v>9.3275693000000004</v>
      </c>
      <c r="I25" s="12">
        <v>-1.5344062999999999</v>
      </c>
      <c r="J25" s="12">
        <v>6.1612344999999999</v>
      </c>
      <c r="K25" s="12">
        <v>2.6120523000000002</v>
      </c>
      <c r="L25" s="12">
        <v>5.3996898</v>
      </c>
      <c r="M25" s="12">
        <v>-5.6155650000000001</v>
      </c>
      <c r="N25" s="12">
        <v>23.572663500000001</v>
      </c>
      <c r="O25" s="12">
        <v>12.262269099999999</v>
      </c>
      <c r="P25" s="7">
        <v>2130.8000000000002</v>
      </c>
      <c r="Q25" s="7">
        <v>482.7</v>
      </c>
      <c r="R25" s="7">
        <v>18.399999999999999</v>
      </c>
      <c r="S25" s="12">
        <v>6.4705161000000002</v>
      </c>
      <c r="T25" s="12">
        <v>6.5</v>
      </c>
      <c r="U25" s="12">
        <v>72.923333299999996</v>
      </c>
      <c r="V25" s="12">
        <v>1.3872180999999999</v>
      </c>
      <c r="W25" s="12">
        <v>17.633042100000001</v>
      </c>
      <c r="X25" s="7" t="s">
        <v>107</v>
      </c>
      <c r="Y25" s="7" t="s">
        <v>107</v>
      </c>
      <c r="Z25" s="12">
        <v>-6.4908861</v>
      </c>
      <c r="AA25" s="12">
        <v>57.030195200000001</v>
      </c>
      <c r="AB25" s="12">
        <v>18.197501200000001</v>
      </c>
      <c r="AC25" s="12">
        <v>25.985256</v>
      </c>
      <c r="AD25" s="12">
        <v>59.804341800000003</v>
      </c>
      <c r="AE25" s="12">
        <v>61.0162227</v>
      </c>
      <c r="AF25" s="7" t="s">
        <v>107</v>
      </c>
      <c r="AG25" s="12">
        <v>40.2543425</v>
      </c>
    </row>
    <row r="26" spans="1:33" s="11" customFormat="1" hidden="1" outlineLevel="1" x14ac:dyDescent="0.3">
      <c r="A26" s="11" t="s">
        <v>32</v>
      </c>
      <c r="B26" s="12">
        <v>0.33264589999999999</v>
      </c>
      <c r="C26" s="12">
        <v>79.37</v>
      </c>
      <c r="D26" s="12">
        <v>1.843456</v>
      </c>
      <c r="E26" s="17">
        <v>2.3333333000000001</v>
      </c>
      <c r="F26" s="13">
        <v>26.17</v>
      </c>
      <c r="G26" s="12">
        <v>0.5117292</v>
      </c>
      <c r="H26" s="12">
        <v>10.2983084</v>
      </c>
      <c r="I26" s="12">
        <v>-3.2055213</v>
      </c>
      <c r="J26" s="12">
        <v>6.1422515000000004</v>
      </c>
      <c r="K26" s="12">
        <v>0.87859640000000006</v>
      </c>
      <c r="L26" s="12">
        <v>0.48776649999999999</v>
      </c>
      <c r="M26" s="12">
        <v>-3.7140203999999999</v>
      </c>
      <c r="N26" s="12">
        <v>21.158946400000001</v>
      </c>
      <c r="O26" s="12">
        <v>8.3915877999999999</v>
      </c>
      <c r="P26" s="7">
        <v>2170.1</v>
      </c>
      <c r="Q26" s="7">
        <v>446.8</v>
      </c>
      <c r="R26" s="7">
        <v>17</v>
      </c>
      <c r="S26" s="12">
        <v>5.9194467</v>
      </c>
      <c r="T26" s="12">
        <v>6.5</v>
      </c>
      <c r="U26" s="12">
        <v>73.486666700000001</v>
      </c>
      <c r="V26" s="12">
        <v>1.3683639999999999</v>
      </c>
      <c r="W26" s="12">
        <v>14.464944600000001</v>
      </c>
      <c r="X26" s="7" t="s">
        <v>107</v>
      </c>
      <c r="Y26" s="7" t="s">
        <v>107</v>
      </c>
      <c r="Z26" s="12">
        <v>-6.7306670000000004</v>
      </c>
      <c r="AA26" s="12">
        <v>53.633345900000002</v>
      </c>
      <c r="AB26" s="12">
        <v>19.0491487</v>
      </c>
      <c r="AC26" s="12">
        <v>27.430423699999999</v>
      </c>
      <c r="AD26" s="12">
        <v>61.225165199999999</v>
      </c>
      <c r="AE26" s="12">
        <v>61.338083699999999</v>
      </c>
      <c r="AF26" s="7" t="s">
        <v>107</v>
      </c>
      <c r="AG26" s="12">
        <v>41.547511399999998</v>
      </c>
    </row>
    <row r="27" spans="1:33" s="11" customFormat="1" hidden="1" outlineLevel="1" x14ac:dyDescent="0.3">
      <c r="A27" s="11" t="s">
        <v>33</v>
      </c>
      <c r="B27" s="12">
        <v>0.71308099999999996</v>
      </c>
      <c r="C27" s="12">
        <v>79.47</v>
      </c>
      <c r="D27" s="12">
        <v>1.9194597</v>
      </c>
      <c r="E27" s="17">
        <v>2</v>
      </c>
      <c r="F27" s="13">
        <v>28.45</v>
      </c>
      <c r="G27" s="12">
        <v>-0.31039830000000002</v>
      </c>
      <c r="H27" s="12">
        <v>15.1069871</v>
      </c>
      <c r="I27" s="12">
        <v>-1.0667488000000001</v>
      </c>
      <c r="J27" s="12">
        <v>4.2538212</v>
      </c>
      <c r="K27" s="12">
        <v>-0.14769689999999999</v>
      </c>
      <c r="L27" s="12">
        <v>0.97385370000000004</v>
      </c>
      <c r="M27" s="12">
        <v>-1.9878073000000001</v>
      </c>
      <c r="N27" s="12">
        <v>16.1990552</v>
      </c>
      <c r="O27" s="12">
        <v>7.4744362999999998</v>
      </c>
      <c r="P27" s="7">
        <v>2186.6999999999998</v>
      </c>
      <c r="Q27" s="7">
        <v>449</v>
      </c>
      <c r="R27" s="7">
        <v>17</v>
      </c>
      <c r="S27" s="12">
        <v>6.9986478999999999</v>
      </c>
      <c r="T27" s="12">
        <v>6.25</v>
      </c>
      <c r="U27" s="12">
        <v>74.290000000000006</v>
      </c>
      <c r="V27" s="12">
        <v>1.3858239999999999</v>
      </c>
      <c r="W27" s="12">
        <v>14.721189600000001</v>
      </c>
      <c r="X27" s="7" t="s">
        <v>107</v>
      </c>
      <c r="Y27" s="7" t="s">
        <v>107</v>
      </c>
      <c r="Z27" s="12">
        <v>-4.8487713000000001</v>
      </c>
      <c r="AA27" s="12">
        <v>52.992123100000001</v>
      </c>
      <c r="AB27" s="12">
        <v>18.997088099999999</v>
      </c>
      <c r="AC27" s="12">
        <v>27.925859599999999</v>
      </c>
      <c r="AD27" s="12">
        <v>62.3091425</v>
      </c>
      <c r="AE27" s="12">
        <v>62.223279900000001</v>
      </c>
      <c r="AF27" s="7" t="s">
        <v>107</v>
      </c>
      <c r="AG27" s="12">
        <v>41.405272500000002</v>
      </c>
    </row>
    <row r="28" spans="1:33" s="11" customFormat="1" hidden="1" outlineLevel="1" x14ac:dyDescent="0.3">
      <c r="A28" s="11" t="s">
        <v>34</v>
      </c>
      <c r="B28" s="12">
        <v>1.3127310999999999</v>
      </c>
      <c r="C28" s="12">
        <v>79.913333300000005</v>
      </c>
      <c r="D28" s="12">
        <v>1.9259385</v>
      </c>
      <c r="E28" s="17">
        <v>2</v>
      </c>
      <c r="F28" s="13">
        <v>29.39</v>
      </c>
      <c r="G28" s="12">
        <v>-1.6931278000000001</v>
      </c>
      <c r="H28" s="12">
        <v>10.146047299999999</v>
      </c>
      <c r="I28" s="12">
        <v>-6.3392208999999999</v>
      </c>
      <c r="J28" s="12">
        <v>5.5479706999999996</v>
      </c>
      <c r="K28" s="12">
        <v>-0.136902</v>
      </c>
      <c r="L28" s="12">
        <v>14.883376500000001</v>
      </c>
      <c r="M28" s="12">
        <v>-20.624462900000001</v>
      </c>
      <c r="N28" s="12">
        <v>18.875449499999998</v>
      </c>
      <c r="O28" s="12">
        <v>5.3404369000000003</v>
      </c>
      <c r="P28" s="7">
        <v>2170.6</v>
      </c>
      <c r="Q28" s="7">
        <v>458.2</v>
      </c>
      <c r="R28" s="7">
        <v>17.399999999999999</v>
      </c>
      <c r="S28" s="12">
        <v>5.9872912999999999</v>
      </c>
      <c r="T28" s="12">
        <v>6</v>
      </c>
      <c r="U28" s="12">
        <v>75.1533333</v>
      </c>
      <c r="V28" s="12">
        <v>1.3669035</v>
      </c>
      <c r="W28" s="12">
        <v>15.4258887</v>
      </c>
      <c r="X28" s="7" t="s">
        <v>107</v>
      </c>
      <c r="Y28" s="7" t="s">
        <v>107</v>
      </c>
      <c r="Z28" s="12">
        <v>-5.2853114999999997</v>
      </c>
      <c r="AA28" s="12">
        <v>53.455923900000002</v>
      </c>
      <c r="AB28" s="12">
        <v>25.9895511</v>
      </c>
      <c r="AC28" s="12">
        <v>21.299208700000001</v>
      </c>
      <c r="AD28" s="12">
        <v>65.496321399999999</v>
      </c>
      <c r="AE28" s="12">
        <v>66.241901200000001</v>
      </c>
      <c r="AF28" s="7" t="s">
        <v>107</v>
      </c>
      <c r="AG28" s="12">
        <v>43.242324500000002</v>
      </c>
    </row>
    <row r="29" spans="1:33" s="11" customFormat="1" hidden="1" outlineLevel="1" x14ac:dyDescent="0.3">
      <c r="A29" s="11" t="s">
        <v>35</v>
      </c>
      <c r="B29" s="12">
        <v>2.4350660999999998</v>
      </c>
      <c r="C29" s="12">
        <v>80.113333299999994</v>
      </c>
      <c r="D29" s="12">
        <v>1.5936086</v>
      </c>
      <c r="E29" s="17">
        <v>2</v>
      </c>
      <c r="F29" s="13">
        <v>31.923333299999999</v>
      </c>
      <c r="G29" s="12">
        <v>1.5743229999999999</v>
      </c>
      <c r="H29" s="12">
        <v>11.074551899999999</v>
      </c>
      <c r="I29" s="12">
        <v>1.7324632</v>
      </c>
      <c r="J29" s="12">
        <v>4.6324057999999999</v>
      </c>
      <c r="K29" s="12">
        <v>8.1382712000000001</v>
      </c>
      <c r="L29" s="12">
        <v>-8.5874798999999999</v>
      </c>
      <c r="M29" s="12">
        <v>-3.4823084999999998</v>
      </c>
      <c r="N29" s="12">
        <v>23.5798807</v>
      </c>
      <c r="O29" s="12">
        <v>19.462357399999998</v>
      </c>
      <c r="P29" s="7">
        <v>2128.8000000000002</v>
      </c>
      <c r="Q29" s="7">
        <v>511.5</v>
      </c>
      <c r="R29" s="7">
        <v>19.3</v>
      </c>
      <c r="S29" s="12">
        <v>11.152818699999999</v>
      </c>
      <c r="T29" s="12">
        <v>5.5</v>
      </c>
      <c r="U29" s="12">
        <v>78.926666699999998</v>
      </c>
      <c r="V29" s="12">
        <v>1.3463674999999999</v>
      </c>
      <c r="W29" s="12">
        <v>7.0222821</v>
      </c>
      <c r="X29" s="7" t="s">
        <v>107</v>
      </c>
      <c r="Y29" s="7" t="s">
        <v>107</v>
      </c>
      <c r="Z29" s="12">
        <v>-2.6054917999999998</v>
      </c>
      <c r="AA29" s="12">
        <v>58.553860100000001</v>
      </c>
      <c r="AB29" s="12">
        <v>15.891129299999999</v>
      </c>
      <c r="AC29" s="12">
        <v>23.7131486</v>
      </c>
      <c r="AD29" s="12">
        <v>67.788633799999999</v>
      </c>
      <c r="AE29" s="12">
        <v>65.946771799999993</v>
      </c>
      <c r="AF29" s="12">
        <v>40.693728100000001</v>
      </c>
      <c r="AG29" s="12">
        <v>39.514717900000001</v>
      </c>
    </row>
    <row r="30" spans="1:33" s="11" customFormat="1" hidden="1" outlineLevel="1" x14ac:dyDescent="0.3">
      <c r="A30" s="11" t="s">
        <v>36</v>
      </c>
      <c r="B30" s="12">
        <v>2.9592486</v>
      </c>
      <c r="C30" s="12">
        <v>81.069999999999993</v>
      </c>
      <c r="D30" s="12">
        <v>2.1418672000000001</v>
      </c>
      <c r="E30" s="17">
        <v>2</v>
      </c>
      <c r="F30" s="13">
        <v>35.446666700000002</v>
      </c>
      <c r="G30" s="12">
        <v>5.0156266</v>
      </c>
      <c r="H30" s="12">
        <v>10.416952999999999</v>
      </c>
      <c r="I30" s="12">
        <v>-1.3339051</v>
      </c>
      <c r="J30" s="12">
        <v>3.0023317999999999</v>
      </c>
      <c r="K30" s="12">
        <v>5.1463669999999997</v>
      </c>
      <c r="L30" s="12">
        <v>-2.1373209000000002</v>
      </c>
      <c r="M30" s="12">
        <v>1.0547252</v>
      </c>
      <c r="N30" s="12">
        <v>27.192719400000001</v>
      </c>
      <c r="O30" s="12">
        <v>26.6988907</v>
      </c>
      <c r="P30" s="7">
        <v>2151.9</v>
      </c>
      <c r="Q30" s="7">
        <v>489.4</v>
      </c>
      <c r="R30" s="7">
        <v>18.5</v>
      </c>
      <c r="S30" s="12">
        <v>9.5917887999999998</v>
      </c>
      <c r="T30" s="12">
        <v>4.5</v>
      </c>
      <c r="U30" s="12">
        <v>79.45</v>
      </c>
      <c r="V30" s="12">
        <v>1.3303901</v>
      </c>
      <c r="W30" s="12">
        <v>4.6421663000000004</v>
      </c>
      <c r="X30" s="7" t="s">
        <v>107</v>
      </c>
      <c r="Y30" s="7" t="s">
        <v>107</v>
      </c>
      <c r="Z30" s="12">
        <v>-11.007423599999999</v>
      </c>
      <c r="AA30" s="12">
        <v>56.066007300000003</v>
      </c>
      <c r="AB30" s="12">
        <v>18.210976800000001</v>
      </c>
      <c r="AC30" s="12">
        <v>26.511029499999999</v>
      </c>
      <c r="AD30" s="12">
        <v>74.743359499999997</v>
      </c>
      <c r="AE30" s="12">
        <v>75.5322666</v>
      </c>
      <c r="AF30" s="12">
        <v>42.6892675</v>
      </c>
      <c r="AG30" s="12">
        <v>41.004045499999997</v>
      </c>
    </row>
    <row r="31" spans="1:33" s="11" customFormat="1" hidden="1" outlineLevel="1" x14ac:dyDescent="0.3">
      <c r="A31" s="11" t="s">
        <v>37</v>
      </c>
      <c r="B31" s="12">
        <v>2.4141233999999998</v>
      </c>
      <c r="C31" s="12">
        <v>81.156666700000002</v>
      </c>
      <c r="D31" s="12">
        <v>2.1223942</v>
      </c>
      <c r="E31" s="17">
        <v>2</v>
      </c>
      <c r="F31" s="13">
        <v>41.386666699999999</v>
      </c>
      <c r="G31" s="12">
        <v>7.5839572999999998</v>
      </c>
      <c r="H31" s="12">
        <v>1.7597396000000001</v>
      </c>
      <c r="I31" s="12">
        <v>-2.9378134999999999</v>
      </c>
      <c r="J31" s="12">
        <v>7.6650045000000002</v>
      </c>
      <c r="K31" s="12">
        <v>7.7523474999999999</v>
      </c>
      <c r="L31" s="12">
        <v>-2.6381956999999998</v>
      </c>
      <c r="M31" s="12">
        <v>23.644724799999999</v>
      </c>
      <c r="N31" s="12">
        <v>15.7185323</v>
      </c>
      <c r="O31" s="12">
        <v>19.945594499999999</v>
      </c>
      <c r="P31" s="7">
        <v>2200.9</v>
      </c>
      <c r="Q31" s="7">
        <v>466.9</v>
      </c>
      <c r="R31" s="7">
        <v>17.5</v>
      </c>
      <c r="S31" s="12">
        <v>8.7640016000000003</v>
      </c>
      <c r="T31" s="12">
        <v>4.5</v>
      </c>
      <c r="U31" s="12">
        <v>79.760000000000005</v>
      </c>
      <c r="V31" s="12">
        <v>1.3284096000000001</v>
      </c>
      <c r="W31" s="12">
        <v>1.5554114999999999</v>
      </c>
      <c r="X31" s="7" t="s">
        <v>107</v>
      </c>
      <c r="Y31" s="7" t="s">
        <v>107</v>
      </c>
      <c r="Z31" s="12">
        <v>-8.7740197999999996</v>
      </c>
      <c r="AA31" s="12">
        <v>54.433844999999998</v>
      </c>
      <c r="AB31" s="12">
        <v>17.714514600000001</v>
      </c>
      <c r="AC31" s="12">
        <v>30.716008599999999</v>
      </c>
      <c r="AD31" s="12">
        <v>65.326289299999999</v>
      </c>
      <c r="AE31" s="12">
        <v>68.191491999999997</v>
      </c>
      <c r="AF31" s="12">
        <v>40.7762314</v>
      </c>
      <c r="AG31" s="12">
        <v>41.513409799999998</v>
      </c>
    </row>
    <row r="32" spans="1:33" s="11" customFormat="1" hidden="1" outlineLevel="1" x14ac:dyDescent="0.3">
      <c r="A32" s="11" t="s">
        <v>38</v>
      </c>
      <c r="B32" s="12">
        <v>2.308249</v>
      </c>
      <c r="C32" s="12">
        <v>81.663333300000005</v>
      </c>
      <c r="D32" s="12">
        <v>2.1898724000000001</v>
      </c>
      <c r="E32" s="17">
        <v>2</v>
      </c>
      <c r="F32" s="13">
        <v>44.163333299999998</v>
      </c>
      <c r="G32" s="12">
        <v>3.8775868</v>
      </c>
      <c r="H32" s="12">
        <v>3.4890824999999999</v>
      </c>
      <c r="I32" s="12">
        <v>-6.0657880000000004</v>
      </c>
      <c r="J32" s="12">
        <v>5.6859517000000004</v>
      </c>
      <c r="K32" s="12">
        <v>6.7739906999999997</v>
      </c>
      <c r="L32" s="12">
        <v>-6.6253088</v>
      </c>
      <c r="M32" s="12">
        <v>34.343798900000003</v>
      </c>
      <c r="N32" s="12">
        <v>18.7328127</v>
      </c>
      <c r="O32" s="12">
        <v>23.742861300000001</v>
      </c>
      <c r="P32" s="7">
        <v>2199.8000000000002</v>
      </c>
      <c r="Q32" s="7">
        <v>455.1</v>
      </c>
      <c r="R32" s="7">
        <v>17.100000000000001</v>
      </c>
      <c r="S32" s="12">
        <v>10.9704327</v>
      </c>
      <c r="T32" s="12">
        <v>4</v>
      </c>
      <c r="U32" s="12">
        <v>79.826666700000004</v>
      </c>
      <c r="V32" s="12">
        <v>1.3102193</v>
      </c>
      <c r="W32" s="12">
        <v>1.7431726000000001</v>
      </c>
      <c r="X32" s="7" t="s">
        <v>107</v>
      </c>
      <c r="Y32" s="7" t="s">
        <v>107</v>
      </c>
      <c r="Z32" s="12">
        <v>-7.8790294999999997</v>
      </c>
      <c r="AA32" s="12">
        <v>55.186571399999998</v>
      </c>
      <c r="AB32" s="12">
        <v>22.982238200000001</v>
      </c>
      <c r="AC32" s="12">
        <v>25.726362000000002</v>
      </c>
      <c r="AD32" s="12">
        <v>68.573249200000006</v>
      </c>
      <c r="AE32" s="12">
        <v>72.469227399999994</v>
      </c>
      <c r="AF32" s="12">
        <v>36.875632099999997</v>
      </c>
      <c r="AG32" s="12">
        <v>41.715249700000001</v>
      </c>
    </row>
    <row r="33" spans="1:33" s="11" customFormat="1" hidden="1" outlineLevel="1" x14ac:dyDescent="0.3">
      <c r="A33" s="11" t="s">
        <v>39</v>
      </c>
      <c r="B33" s="12">
        <v>1.1277817999999999</v>
      </c>
      <c r="C33" s="12">
        <v>81.773333300000004</v>
      </c>
      <c r="D33" s="12">
        <v>2.0720646</v>
      </c>
      <c r="E33" s="17">
        <v>2</v>
      </c>
      <c r="F33" s="13">
        <v>47.696666700000002</v>
      </c>
      <c r="G33" s="12">
        <v>22.001801</v>
      </c>
      <c r="H33" s="12">
        <v>12.9898139</v>
      </c>
      <c r="I33" s="12">
        <v>-1.0723087</v>
      </c>
      <c r="J33" s="12">
        <v>4.8186007999999996</v>
      </c>
      <c r="K33" s="12">
        <v>3.0291317000000002</v>
      </c>
      <c r="L33" s="12">
        <v>7.5065847000000003</v>
      </c>
      <c r="M33" s="12">
        <v>21.310464899999999</v>
      </c>
      <c r="N33" s="12">
        <v>7.4254927000000004</v>
      </c>
      <c r="O33" s="12">
        <v>12.5181111</v>
      </c>
      <c r="P33" s="7">
        <v>2176.4</v>
      </c>
      <c r="Q33" s="7">
        <v>465.2</v>
      </c>
      <c r="R33" s="7">
        <v>17.600000000000001</v>
      </c>
      <c r="S33" s="12">
        <v>10.185012499999999</v>
      </c>
      <c r="T33" s="12">
        <v>3</v>
      </c>
      <c r="U33" s="12">
        <v>81.113333299999994</v>
      </c>
      <c r="V33" s="12">
        <v>1.2709950999999999</v>
      </c>
      <c r="W33" s="12">
        <v>-2.8391166999999999</v>
      </c>
      <c r="X33" s="7" t="s">
        <v>107</v>
      </c>
      <c r="Y33" s="7" t="s">
        <v>107</v>
      </c>
      <c r="Z33" s="12">
        <v>-2.3881120999999998</v>
      </c>
      <c r="AA33" s="12">
        <v>58.097809900000001</v>
      </c>
      <c r="AB33" s="12">
        <v>15.920332800000001</v>
      </c>
      <c r="AC33" s="12">
        <v>27.469281500000001</v>
      </c>
      <c r="AD33" s="12">
        <v>68.9292643</v>
      </c>
      <c r="AE33" s="12">
        <v>70.415814600000004</v>
      </c>
      <c r="AF33" s="12">
        <v>38.405084000000002</v>
      </c>
      <c r="AG33" s="12">
        <v>35.850151599999997</v>
      </c>
    </row>
    <row r="34" spans="1:33" s="11" customFormat="1" hidden="1" outlineLevel="1" x14ac:dyDescent="0.3">
      <c r="A34" s="11" t="s">
        <v>40</v>
      </c>
      <c r="B34" s="12">
        <v>2.2042253999999999</v>
      </c>
      <c r="C34" s="12">
        <v>82.71</v>
      </c>
      <c r="D34" s="12">
        <v>2.0229431</v>
      </c>
      <c r="E34" s="17">
        <v>2</v>
      </c>
      <c r="F34" s="13">
        <v>51.626666700000001</v>
      </c>
      <c r="G34" s="12">
        <v>10.533768500000001</v>
      </c>
      <c r="H34" s="12">
        <v>11.0472208</v>
      </c>
      <c r="I34" s="12">
        <v>-1.1609210000000001</v>
      </c>
      <c r="J34" s="12">
        <v>8.8118253000000006</v>
      </c>
      <c r="K34" s="12">
        <v>5.0478709999999998</v>
      </c>
      <c r="L34" s="12">
        <v>3.3919999999999999</v>
      </c>
      <c r="M34" s="12">
        <v>30.8970001</v>
      </c>
      <c r="N34" s="12">
        <v>6.5456474</v>
      </c>
      <c r="O34" s="12">
        <v>10.245941200000001</v>
      </c>
      <c r="P34" s="7">
        <v>2196</v>
      </c>
      <c r="Q34" s="7">
        <v>428.5</v>
      </c>
      <c r="R34" s="7">
        <v>16.3</v>
      </c>
      <c r="S34" s="12">
        <v>8.1759413999999992</v>
      </c>
      <c r="T34" s="12">
        <v>3</v>
      </c>
      <c r="U34" s="12">
        <v>81.483333299999998</v>
      </c>
      <c r="V34" s="12">
        <v>1.2920290000000001</v>
      </c>
      <c r="W34" s="12">
        <v>-0.61614290000000005</v>
      </c>
      <c r="X34" s="7" t="s">
        <v>107</v>
      </c>
      <c r="Y34" s="7" t="s">
        <v>107</v>
      </c>
      <c r="Z34" s="12">
        <v>-12.4405246</v>
      </c>
      <c r="AA34" s="12">
        <v>54.006946300000003</v>
      </c>
      <c r="AB34" s="12">
        <v>17.257846700000002</v>
      </c>
      <c r="AC34" s="12">
        <v>32.438255699999999</v>
      </c>
      <c r="AD34" s="12">
        <v>72.271353199999993</v>
      </c>
      <c r="AE34" s="12">
        <v>75.975205799999998</v>
      </c>
      <c r="AF34" s="12">
        <v>41.367991500000002</v>
      </c>
      <c r="AG34" s="12">
        <v>33.771939400000001</v>
      </c>
    </row>
    <row r="35" spans="1:33" s="11" customFormat="1" hidden="1" outlineLevel="1" x14ac:dyDescent="0.3">
      <c r="A35" s="11" t="s">
        <v>41</v>
      </c>
      <c r="B35" s="12">
        <v>2.0830310000000001</v>
      </c>
      <c r="C35" s="12">
        <v>83.016666700000002</v>
      </c>
      <c r="D35" s="12">
        <v>2.2918634999999998</v>
      </c>
      <c r="E35" s="17">
        <v>2</v>
      </c>
      <c r="F35" s="13">
        <v>61.47</v>
      </c>
      <c r="G35" s="12">
        <v>13.6140206</v>
      </c>
      <c r="H35" s="12">
        <v>15.7711915</v>
      </c>
      <c r="I35" s="12">
        <v>-2.3911004999999999</v>
      </c>
      <c r="J35" s="12">
        <v>7.2163143999999999</v>
      </c>
      <c r="K35" s="12">
        <v>5.5706039000000001</v>
      </c>
      <c r="L35" s="12">
        <v>8.9731729999999992</v>
      </c>
      <c r="M35" s="12">
        <v>-1.4042532999999999</v>
      </c>
      <c r="N35" s="12">
        <v>17.815722900000001</v>
      </c>
      <c r="O35" s="12">
        <v>12.2755584</v>
      </c>
      <c r="P35" s="7">
        <v>2234.6</v>
      </c>
      <c r="Q35" s="7">
        <v>416.9</v>
      </c>
      <c r="R35" s="7">
        <v>15.7</v>
      </c>
      <c r="S35" s="12">
        <v>9.9167044000000004</v>
      </c>
      <c r="T35" s="12">
        <v>3</v>
      </c>
      <c r="U35" s="12">
        <v>81.493333300000003</v>
      </c>
      <c r="V35" s="12">
        <v>1.2837859</v>
      </c>
      <c r="W35" s="12">
        <v>0</v>
      </c>
      <c r="X35" s="7" t="s">
        <v>107</v>
      </c>
      <c r="Y35" s="7" t="s">
        <v>107</v>
      </c>
      <c r="Z35" s="12">
        <v>-3.7935238999999998</v>
      </c>
      <c r="AA35" s="12">
        <v>53.317880600000002</v>
      </c>
      <c r="AB35" s="12">
        <v>17.624453899999999</v>
      </c>
      <c r="AC35" s="12">
        <v>28.785464300000001</v>
      </c>
      <c r="AD35" s="12">
        <v>70.927847600000007</v>
      </c>
      <c r="AE35" s="12">
        <v>70.655646500000003</v>
      </c>
      <c r="AF35" s="12">
        <v>42.726973800000003</v>
      </c>
      <c r="AG35" s="12">
        <v>34.028051499999997</v>
      </c>
    </row>
    <row r="36" spans="1:33" s="11" customFormat="1" hidden="1" outlineLevel="1" x14ac:dyDescent="0.3">
      <c r="A36" s="11" t="s">
        <v>42</v>
      </c>
      <c r="B36" s="12">
        <v>2.0666498999999998</v>
      </c>
      <c r="C36" s="12">
        <v>83.51</v>
      </c>
      <c r="D36" s="12">
        <v>2.2613167999999999</v>
      </c>
      <c r="E36" s="17">
        <v>2.0833333000000001</v>
      </c>
      <c r="F36" s="13">
        <v>56.88</v>
      </c>
      <c r="G36" s="12">
        <v>13.282761000000001</v>
      </c>
      <c r="H36" s="12">
        <v>12.8779763</v>
      </c>
      <c r="I36" s="12">
        <v>-6.4524737999999999</v>
      </c>
      <c r="J36" s="12">
        <v>5.5469428000000001</v>
      </c>
      <c r="K36" s="12">
        <v>4.4713532000000002</v>
      </c>
      <c r="L36" s="12">
        <v>4.6075527000000003</v>
      </c>
      <c r="M36" s="12">
        <v>26.274474699999999</v>
      </c>
      <c r="N36" s="12">
        <v>18.268250900000002</v>
      </c>
      <c r="O36" s="12">
        <v>23.356572199999999</v>
      </c>
      <c r="P36" s="7">
        <v>2254</v>
      </c>
      <c r="Q36" s="7">
        <v>409.5</v>
      </c>
      <c r="R36" s="7">
        <v>15.4</v>
      </c>
      <c r="S36" s="12">
        <v>8.4144295000000007</v>
      </c>
      <c r="T36" s="12">
        <v>3</v>
      </c>
      <c r="U36" s="12">
        <v>82.74</v>
      </c>
      <c r="V36" s="12">
        <v>1.2776670999999999</v>
      </c>
      <c r="W36" s="12">
        <v>-5.7110300000000003E-2</v>
      </c>
      <c r="X36" s="7" t="s">
        <v>107</v>
      </c>
      <c r="Y36" s="7" t="s">
        <v>107</v>
      </c>
      <c r="Z36" s="12">
        <v>-14.001333799999999</v>
      </c>
      <c r="AA36" s="12">
        <v>54.825270199999999</v>
      </c>
      <c r="AB36" s="12">
        <v>22.6185005</v>
      </c>
      <c r="AC36" s="12">
        <v>29.836019400000001</v>
      </c>
      <c r="AD36" s="12">
        <v>76.526754299999993</v>
      </c>
      <c r="AE36" s="12">
        <v>83.806544400000007</v>
      </c>
      <c r="AF36" s="12">
        <v>41.202988300000001</v>
      </c>
      <c r="AG36" s="12">
        <v>34.731617100000001</v>
      </c>
    </row>
    <row r="37" spans="1:33" s="11" customFormat="1" hidden="1" outlineLevel="1" x14ac:dyDescent="0.3">
      <c r="A37" s="11" t="s">
        <v>43</v>
      </c>
      <c r="B37" s="12">
        <v>3.8191847000000001</v>
      </c>
      <c r="C37" s="12">
        <v>83.573333300000002</v>
      </c>
      <c r="D37" s="12">
        <v>2.2012065999999999</v>
      </c>
      <c r="E37" s="17">
        <v>2.3333333000000001</v>
      </c>
      <c r="F37" s="13">
        <v>61.753333300000001</v>
      </c>
      <c r="G37" s="12">
        <v>8.7027511000000004</v>
      </c>
      <c r="H37" s="12">
        <v>2.1985603999999999</v>
      </c>
      <c r="I37" s="12">
        <v>-3.3386543999999998</v>
      </c>
      <c r="J37" s="12">
        <v>7.5387086999999999</v>
      </c>
      <c r="K37" s="12">
        <v>7.7722474999999998</v>
      </c>
      <c r="L37" s="12">
        <v>19.282246700000002</v>
      </c>
      <c r="M37" s="12">
        <v>3.5420714000000002</v>
      </c>
      <c r="N37" s="12">
        <v>23.2075064</v>
      </c>
      <c r="O37" s="12">
        <v>24.467260799999998</v>
      </c>
      <c r="P37" s="7">
        <v>2258.9</v>
      </c>
      <c r="Q37" s="7">
        <v>397.8</v>
      </c>
      <c r="R37" s="7">
        <v>15</v>
      </c>
      <c r="S37" s="12">
        <v>7.1</v>
      </c>
      <c r="T37" s="12">
        <v>3.5</v>
      </c>
      <c r="U37" s="12">
        <v>84.533333299999995</v>
      </c>
      <c r="V37" s="12">
        <v>1.2432228999999999</v>
      </c>
      <c r="W37" s="12">
        <v>13.311688500000001</v>
      </c>
      <c r="X37" s="7" t="s">
        <v>107</v>
      </c>
      <c r="Y37" s="7" t="s">
        <v>107</v>
      </c>
      <c r="Z37" s="12">
        <v>-4.2384525000000002</v>
      </c>
      <c r="AA37" s="12">
        <v>59.558322199999999</v>
      </c>
      <c r="AB37" s="12">
        <v>18.459662600000001</v>
      </c>
      <c r="AC37" s="12">
        <v>25.463456900000001</v>
      </c>
      <c r="AD37" s="12">
        <v>79.209215400000005</v>
      </c>
      <c r="AE37" s="12">
        <v>82.690657099999996</v>
      </c>
      <c r="AF37" s="12">
        <v>40.813981300000002</v>
      </c>
      <c r="AG37" s="12">
        <v>32.278829100000003</v>
      </c>
    </row>
    <row r="38" spans="1:33" s="11" customFormat="1" hidden="1" outlineLevel="1" x14ac:dyDescent="0.3">
      <c r="A38" s="11" t="s">
        <v>44</v>
      </c>
      <c r="B38" s="12">
        <v>2.9723983</v>
      </c>
      <c r="C38" s="12">
        <v>84.693333300000006</v>
      </c>
      <c r="D38" s="12">
        <v>2.3979365000000001</v>
      </c>
      <c r="E38" s="17">
        <v>2.5833333000000001</v>
      </c>
      <c r="F38" s="13">
        <v>69.533333299999995</v>
      </c>
      <c r="G38" s="12">
        <v>18.8318315</v>
      </c>
      <c r="H38" s="12">
        <v>12.140503499999999</v>
      </c>
      <c r="I38" s="12">
        <v>-3.3768883000000001</v>
      </c>
      <c r="J38" s="12">
        <v>8.4610567000000003</v>
      </c>
      <c r="K38" s="12">
        <v>6.4054513999999996</v>
      </c>
      <c r="L38" s="12">
        <v>12.530950199999999</v>
      </c>
      <c r="M38" s="12">
        <v>2.0457911000000002</v>
      </c>
      <c r="N38" s="12">
        <v>20.762711899999999</v>
      </c>
      <c r="O38" s="12">
        <v>17.0409036</v>
      </c>
      <c r="P38" s="7">
        <v>2295.3000000000002</v>
      </c>
      <c r="Q38" s="7">
        <v>359</v>
      </c>
      <c r="R38" s="7">
        <v>13.5</v>
      </c>
      <c r="S38" s="12">
        <v>8.8000000000000007</v>
      </c>
      <c r="T38" s="12">
        <v>4</v>
      </c>
      <c r="U38" s="12">
        <v>85.21</v>
      </c>
      <c r="V38" s="12">
        <v>1.2504592000000001</v>
      </c>
      <c r="W38" s="12">
        <v>13.639181600000001</v>
      </c>
      <c r="X38" s="7" t="s">
        <v>107</v>
      </c>
      <c r="Y38" s="7" t="s">
        <v>107</v>
      </c>
      <c r="Z38" s="12">
        <v>-8.7489298000000009</v>
      </c>
      <c r="AA38" s="12">
        <v>53.796036299999997</v>
      </c>
      <c r="AB38" s="12">
        <v>18.2464029</v>
      </c>
      <c r="AC38" s="12">
        <v>29.867611</v>
      </c>
      <c r="AD38" s="12">
        <v>79.872280200000006</v>
      </c>
      <c r="AE38" s="12">
        <v>81.782330400000006</v>
      </c>
      <c r="AF38" s="12">
        <v>38.300273199999999</v>
      </c>
      <c r="AG38" s="12">
        <v>32.136887999999999</v>
      </c>
    </row>
    <row r="39" spans="1:33" s="11" customFormat="1" hidden="1" outlineLevel="1" x14ac:dyDescent="0.3">
      <c r="A39" s="11" t="s">
        <v>45</v>
      </c>
      <c r="B39" s="12">
        <v>3.3099788999999999</v>
      </c>
      <c r="C39" s="12">
        <v>84.873333299999999</v>
      </c>
      <c r="D39" s="12">
        <v>2.2364986</v>
      </c>
      <c r="E39" s="17">
        <v>2.9166666999999999</v>
      </c>
      <c r="F39" s="13">
        <v>69.62</v>
      </c>
      <c r="G39" s="12">
        <v>4.3446616999999996</v>
      </c>
      <c r="H39" s="12">
        <v>0.60439920000000003</v>
      </c>
      <c r="I39" s="12">
        <v>-3.409656</v>
      </c>
      <c r="J39" s="12">
        <v>8.0421768999999994</v>
      </c>
      <c r="K39" s="12">
        <v>4.8354888999999996</v>
      </c>
      <c r="L39" s="12">
        <v>0.85243349999999996</v>
      </c>
      <c r="M39" s="12">
        <v>19.613105999999998</v>
      </c>
      <c r="N39" s="12">
        <v>25.057449200000001</v>
      </c>
      <c r="O39" s="12">
        <v>25.7904953</v>
      </c>
      <c r="P39" s="7">
        <v>2321.5</v>
      </c>
      <c r="Q39" s="7">
        <v>343.8</v>
      </c>
      <c r="R39" s="7">
        <v>12.9</v>
      </c>
      <c r="S39" s="12">
        <v>7.7</v>
      </c>
      <c r="T39" s="12">
        <v>4.75</v>
      </c>
      <c r="U39" s="12">
        <v>85.413333300000005</v>
      </c>
      <c r="V39" s="12">
        <v>1.2563124000000001</v>
      </c>
      <c r="W39" s="12">
        <v>19.783024999999999</v>
      </c>
      <c r="X39" s="7" t="s">
        <v>107</v>
      </c>
      <c r="Y39" s="7" t="s">
        <v>107</v>
      </c>
      <c r="Z39" s="12">
        <v>-10.176208300000001</v>
      </c>
      <c r="AA39" s="12">
        <v>53.308490399999997</v>
      </c>
      <c r="AB39" s="12">
        <v>16.713786500000001</v>
      </c>
      <c r="AC39" s="12">
        <v>31.073854300000001</v>
      </c>
      <c r="AD39" s="12">
        <v>81.236332399999995</v>
      </c>
      <c r="AE39" s="12">
        <v>82.331782399999994</v>
      </c>
      <c r="AF39" s="12">
        <v>34.975931099999997</v>
      </c>
      <c r="AG39" s="12">
        <v>31.681434500000002</v>
      </c>
    </row>
    <row r="40" spans="1:33" s="11" customFormat="1" hidden="1" outlineLevel="1" x14ac:dyDescent="0.3">
      <c r="A40" s="11" t="s">
        <v>46</v>
      </c>
      <c r="B40" s="12">
        <v>3.7478780999999999</v>
      </c>
      <c r="C40" s="12">
        <v>85.166666699999993</v>
      </c>
      <c r="D40" s="12">
        <v>1.9837944000000001</v>
      </c>
      <c r="E40" s="17">
        <v>3.3333333000000001</v>
      </c>
      <c r="F40" s="13">
        <v>59.68</v>
      </c>
      <c r="G40" s="12">
        <v>5.8460824000000002</v>
      </c>
      <c r="H40" s="12">
        <v>11.488174799999999</v>
      </c>
      <c r="I40" s="12">
        <v>-4.1189122999999999</v>
      </c>
      <c r="J40" s="12">
        <v>9.8291529000000004</v>
      </c>
      <c r="K40" s="12">
        <v>6.1087809000000002</v>
      </c>
      <c r="L40" s="12">
        <v>3.4642984999999999</v>
      </c>
      <c r="M40" s="12">
        <v>-5.0819013000000002</v>
      </c>
      <c r="N40" s="12">
        <v>22.3427693</v>
      </c>
      <c r="O40" s="12">
        <v>11.847841600000001</v>
      </c>
      <c r="P40" s="7">
        <v>2333.4</v>
      </c>
      <c r="Q40" s="7">
        <v>321</v>
      </c>
      <c r="R40" s="7">
        <v>12.1</v>
      </c>
      <c r="S40" s="12">
        <v>8.1999999999999993</v>
      </c>
      <c r="T40" s="12">
        <v>4.75</v>
      </c>
      <c r="U40" s="12">
        <v>85.61</v>
      </c>
      <c r="V40" s="12">
        <v>1.1911638</v>
      </c>
      <c r="W40" s="12">
        <v>16.1142857</v>
      </c>
      <c r="X40" s="7" t="s">
        <v>107</v>
      </c>
      <c r="Y40" s="7" t="s">
        <v>107</v>
      </c>
      <c r="Z40" s="12">
        <v>-7.0245744999999999</v>
      </c>
      <c r="AA40" s="12">
        <v>53.657659600000002</v>
      </c>
      <c r="AB40" s="12">
        <v>21.469994100000001</v>
      </c>
      <c r="AC40" s="12">
        <v>27.154746899999999</v>
      </c>
      <c r="AD40" s="12">
        <v>84.142841300000001</v>
      </c>
      <c r="AE40" s="12">
        <v>86.425241700000001</v>
      </c>
      <c r="AF40" s="12">
        <v>31.505063499999999</v>
      </c>
      <c r="AG40" s="12">
        <v>31.427005000000001</v>
      </c>
    </row>
    <row r="41" spans="1:33" s="11" customFormat="1" hidden="1" outlineLevel="1" x14ac:dyDescent="0.3">
      <c r="A41" s="11" t="s">
        <v>47</v>
      </c>
      <c r="B41" s="12">
        <v>3.5234725999999998</v>
      </c>
      <c r="C41" s="12">
        <v>85.39</v>
      </c>
      <c r="D41" s="12">
        <v>2.1737397000000001</v>
      </c>
      <c r="E41" s="17">
        <v>3.5833333000000001</v>
      </c>
      <c r="F41" s="13">
        <v>57.763333299999999</v>
      </c>
      <c r="G41" s="12">
        <v>4.2838624999999997</v>
      </c>
      <c r="H41" s="12">
        <v>9.2958887000000008</v>
      </c>
      <c r="I41" s="12">
        <v>-1.4784288000000001</v>
      </c>
      <c r="J41" s="12">
        <v>9.4029673000000003</v>
      </c>
      <c r="K41" s="12">
        <v>7.4739785999999997</v>
      </c>
      <c r="L41" s="12">
        <v>2.0805598999999999</v>
      </c>
      <c r="M41" s="12">
        <v>-1.4636259</v>
      </c>
      <c r="N41" s="12">
        <v>22.5522223</v>
      </c>
      <c r="O41" s="12">
        <v>15.549553700000001</v>
      </c>
      <c r="P41" s="7">
        <v>2327.6</v>
      </c>
      <c r="Q41" s="7">
        <v>307</v>
      </c>
      <c r="R41" s="7">
        <v>11.7</v>
      </c>
      <c r="S41" s="12">
        <v>7.1</v>
      </c>
      <c r="T41" s="12">
        <v>4.5</v>
      </c>
      <c r="U41" s="12">
        <v>86.3</v>
      </c>
      <c r="V41" s="12">
        <v>1.1402554</v>
      </c>
      <c r="W41" s="12">
        <v>19.4842406</v>
      </c>
      <c r="X41" s="7" t="s">
        <v>107</v>
      </c>
      <c r="Y41" s="7" t="s">
        <v>107</v>
      </c>
      <c r="Z41" s="12">
        <v>1.4201135</v>
      </c>
      <c r="AA41" s="12">
        <v>57.411735</v>
      </c>
      <c r="AB41" s="12">
        <v>16.7937756</v>
      </c>
      <c r="AC41" s="12">
        <v>23.6121801</v>
      </c>
      <c r="AD41" s="12">
        <v>85.545262500000007</v>
      </c>
      <c r="AE41" s="12">
        <v>83.362253499999994</v>
      </c>
      <c r="AF41" s="12">
        <v>30.172955999999999</v>
      </c>
      <c r="AG41" s="12">
        <v>27.1866302</v>
      </c>
    </row>
    <row r="42" spans="1:33" s="11" customFormat="1" hidden="1" outlineLevel="1" x14ac:dyDescent="0.3">
      <c r="A42" s="11" t="s">
        <v>48</v>
      </c>
      <c r="B42" s="12">
        <v>3.1678283999999999</v>
      </c>
      <c r="C42" s="12">
        <v>86.5</v>
      </c>
      <c r="D42" s="12">
        <v>2.1331864</v>
      </c>
      <c r="E42" s="17">
        <v>3.8333333000000001</v>
      </c>
      <c r="F42" s="13">
        <v>68.583333300000007</v>
      </c>
      <c r="G42" s="12">
        <v>2.8961408999999998</v>
      </c>
      <c r="H42" s="12">
        <v>4.9213424999999997</v>
      </c>
      <c r="I42" s="12">
        <v>-2.4686097999999999</v>
      </c>
      <c r="J42" s="12">
        <v>8.9605735000000006</v>
      </c>
      <c r="K42" s="12">
        <v>6.6854215000000003</v>
      </c>
      <c r="L42" s="12">
        <v>-2.9222676999999999</v>
      </c>
      <c r="M42" s="12">
        <v>9.1442858999999999</v>
      </c>
      <c r="N42" s="12">
        <v>15.4101965</v>
      </c>
      <c r="O42" s="12">
        <v>11.085734199999999</v>
      </c>
      <c r="P42" s="7">
        <v>2337.9</v>
      </c>
      <c r="Q42" s="7">
        <v>294.7</v>
      </c>
      <c r="R42" s="7">
        <v>11.2</v>
      </c>
      <c r="S42" s="12">
        <v>6.7</v>
      </c>
      <c r="T42" s="12">
        <v>4.25</v>
      </c>
      <c r="U42" s="12">
        <v>86.633333300000004</v>
      </c>
      <c r="V42" s="12">
        <v>1.1200623999999999</v>
      </c>
      <c r="W42" s="12">
        <v>17.8941625</v>
      </c>
      <c r="X42" s="7" t="s">
        <v>107</v>
      </c>
      <c r="Y42" s="7" t="s">
        <v>107</v>
      </c>
      <c r="Z42" s="12">
        <v>-6.5220378999999999</v>
      </c>
      <c r="AA42" s="12">
        <v>53.325586600000001</v>
      </c>
      <c r="AB42" s="12">
        <v>16.074368199999999</v>
      </c>
      <c r="AC42" s="12">
        <v>30.1752687</v>
      </c>
      <c r="AD42" s="12">
        <v>83.581549999999993</v>
      </c>
      <c r="AE42" s="12">
        <v>83.1567735</v>
      </c>
      <c r="AF42" s="12">
        <v>27.950938000000001</v>
      </c>
      <c r="AG42" s="12">
        <v>30.2407723</v>
      </c>
    </row>
    <row r="43" spans="1:33" s="11" customFormat="1" hidden="1" outlineLevel="1" x14ac:dyDescent="0.3">
      <c r="A43" s="11" t="s">
        <v>49</v>
      </c>
      <c r="B43" s="12">
        <v>3.1476855000000001</v>
      </c>
      <c r="C43" s="12">
        <v>86.6</v>
      </c>
      <c r="D43" s="12">
        <v>2.0344042999999998</v>
      </c>
      <c r="E43" s="17">
        <v>4</v>
      </c>
      <c r="F43" s="13">
        <v>74.953333299999997</v>
      </c>
      <c r="G43" s="12">
        <v>6.5159265</v>
      </c>
      <c r="H43" s="12">
        <v>13.1525307</v>
      </c>
      <c r="I43" s="12">
        <v>-1.3543608</v>
      </c>
      <c r="J43" s="12">
        <v>11.0626991</v>
      </c>
      <c r="K43" s="12">
        <v>8.6147133</v>
      </c>
      <c r="L43" s="12">
        <v>1.3046679999999999</v>
      </c>
      <c r="M43" s="12">
        <v>7.8336635000000001</v>
      </c>
      <c r="N43" s="12">
        <v>8.6440750000000008</v>
      </c>
      <c r="O43" s="12">
        <v>3.5719601000000001</v>
      </c>
      <c r="P43" s="7">
        <v>2366.6999999999998</v>
      </c>
      <c r="Q43" s="7">
        <v>301.89999999999998</v>
      </c>
      <c r="R43" s="7">
        <v>11.3</v>
      </c>
      <c r="S43" s="12">
        <v>6.8</v>
      </c>
      <c r="T43" s="12">
        <v>4.25</v>
      </c>
      <c r="U43" s="12">
        <v>86.61</v>
      </c>
      <c r="V43" s="12">
        <v>1.114851</v>
      </c>
      <c r="W43" s="12">
        <v>13.319126199999999</v>
      </c>
      <c r="X43" s="7" t="s">
        <v>107</v>
      </c>
      <c r="Y43" s="7" t="s">
        <v>107</v>
      </c>
      <c r="Z43" s="12">
        <v>-6.1462399000000003</v>
      </c>
      <c r="AA43" s="12">
        <v>52.433371299999997</v>
      </c>
      <c r="AB43" s="12">
        <v>15.5225001</v>
      </c>
      <c r="AC43" s="12">
        <v>31.006269499999998</v>
      </c>
      <c r="AD43" s="12">
        <v>78.995909100000006</v>
      </c>
      <c r="AE43" s="12">
        <v>77.958049900000006</v>
      </c>
      <c r="AF43" s="12">
        <v>27.039031000000001</v>
      </c>
      <c r="AG43" s="12">
        <v>30.297609099999999</v>
      </c>
    </row>
    <row r="44" spans="1:33" s="11" customFormat="1" hidden="1" outlineLevel="1" x14ac:dyDescent="0.3">
      <c r="A44" s="11" t="s">
        <v>50</v>
      </c>
      <c r="B44" s="12">
        <v>2.7223932</v>
      </c>
      <c r="C44" s="12">
        <v>87.72</v>
      </c>
      <c r="D44" s="12">
        <v>2.998043</v>
      </c>
      <c r="E44" s="17">
        <v>4</v>
      </c>
      <c r="F44" s="13">
        <v>88.56</v>
      </c>
      <c r="G44" s="12">
        <v>6.2043910000000002</v>
      </c>
      <c r="H44" s="12">
        <v>9.5347302000000003</v>
      </c>
      <c r="I44" s="12">
        <v>-2.8322091</v>
      </c>
      <c r="J44" s="12">
        <v>13.6315645</v>
      </c>
      <c r="K44" s="12">
        <v>9.2572521999999999</v>
      </c>
      <c r="L44" s="12">
        <v>0.44909779999999999</v>
      </c>
      <c r="M44" s="12">
        <v>22.8079787</v>
      </c>
      <c r="N44" s="12">
        <v>12.786426000000001</v>
      </c>
      <c r="O44" s="12">
        <v>9.4567875000000008</v>
      </c>
      <c r="P44" s="7">
        <v>2398.5</v>
      </c>
      <c r="Q44" s="7">
        <v>279</v>
      </c>
      <c r="R44" s="7">
        <v>10.4</v>
      </c>
      <c r="S44" s="12">
        <v>8</v>
      </c>
      <c r="T44" s="12">
        <v>4.25</v>
      </c>
      <c r="U44" s="12">
        <v>87.663333300000005</v>
      </c>
      <c r="V44" s="12">
        <v>1.1093408</v>
      </c>
      <c r="W44" s="12">
        <v>16.830708699999999</v>
      </c>
      <c r="X44" s="7" t="s">
        <v>107</v>
      </c>
      <c r="Y44" s="7" t="s">
        <v>107</v>
      </c>
      <c r="Z44" s="12">
        <v>-8.4042464999999993</v>
      </c>
      <c r="AA44" s="12">
        <v>54.087244400000003</v>
      </c>
      <c r="AB44" s="12">
        <v>20.008186899999998</v>
      </c>
      <c r="AC44" s="12">
        <v>27.544924399999999</v>
      </c>
      <c r="AD44" s="12">
        <v>85.660977299999999</v>
      </c>
      <c r="AE44" s="12">
        <v>87.300739800000002</v>
      </c>
      <c r="AF44" s="12">
        <v>27.8445766</v>
      </c>
      <c r="AG44" s="12">
        <v>30.345421600000002</v>
      </c>
    </row>
    <row r="45" spans="1:33" s="11" customFormat="1" hidden="1" outlineLevel="1" x14ac:dyDescent="0.3">
      <c r="A45" s="11" t="s">
        <v>51</v>
      </c>
      <c r="B45" s="12">
        <v>1.9060995000000001</v>
      </c>
      <c r="C45" s="12">
        <v>88.42</v>
      </c>
      <c r="D45" s="12">
        <v>3.5484249000000001</v>
      </c>
      <c r="E45" s="17">
        <v>4</v>
      </c>
      <c r="F45" s="13">
        <v>96.936666700000004</v>
      </c>
      <c r="G45" s="12">
        <v>13.444350200000001</v>
      </c>
      <c r="H45" s="12">
        <v>11.4823965</v>
      </c>
      <c r="I45" s="12">
        <v>-2.0637354999999999</v>
      </c>
      <c r="J45" s="12">
        <v>9.2287099999999995</v>
      </c>
      <c r="K45" s="12">
        <v>7.2792054000000004</v>
      </c>
      <c r="L45" s="12">
        <v>2.7423801999999999</v>
      </c>
      <c r="M45" s="12">
        <v>23.9943749</v>
      </c>
      <c r="N45" s="12">
        <v>10.7365394</v>
      </c>
      <c r="O45" s="12">
        <v>12.1940591</v>
      </c>
      <c r="P45" s="7">
        <v>2391.3000000000002</v>
      </c>
      <c r="Q45" s="7">
        <v>279.8</v>
      </c>
      <c r="R45" s="7">
        <v>10.5</v>
      </c>
      <c r="S45" s="12">
        <v>9.9556015999999996</v>
      </c>
      <c r="T45" s="12">
        <v>4.25</v>
      </c>
      <c r="U45" s="12">
        <v>89.23</v>
      </c>
      <c r="V45" s="12">
        <v>1.0968377</v>
      </c>
      <c r="W45" s="12">
        <v>26.1870504</v>
      </c>
      <c r="X45" s="7" t="s">
        <v>107</v>
      </c>
      <c r="Y45" s="7" t="s">
        <v>107</v>
      </c>
      <c r="Z45" s="12">
        <v>-2.6068367000000001</v>
      </c>
      <c r="AA45" s="12">
        <v>56.946164199999998</v>
      </c>
      <c r="AB45" s="12">
        <v>15.7675556</v>
      </c>
      <c r="AC45" s="12">
        <v>27.714428300000002</v>
      </c>
      <c r="AD45" s="12">
        <v>86.037442900000002</v>
      </c>
      <c r="AE45" s="12">
        <v>86.466207100000005</v>
      </c>
      <c r="AF45" s="12">
        <v>27.962314299999999</v>
      </c>
      <c r="AG45" s="12">
        <v>25.947616700000001</v>
      </c>
    </row>
    <row r="46" spans="1:33" s="11" customFormat="1" hidden="1" outlineLevel="1" x14ac:dyDescent="0.3">
      <c r="A46" s="11" t="s">
        <v>52</v>
      </c>
      <c r="B46" s="12">
        <v>1.9101475000000001</v>
      </c>
      <c r="C46" s="12">
        <v>89.906666700000002</v>
      </c>
      <c r="D46" s="12">
        <v>3.9383430000000001</v>
      </c>
      <c r="E46" s="17">
        <v>4</v>
      </c>
      <c r="F46" s="13">
        <v>121.3966667</v>
      </c>
      <c r="G46" s="12">
        <v>9.5732779000000008</v>
      </c>
      <c r="H46" s="12">
        <v>10.564118199999999</v>
      </c>
      <c r="I46" s="12">
        <v>-2.1316511999999999</v>
      </c>
      <c r="J46" s="12">
        <v>6.5222952999999997</v>
      </c>
      <c r="K46" s="12">
        <v>7.8229177999999999</v>
      </c>
      <c r="L46" s="12">
        <v>10.482699999999999</v>
      </c>
      <c r="M46" s="12">
        <v>7.9322546999999997</v>
      </c>
      <c r="N46" s="12">
        <v>8.3642915999999996</v>
      </c>
      <c r="O46" s="12">
        <v>10.473627199999999</v>
      </c>
      <c r="P46" s="7">
        <v>2404.8000000000002</v>
      </c>
      <c r="Q46" s="7">
        <v>268.3</v>
      </c>
      <c r="R46" s="7">
        <v>10</v>
      </c>
      <c r="S46" s="12">
        <v>9.4968717999999992</v>
      </c>
      <c r="T46" s="12">
        <v>4.25</v>
      </c>
      <c r="U46" s="12">
        <v>90.093333299999998</v>
      </c>
      <c r="V46" s="12">
        <v>1.0418685999999999</v>
      </c>
      <c r="W46" s="12">
        <v>20.499768700000001</v>
      </c>
      <c r="X46" s="7" t="s">
        <v>107</v>
      </c>
      <c r="Y46" s="7" t="s">
        <v>107</v>
      </c>
      <c r="Z46" s="12">
        <v>-10.9399017</v>
      </c>
      <c r="AA46" s="12">
        <v>54.275209599999997</v>
      </c>
      <c r="AB46" s="12">
        <v>16.885349699999999</v>
      </c>
      <c r="AC46" s="12">
        <v>30.5395343</v>
      </c>
      <c r="AD46" s="12">
        <v>83.848240399999995</v>
      </c>
      <c r="AE46" s="12">
        <v>85.548333900000003</v>
      </c>
      <c r="AF46" s="12">
        <v>28.250817600000001</v>
      </c>
      <c r="AG46" s="12">
        <v>25.9066489</v>
      </c>
    </row>
    <row r="47" spans="1:33" s="11" customFormat="1" hidden="1" outlineLevel="1" x14ac:dyDescent="0.3">
      <c r="A47" s="11" t="s">
        <v>53</v>
      </c>
      <c r="B47" s="12">
        <v>0.87131639999999999</v>
      </c>
      <c r="C47" s="12">
        <v>90.323333300000002</v>
      </c>
      <c r="D47" s="12">
        <v>4.2994611000000003</v>
      </c>
      <c r="E47" s="17">
        <v>4.25</v>
      </c>
      <c r="F47" s="13">
        <v>114.3966667</v>
      </c>
      <c r="G47" s="12">
        <v>11.179627099999999</v>
      </c>
      <c r="H47" s="12">
        <v>12.8221173</v>
      </c>
      <c r="I47" s="12">
        <v>-0.90676330000000005</v>
      </c>
      <c r="J47" s="12">
        <v>6.1147897999999996</v>
      </c>
      <c r="K47" s="12">
        <v>7.9110503999999997</v>
      </c>
      <c r="L47" s="12">
        <v>7.9418382999999997</v>
      </c>
      <c r="M47" s="12">
        <v>4.9249169999999998</v>
      </c>
      <c r="N47" s="12">
        <v>3.2583641999999999</v>
      </c>
      <c r="O47" s="12">
        <v>4.3139894999999999</v>
      </c>
      <c r="P47" s="7">
        <v>2472.9</v>
      </c>
      <c r="Q47" s="7">
        <v>241.5</v>
      </c>
      <c r="R47" s="7">
        <v>8.9</v>
      </c>
      <c r="S47" s="12">
        <v>8.7719027000000001</v>
      </c>
      <c r="T47" s="12">
        <v>4.25</v>
      </c>
      <c r="U47" s="12">
        <v>90.486666700000001</v>
      </c>
      <c r="V47" s="12">
        <v>1.0061739999999999</v>
      </c>
      <c r="W47" s="12">
        <v>13.493182900000001</v>
      </c>
      <c r="X47" s="7" t="s">
        <v>107</v>
      </c>
      <c r="Y47" s="7" t="s">
        <v>107</v>
      </c>
      <c r="Z47" s="12">
        <v>-4.2777497999999996</v>
      </c>
      <c r="AA47" s="12">
        <v>54.481266599999998</v>
      </c>
      <c r="AB47" s="12">
        <v>16.244032199999999</v>
      </c>
      <c r="AC47" s="12">
        <v>30.273706099999998</v>
      </c>
      <c r="AD47" s="12">
        <v>76.387258399999993</v>
      </c>
      <c r="AE47" s="12">
        <v>77.386263299999996</v>
      </c>
      <c r="AF47" s="12">
        <v>27.990253200000001</v>
      </c>
      <c r="AG47" s="12">
        <v>26.7313987</v>
      </c>
    </row>
    <row r="48" spans="1:33" s="11" customFormat="1" hidden="1" outlineLevel="1" x14ac:dyDescent="0.3">
      <c r="A48" s="11" t="s">
        <v>54</v>
      </c>
      <c r="B48" s="12">
        <v>-1.9881508000000001</v>
      </c>
      <c r="C48" s="12">
        <v>90.23</v>
      </c>
      <c r="D48" s="12">
        <v>2.8613770999999999</v>
      </c>
      <c r="E48" s="17">
        <v>3.1666666999999999</v>
      </c>
      <c r="F48" s="13">
        <v>54.66</v>
      </c>
      <c r="G48" s="12">
        <v>8.2615748</v>
      </c>
      <c r="H48" s="12">
        <v>2.7154775999999998</v>
      </c>
      <c r="I48" s="12">
        <v>-5.0221985</v>
      </c>
      <c r="J48" s="12">
        <v>1.1346999</v>
      </c>
      <c r="K48" s="12">
        <v>5.1185543999999998</v>
      </c>
      <c r="L48" s="12">
        <v>4.3650793999999999</v>
      </c>
      <c r="M48" s="12">
        <v>-8.5367832000000003</v>
      </c>
      <c r="N48" s="12">
        <v>-8.5189573999999997</v>
      </c>
      <c r="O48" s="12">
        <v>-8.1884634999999992</v>
      </c>
      <c r="P48" s="7">
        <v>2466</v>
      </c>
      <c r="Q48" s="7">
        <v>233.2</v>
      </c>
      <c r="R48" s="7">
        <v>8.6</v>
      </c>
      <c r="S48" s="12">
        <v>4.6506432999999996</v>
      </c>
      <c r="T48" s="12">
        <v>2.5</v>
      </c>
      <c r="U48" s="12">
        <v>91.063333299999996</v>
      </c>
      <c r="V48" s="12">
        <v>1.0073247999999999</v>
      </c>
      <c r="W48" s="12">
        <v>-3.3698397999999998</v>
      </c>
      <c r="X48" s="7" t="s">
        <v>107</v>
      </c>
      <c r="Y48" s="7" t="s">
        <v>107</v>
      </c>
      <c r="Z48" s="12">
        <v>-7.6372283999999997</v>
      </c>
      <c r="AA48" s="12">
        <v>57.719637800000001</v>
      </c>
      <c r="AB48" s="12">
        <v>21.177854799999999</v>
      </c>
      <c r="AC48" s="12">
        <v>25.022894000000001</v>
      </c>
      <c r="AD48" s="12">
        <v>74.813659900000005</v>
      </c>
      <c r="AE48" s="12">
        <v>78.733467000000005</v>
      </c>
      <c r="AF48" s="12">
        <v>24.8688249</v>
      </c>
      <c r="AG48" s="12">
        <v>28.598858400000001</v>
      </c>
    </row>
    <row r="49" spans="1:33" s="11" customFormat="1" hidden="1" outlineLevel="1" x14ac:dyDescent="0.3">
      <c r="A49" s="11" t="s">
        <v>55</v>
      </c>
      <c r="B49" s="12">
        <v>-5.4359460999999998</v>
      </c>
      <c r="C49" s="12">
        <v>89.88</v>
      </c>
      <c r="D49" s="12">
        <v>1.6512100999999999</v>
      </c>
      <c r="E49" s="17">
        <v>1.8333333000000001</v>
      </c>
      <c r="F49" s="13">
        <v>44.433333300000001</v>
      </c>
      <c r="G49" s="12">
        <v>11.8493139</v>
      </c>
      <c r="H49" s="12">
        <v>4.0242303000000001</v>
      </c>
      <c r="I49" s="12">
        <v>-5.3231634999999997</v>
      </c>
      <c r="J49" s="12">
        <v>-5.7829752000000001</v>
      </c>
      <c r="K49" s="12">
        <v>1.0023953000000001</v>
      </c>
      <c r="L49" s="12">
        <v>4.7327192</v>
      </c>
      <c r="M49" s="12">
        <v>-19.658341799999999</v>
      </c>
      <c r="N49" s="12">
        <v>-25.313427799999999</v>
      </c>
      <c r="O49" s="12">
        <v>-22.794652500000002</v>
      </c>
      <c r="P49" s="7">
        <v>2390.3000000000002</v>
      </c>
      <c r="Q49" s="7">
        <v>277.3</v>
      </c>
      <c r="R49" s="7">
        <v>10.4</v>
      </c>
      <c r="S49" s="12">
        <v>4.6965722999999997</v>
      </c>
      <c r="T49" s="12">
        <v>1.5</v>
      </c>
      <c r="U49" s="12">
        <v>91.283333299999995</v>
      </c>
      <c r="V49" s="12">
        <v>1</v>
      </c>
      <c r="W49" s="12">
        <v>-22.120866599999999</v>
      </c>
      <c r="X49" s="12">
        <v>-30.207756100000001</v>
      </c>
      <c r="Y49" s="12">
        <v>-25.719552</v>
      </c>
      <c r="Z49" s="12">
        <v>-6.8706413</v>
      </c>
      <c r="AA49" s="12">
        <v>63.016548200000003</v>
      </c>
      <c r="AB49" s="12">
        <v>18.128358599999999</v>
      </c>
      <c r="AC49" s="12">
        <v>22.936807399999999</v>
      </c>
      <c r="AD49" s="12">
        <v>65.760137599999993</v>
      </c>
      <c r="AE49" s="12">
        <v>69.841185199999998</v>
      </c>
      <c r="AF49" s="12">
        <v>21.587691100000001</v>
      </c>
      <c r="AG49" s="12">
        <v>31.086893799999999</v>
      </c>
    </row>
    <row r="50" spans="1:33" s="11" customFormat="1" hidden="1" outlineLevel="1" x14ac:dyDescent="0.3">
      <c r="A50" s="11" t="s">
        <v>56</v>
      </c>
      <c r="B50" s="12">
        <v>-5.8020649999999998</v>
      </c>
      <c r="C50" s="12">
        <v>90.723333299999993</v>
      </c>
      <c r="D50" s="12">
        <v>0.90834930000000003</v>
      </c>
      <c r="E50" s="17">
        <v>1.0833333000000001</v>
      </c>
      <c r="F50" s="13">
        <v>58.696666700000002</v>
      </c>
      <c r="G50" s="12">
        <v>13.428627000000001</v>
      </c>
      <c r="H50" s="12">
        <v>-4.6576145000000002</v>
      </c>
      <c r="I50" s="12">
        <v>-9.2383802999999993</v>
      </c>
      <c r="J50" s="12">
        <v>-6.0274380000000001</v>
      </c>
      <c r="K50" s="12">
        <v>1.0478387</v>
      </c>
      <c r="L50" s="12">
        <v>8.9111132000000008</v>
      </c>
      <c r="M50" s="12">
        <v>-42.547425500000003</v>
      </c>
      <c r="N50" s="12">
        <v>-20.426625999999999</v>
      </c>
      <c r="O50" s="12">
        <v>-25.735632500000001</v>
      </c>
      <c r="P50" s="7">
        <v>2378.5</v>
      </c>
      <c r="Q50" s="7">
        <v>302.39999999999998</v>
      </c>
      <c r="R50" s="7">
        <v>11.3</v>
      </c>
      <c r="S50" s="12">
        <v>2.8344401000000001</v>
      </c>
      <c r="T50" s="12">
        <v>1</v>
      </c>
      <c r="U50" s="12">
        <v>91.053333300000006</v>
      </c>
      <c r="V50" s="12">
        <v>1</v>
      </c>
      <c r="W50" s="12">
        <v>-21.966205899999999</v>
      </c>
      <c r="X50" s="12">
        <v>-27.264448000000002</v>
      </c>
      <c r="Y50" s="12">
        <v>-29.528084100000001</v>
      </c>
      <c r="Z50" s="12">
        <v>-2.7943910999999999</v>
      </c>
      <c r="AA50" s="12">
        <v>59.5733417</v>
      </c>
      <c r="AB50" s="12">
        <v>20.037813100000001</v>
      </c>
      <c r="AC50" s="12">
        <v>19.1013077</v>
      </c>
      <c r="AD50" s="12">
        <v>66.813297599999999</v>
      </c>
      <c r="AE50" s="12">
        <v>65.526390399999997</v>
      </c>
      <c r="AF50" s="12">
        <v>16.8747802</v>
      </c>
      <c r="AG50" s="12">
        <v>34.393210099999997</v>
      </c>
    </row>
    <row r="51" spans="1:33" s="11" customFormat="1" hidden="1" outlineLevel="1" x14ac:dyDescent="0.3">
      <c r="A51" s="11" t="s">
        <v>57</v>
      </c>
      <c r="B51" s="12">
        <v>-4.1677857999999999</v>
      </c>
      <c r="C51" s="12">
        <v>90.663333300000005</v>
      </c>
      <c r="D51" s="12">
        <v>0.37642540000000002</v>
      </c>
      <c r="E51" s="17">
        <v>1</v>
      </c>
      <c r="F51" s="13">
        <v>68.2</v>
      </c>
      <c r="G51" s="12">
        <v>12.028599</v>
      </c>
      <c r="H51" s="12">
        <v>-2.3916368000000001</v>
      </c>
      <c r="I51" s="12">
        <v>-6.2069789000000002</v>
      </c>
      <c r="J51" s="12">
        <v>-5.9280470999999997</v>
      </c>
      <c r="K51" s="12">
        <v>-0.37605</v>
      </c>
      <c r="L51" s="12">
        <v>3.1335194</v>
      </c>
      <c r="M51" s="12">
        <v>-25.523513399999999</v>
      </c>
      <c r="N51" s="12">
        <v>-15.6360229</v>
      </c>
      <c r="O51" s="12">
        <v>-17.645097</v>
      </c>
      <c r="P51" s="7">
        <v>2366.9</v>
      </c>
      <c r="Q51" s="7">
        <v>339.2</v>
      </c>
      <c r="R51" s="7">
        <v>12.5</v>
      </c>
      <c r="S51" s="12">
        <v>2.5462338999999998</v>
      </c>
      <c r="T51" s="12">
        <v>1</v>
      </c>
      <c r="U51" s="12">
        <v>90.83</v>
      </c>
      <c r="V51" s="12">
        <v>1</v>
      </c>
      <c r="W51" s="12">
        <v>-10.8119304</v>
      </c>
      <c r="X51" s="12">
        <v>-20.621770000000001</v>
      </c>
      <c r="Y51" s="12">
        <v>-22.785494</v>
      </c>
      <c r="Z51" s="12">
        <v>-1.0728038</v>
      </c>
      <c r="AA51" s="12">
        <v>58.009611700000001</v>
      </c>
      <c r="AB51" s="12">
        <v>17.937971999999998</v>
      </c>
      <c r="AC51" s="12">
        <v>23.088863</v>
      </c>
      <c r="AD51" s="12">
        <v>64.847616500000001</v>
      </c>
      <c r="AE51" s="12">
        <v>63.884660199999999</v>
      </c>
      <c r="AF51" s="12">
        <v>13.2025495</v>
      </c>
      <c r="AG51" s="12">
        <v>36.219547400000003</v>
      </c>
    </row>
    <row r="52" spans="1:33" s="11" customFormat="1" hidden="1" outlineLevel="1" x14ac:dyDescent="0.3">
      <c r="A52" s="11" t="s">
        <v>58</v>
      </c>
      <c r="B52" s="12">
        <v>-1.8288317999999999</v>
      </c>
      <c r="C52" s="12">
        <v>91.146666699999997</v>
      </c>
      <c r="D52" s="12">
        <v>1.0159222999999999</v>
      </c>
      <c r="E52" s="17">
        <v>1</v>
      </c>
      <c r="F52" s="13">
        <v>74.63</v>
      </c>
      <c r="G52" s="12">
        <v>11.4895877</v>
      </c>
      <c r="H52" s="12">
        <v>-3.2320331000000002</v>
      </c>
      <c r="I52" s="12">
        <v>-11.647551399999999</v>
      </c>
      <c r="J52" s="12">
        <v>-4.1131434999999996</v>
      </c>
      <c r="K52" s="12">
        <v>-2.4008881999999998</v>
      </c>
      <c r="L52" s="12">
        <v>6.8111534000000002</v>
      </c>
      <c r="M52" s="12">
        <v>-34.509821299999999</v>
      </c>
      <c r="N52" s="12">
        <v>-3.6737099999999998</v>
      </c>
      <c r="O52" s="12">
        <v>-9.1402096000000004</v>
      </c>
      <c r="P52" s="7">
        <v>2329.6</v>
      </c>
      <c r="Q52" s="7">
        <v>374.9</v>
      </c>
      <c r="R52" s="7">
        <v>13.9</v>
      </c>
      <c r="S52" s="12">
        <v>2.1171329999999999</v>
      </c>
      <c r="T52" s="12">
        <v>1</v>
      </c>
      <c r="U52" s="12">
        <v>91.046666700000003</v>
      </c>
      <c r="V52" s="12">
        <v>1</v>
      </c>
      <c r="W52" s="12">
        <v>1.7000872</v>
      </c>
      <c r="X52" s="12">
        <v>-6.6384442000000004</v>
      </c>
      <c r="Y52" s="12">
        <v>-11.127309500000001</v>
      </c>
      <c r="Z52" s="12">
        <v>-3.3582135000000002</v>
      </c>
      <c r="AA52" s="12">
        <v>58.413738700000003</v>
      </c>
      <c r="AB52" s="12">
        <v>23.7374841</v>
      </c>
      <c r="AC52" s="12">
        <v>17.008313600000001</v>
      </c>
      <c r="AD52" s="12">
        <v>74.525760099999999</v>
      </c>
      <c r="AE52" s="12">
        <v>73.684689599999999</v>
      </c>
      <c r="AF52" s="12">
        <v>10.584317800000001</v>
      </c>
      <c r="AG52" s="12">
        <v>36.360899000000003</v>
      </c>
    </row>
    <row r="53" spans="1:33" s="11" customFormat="1" hidden="1" outlineLevel="1" x14ac:dyDescent="0.3">
      <c r="A53" s="11" t="s">
        <v>59</v>
      </c>
      <c r="B53" s="12">
        <v>1.1991562</v>
      </c>
      <c r="C53" s="12">
        <v>91.416666699999993</v>
      </c>
      <c r="D53" s="12">
        <v>1.709687</v>
      </c>
      <c r="E53" s="17">
        <v>1</v>
      </c>
      <c r="F53" s="13">
        <v>76.25</v>
      </c>
      <c r="G53" s="12">
        <v>6.2043227999999999</v>
      </c>
      <c r="H53" s="12">
        <v>2.1198025999999999</v>
      </c>
      <c r="I53" s="12">
        <v>-6.7963307000000004</v>
      </c>
      <c r="J53" s="12">
        <v>7.5098371000000004</v>
      </c>
      <c r="K53" s="12">
        <v>0.48825210000000002</v>
      </c>
      <c r="L53" s="12">
        <v>6.5480106999999999</v>
      </c>
      <c r="M53" s="12">
        <v>7.9581213000000002</v>
      </c>
      <c r="N53" s="12">
        <v>18.820790200000001</v>
      </c>
      <c r="O53" s="12">
        <v>11.947274999999999</v>
      </c>
      <c r="P53" s="7">
        <v>2283.1</v>
      </c>
      <c r="Q53" s="7">
        <v>407.4</v>
      </c>
      <c r="R53" s="7">
        <v>15.2</v>
      </c>
      <c r="S53" s="12">
        <v>2.0479976999999998</v>
      </c>
      <c r="T53" s="12">
        <v>1</v>
      </c>
      <c r="U53" s="12">
        <v>91.256666699999997</v>
      </c>
      <c r="V53" s="12">
        <v>1</v>
      </c>
      <c r="W53" s="12">
        <v>12.933138100000001</v>
      </c>
      <c r="X53" s="12">
        <v>14.829250200000001</v>
      </c>
      <c r="Y53" s="12">
        <v>7.1616720999999997</v>
      </c>
      <c r="Z53" s="12">
        <v>-3.3742079999999999</v>
      </c>
      <c r="AA53" s="12">
        <v>59.580115399999997</v>
      </c>
      <c r="AB53" s="12">
        <v>18.2813731</v>
      </c>
      <c r="AC53" s="12">
        <v>22.538851900000001</v>
      </c>
      <c r="AD53" s="12">
        <v>72.457207699999998</v>
      </c>
      <c r="AE53" s="12">
        <v>72.858178600000002</v>
      </c>
      <c r="AF53" s="12">
        <v>10.216598100000001</v>
      </c>
      <c r="AG53" s="12">
        <v>34.740688900000002</v>
      </c>
    </row>
    <row r="54" spans="1:33" s="11" customFormat="1" hidden="1" outlineLevel="1" x14ac:dyDescent="0.3">
      <c r="A54" s="11" t="s">
        <v>60</v>
      </c>
      <c r="B54" s="12">
        <v>2.6157658000000001</v>
      </c>
      <c r="C54" s="12">
        <v>92.57</v>
      </c>
      <c r="D54" s="12">
        <v>2.0354926</v>
      </c>
      <c r="E54" s="17">
        <v>1</v>
      </c>
      <c r="F54" s="13">
        <v>78.510000000000005</v>
      </c>
      <c r="G54" s="12">
        <v>1.7559651000000001</v>
      </c>
      <c r="H54" s="12">
        <v>6.6924508999999999</v>
      </c>
      <c r="I54" s="12">
        <v>-7.1517030000000004</v>
      </c>
      <c r="J54" s="12">
        <v>6.9112197000000002</v>
      </c>
      <c r="K54" s="12">
        <v>0.37582890000000002</v>
      </c>
      <c r="L54" s="12">
        <v>1.7747299999999999</v>
      </c>
      <c r="M54" s="12">
        <v>35.080485600000003</v>
      </c>
      <c r="N54" s="12">
        <v>17.7302353</v>
      </c>
      <c r="O54" s="12">
        <v>18.499854200000001</v>
      </c>
      <c r="P54" s="7">
        <v>2312.5</v>
      </c>
      <c r="Q54" s="7">
        <v>388.4</v>
      </c>
      <c r="R54" s="7">
        <v>14.4</v>
      </c>
      <c r="S54" s="12">
        <v>3.4812287</v>
      </c>
      <c r="T54" s="12">
        <v>1</v>
      </c>
      <c r="U54" s="12">
        <v>91.7066667</v>
      </c>
      <c r="V54" s="12">
        <v>1</v>
      </c>
      <c r="W54" s="12">
        <v>19.685039499999998</v>
      </c>
      <c r="X54" s="12">
        <v>21.448028699999998</v>
      </c>
      <c r="Y54" s="12">
        <v>20.3902055</v>
      </c>
      <c r="Z54" s="12">
        <v>-2.7350789</v>
      </c>
      <c r="AA54" s="12">
        <v>55.963469600000003</v>
      </c>
      <c r="AB54" s="12">
        <v>19.145551999999999</v>
      </c>
      <c r="AC54" s="12">
        <v>23.479419400000001</v>
      </c>
      <c r="AD54" s="12">
        <v>76.5452315</v>
      </c>
      <c r="AE54" s="12">
        <v>75.134259499999999</v>
      </c>
      <c r="AF54" s="12">
        <v>10.367918100000001</v>
      </c>
      <c r="AG54" s="12">
        <v>37.900440500000002</v>
      </c>
    </row>
    <row r="55" spans="1:33" s="11" customFormat="1" hidden="1" outlineLevel="1" x14ac:dyDescent="0.3">
      <c r="A55" s="11" t="s">
        <v>61</v>
      </c>
      <c r="B55" s="12">
        <v>2.4618717000000001</v>
      </c>
      <c r="C55" s="12">
        <v>92.583333300000007</v>
      </c>
      <c r="D55" s="12">
        <v>2.1177248999999998</v>
      </c>
      <c r="E55" s="17">
        <v>1</v>
      </c>
      <c r="F55" s="13">
        <v>76.819999999999993</v>
      </c>
      <c r="G55" s="12">
        <v>0.75942339999999997</v>
      </c>
      <c r="H55" s="12">
        <v>3.0477306</v>
      </c>
      <c r="I55" s="12">
        <v>-5.0238642999999996</v>
      </c>
      <c r="J55" s="12">
        <v>6.4532433999999999</v>
      </c>
      <c r="K55" s="12">
        <v>1.2670832999999999</v>
      </c>
      <c r="L55" s="12">
        <v>3.1222789</v>
      </c>
      <c r="M55" s="12">
        <v>29.086198199999998</v>
      </c>
      <c r="N55" s="12">
        <v>16.061478999999999</v>
      </c>
      <c r="O55" s="12">
        <v>18.909567899999999</v>
      </c>
      <c r="P55" s="7">
        <v>2335</v>
      </c>
      <c r="Q55" s="7">
        <v>383.6</v>
      </c>
      <c r="R55" s="7">
        <v>14.1</v>
      </c>
      <c r="S55" s="12">
        <v>3.8047916000000002</v>
      </c>
      <c r="T55" s="12">
        <v>1</v>
      </c>
      <c r="U55" s="12">
        <v>91.77</v>
      </c>
      <c r="V55" s="12">
        <v>1</v>
      </c>
      <c r="W55" s="12">
        <v>9.6609382000000004</v>
      </c>
      <c r="X55" s="12">
        <v>19.0870447</v>
      </c>
      <c r="Y55" s="12">
        <v>25.362231000000001</v>
      </c>
      <c r="Z55" s="12">
        <v>-7.0120997000000003</v>
      </c>
      <c r="AA55" s="12">
        <v>54.722608299999997</v>
      </c>
      <c r="AB55" s="12">
        <v>17.183955699999999</v>
      </c>
      <c r="AC55" s="12">
        <v>29.587907999999999</v>
      </c>
      <c r="AD55" s="12">
        <v>72.135595499999994</v>
      </c>
      <c r="AE55" s="12">
        <v>73.630067400000001</v>
      </c>
      <c r="AF55" s="12">
        <v>10.544018700000001</v>
      </c>
      <c r="AG55" s="12">
        <v>37.766069600000002</v>
      </c>
    </row>
    <row r="56" spans="1:33" s="11" customFormat="1" hidden="1" outlineLevel="1" x14ac:dyDescent="0.3">
      <c r="A56" s="11" t="s">
        <v>62</v>
      </c>
      <c r="B56" s="12">
        <v>2.3931737000000002</v>
      </c>
      <c r="C56" s="12">
        <v>93.383333300000004</v>
      </c>
      <c r="D56" s="12">
        <v>2.4539203000000001</v>
      </c>
      <c r="E56" s="17">
        <v>1</v>
      </c>
      <c r="F56" s="13">
        <v>86.466666700000005</v>
      </c>
      <c r="G56" s="12">
        <v>-0.72563800000000001</v>
      </c>
      <c r="H56" s="12">
        <v>-1.0771563</v>
      </c>
      <c r="I56" s="12">
        <v>-10.9153614</v>
      </c>
      <c r="J56" s="12">
        <v>6.1030845999999999</v>
      </c>
      <c r="K56" s="12">
        <v>1.1081619</v>
      </c>
      <c r="L56" s="12">
        <v>-1.4025677999999999</v>
      </c>
      <c r="M56" s="12">
        <v>32.714962800000002</v>
      </c>
      <c r="N56" s="12">
        <v>16.950394599999999</v>
      </c>
      <c r="O56" s="12">
        <v>16.8378078</v>
      </c>
      <c r="P56" s="7">
        <v>2339.4</v>
      </c>
      <c r="Q56" s="7">
        <v>377.4</v>
      </c>
      <c r="R56" s="7">
        <v>13.9</v>
      </c>
      <c r="S56" s="12">
        <v>3.7849536000000001</v>
      </c>
      <c r="T56" s="12">
        <v>1</v>
      </c>
      <c r="U56" s="12">
        <v>92.01</v>
      </c>
      <c r="V56" s="12">
        <v>1</v>
      </c>
      <c r="W56" s="12">
        <v>8.4869266999999997</v>
      </c>
      <c r="X56" s="12">
        <v>20.8787941</v>
      </c>
      <c r="Y56" s="12">
        <v>22.582905400000001</v>
      </c>
      <c r="Z56" s="12">
        <v>-5.1289457000000001</v>
      </c>
      <c r="AA56" s="12">
        <v>56.651150199999996</v>
      </c>
      <c r="AB56" s="12">
        <v>22.139920499999999</v>
      </c>
      <c r="AC56" s="12">
        <v>21.957573100000001</v>
      </c>
      <c r="AD56" s="12">
        <v>84.827223000000004</v>
      </c>
      <c r="AE56" s="12">
        <v>85.576432999999994</v>
      </c>
      <c r="AF56" s="12">
        <v>11.7579581</v>
      </c>
      <c r="AG56" s="12">
        <v>40.614906699999999</v>
      </c>
    </row>
    <row r="57" spans="1:33" s="11" customFormat="1" hidden="1" outlineLevel="1" x14ac:dyDescent="0.3">
      <c r="A57" s="11" t="s">
        <v>63</v>
      </c>
      <c r="B57" s="12">
        <v>3.2110127999999998</v>
      </c>
      <c r="C57" s="12">
        <v>94.073333300000002</v>
      </c>
      <c r="D57" s="12">
        <v>2.9061075000000001</v>
      </c>
      <c r="E57" s="17">
        <v>1</v>
      </c>
      <c r="F57" s="13">
        <v>104.96</v>
      </c>
      <c r="G57" s="12">
        <v>2.1171302999999999</v>
      </c>
      <c r="H57" s="12">
        <v>8.1519470999999992</v>
      </c>
      <c r="I57" s="12">
        <v>-4.5819299999999998</v>
      </c>
      <c r="J57" s="12">
        <v>2.5675037000000001</v>
      </c>
      <c r="K57" s="12">
        <v>-1.4536728999999999</v>
      </c>
      <c r="L57" s="12">
        <v>0.28599289999999999</v>
      </c>
      <c r="M57" s="12">
        <v>7.6302814000000003</v>
      </c>
      <c r="N57" s="12">
        <v>17.504813200000001</v>
      </c>
      <c r="O57" s="12">
        <v>15.128735199999999</v>
      </c>
      <c r="P57" s="7">
        <v>2332</v>
      </c>
      <c r="Q57" s="7">
        <v>372.7</v>
      </c>
      <c r="R57" s="7">
        <v>14</v>
      </c>
      <c r="S57" s="12">
        <v>2.8965516999999998</v>
      </c>
      <c r="T57" s="12">
        <v>1</v>
      </c>
      <c r="U57" s="12">
        <v>94.46</v>
      </c>
      <c r="V57" s="12">
        <v>1</v>
      </c>
      <c r="W57" s="12">
        <v>10.8902334</v>
      </c>
      <c r="X57" s="12">
        <v>27.637699099999999</v>
      </c>
      <c r="Y57" s="12">
        <v>26.177371699999998</v>
      </c>
      <c r="Z57" s="12">
        <v>-2.4426423000000002</v>
      </c>
      <c r="AA57" s="12">
        <v>58.450764200000002</v>
      </c>
      <c r="AB57" s="12">
        <v>17.986066399999999</v>
      </c>
      <c r="AC57" s="12">
        <v>23.837343600000001</v>
      </c>
      <c r="AD57" s="12">
        <v>87.201356899999993</v>
      </c>
      <c r="AE57" s="12">
        <v>87.476138899999995</v>
      </c>
      <c r="AF57" s="12">
        <v>11.7348736</v>
      </c>
      <c r="AG57" s="12">
        <v>41.023572899999998</v>
      </c>
    </row>
    <row r="58" spans="1:33" s="11" customFormat="1" hidden="1" outlineLevel="1" x14ac:dyDescent="0.3">
      <c r="A58" s="11" t="s">
        <v>64</v>
      </c>
      <c r="B58" s="12">
        <v>2.1036085</v>
      </c>
      <c r="C58" s="12">
        <v>95.516666700000002</v>
      </c>
      <c r="D58" s="12">
        <v>3.1831767000000002</v>
      </c>
      <c r="E58" s="17">
        <v>1.25</v>
      </c>
      <c r="F58" s="13">
        <v>117.36</v>
      </c>
      <c r="G58" s="12">
        <v>4.7866439999999999</v>
      </c>
      <c r="H58" s="12">
        <v>12.2793644</v>
      </c>
      <c r="I58" s="12">
        <v>-4.6611519000000001</v>
      </c>
      <c r="J58" s="12">
        <v>2.9655518000000001</v>
      </c>
      <c r="K58" s="12">
        <v>-1.8074178999999999</v>
      </c>
      <c r="L58" s="12">
        <v>-4.3927126000000003</v>
      </c>
      <c r="M58" s="12">
        <v>22.221679600000002</v>
      </c>
      <c r="N58" s="12">
        <v>12.0324034</v>
      </c>
      <c r="O58" s="12">
        <v>12.9001746</v>
      </c>
      <c r="P58" s="7">
        <v>2355.6</v>
      </c>
      <c r="Q58" s="7">
        <v>353.5</v>
      </c>
      <c r="R58" s="7">
        <v>13.2</v>
      </c>
      <c r="S58" s="12">
        <v>3.0343008</v>
      </c>
      <c r="T58" s="12">
        <v>1.25</v>
      </c>
      <c r="U58" s="12">
        <v>95.44</v>
      </c>
      <c r="V58" s="12">
        <v>1</v>
      </c>
      <c r="W58" s="12">
        <v>7.1134868000000004</v>
      </c>
      <c r="X58" s="12">
        <v>17.6626136</v>
      </c>
      <c r="Y58" s="12">
        <v>22.8310393</v>
      </c>
      <c r="Z58" s="12">
        <v>-7.1444929000000004</v>
      </c>
      <c r="AA58" s="12">
        <v>54.453648200000003</v>
      </c>
      <c r="AB58" s="12">
        <v>17.754827299999999</v>
      </c>
      <c r="AC58" s="12">
        <v>28.0367307</v>
      </c>
      <c r="AD58" s="12">
        <v>84.7179012</v>
      </c>
      <c r="AE58" s="12">
        <v>84.963107399999998</v>
      </c>
      <c r="AF58" s="12">
        <v>11.950371499999999</v>
      </c>
      <c r="AG58" s="12">
        <v>41.863014700000001</v>
      </c>
    </row>
    <row r="59" spans="1:33" s="11" customFormat="1" hidden="1" outlineLevel="1" x14ac:dyDescent="0.3">
      <c r="A59" s="11" t="s">
        <v>65</v>
      </c>
      <c r="B59" s="12">
        <v>1.8176159000000001</v>
      </c>
      <c r="C59" s="12">
        <v>95.433333300000001</v>
      </c>
      <c r="D59" s="12">
        <v>3.0783078000000001</v>
      </c>
      <c r="E59" s="17">
        <v>1.5</v>
      </c>
      <c r="F59" s="13">
        <v>113.34</v>
      </c>
      <c r="G59" s="12">
        <v>0.1159538</v>
      </c>
      <c r="H59" s="12">
        <v>9.0549075999999999</v>
      </c>
      <c r="I59" s="12">
        <v>-2.0145483</v>
      </c>
      <c r="J59" s="12">
        <v>2.1446291</v>
      </c>
      <c r="K59" s="12">
        <v>-2.8059002999999998</v>
      </c>
      <c r="L59" s="12">
        <v>-2.1230397999999999</v>
      </c>
      <c r="M59" s="12">
        <v>1.0128794000000001</v>
      </c>
      <c r="N59" s="12">
        <v>8.6015733000000001</v>
      </c>
      <c r="O59" s="12">
        <v>3.4257072000000002</v>
      </c>
      <c r="P59" s="7">
        <v>2366.3000000000002</v>
      </c>
      <c r="Q59" s="7">
        <v>355</v>
      </c>
      <c r="R59" s="7">
        <v>13.2</v>
      </c>
      <c r="S59" s="12">
        <v>2.5333332999999998</v>
      </c>
      <c r="T59" s="12">
        <v>1.5</v>
      </c>
      <c r="U59" s="12">
        <v>95.52</v>
      </c>
      <c r="V59" s="12">
        <v>1</v>
      </c>
      <c r="W59" s="12">
        <v>2.8377805999999999</v>
      </c>
      <c r="X59" s="12">
        <v>13.8005584</v>
      </c>
      <c r="Y59" s="12">
        <v>10.336615399999999</v>
      </c>
      <c r="Z59" s="12">
        <v>-5.8315038000000001</v>
      </c>
      <c r="AA59" s="12">
        <v>53.428911499999998</v>
      </c>
      <c r="AB59" s="12">
        <v>16.5142177</v>
      </c>
      <c r="AC59" s="12">
        <v>28.808358699999999</v>
      </c>
      <c r="AD59" s="12">
        <v>78.3176828</v>
      </c>
      <c r="AE59" s="12">
        <v>77.069699799999995</v>
      </c>
      <c r="AF59" s="12">
        <v>11.1787273</v>
      </c>
      <c r="AG59" s="12">
        <v>41.821223699999997</v>
      </c>
    </row>
    <row r="60" spans="1:33" s="11" customFormat="1" hidden="1" outlineLevel="1" x14ac:dyDescent="0.3">
      <c r="A60" s="11" t="s">
        <v>66</v>
      </c>
      <c r="B60" s="12">
        <v>0.47384009999999999</v>
      </c>
      <c r="C60" s="12">
        <v>96.41</v>
      </c>
      <c r="D60" s="12">
        <v>3.2411208999999999</v>
      </c>
      <c r="E60" s="17">
        <v>1.25</v>
      </c>
      <c r="F60" s="13">
        <v>109.3966667</v>
      </c>
      <c r="G60" s="12">
        <v>2.6505876000000002</v>
      </c>
      <c r="H60" s="12">
        <v>16.496209100000002</v>
      </c>
      <c r="I60" s="12">
        <v>-6.0456431999999998</v>
      </c>
      <c r="J60" s="12">
        <v>3.0210488</v>
      </c>
      <c r="K60" s="12">
        <v>-1.7213737</v>
      </c>
      <c r="L60" s="12">
        <v>-2.7896789000000002</v>
      </c>
      <c r="M60" s="12">
        <v>5.0454034999999999</v>
      </c>
      <c r="N60" s="12">
        <v>5.6579609</v>
      </c>
      <c r="O60" s="12">
        <v>1.3671238999999999</v>
      </c>
      <c r="P60" s="7">
        <v>2351.5</v>
      </c>
      <c r="Q60" s="7">
        <v>378.8</v>
      </c>
      <c r="R60" s="7">
        <v>14.1</v>
      </c>
      <c r="S60" s="12">
        <v>0.47393360000000001</v>
      </c>
      <c r="T60" s="12">
        <v>1</v>
      </c>
      <c r="U60" s="12">
        <v>96.29</v>
      </c>
      <c r="V60" s="12">
        <v>1</v>
      </c>
      <c r="W60" s="12">
        <v>4.7807190000000004</v>
      </c>
      <c r="X60" s="12">
        <v>10.0256911</v>
      </c>
      <c r="Y60" s="12">
        <v>6.3822633</v>
      </c>
      <c r="Z60" s="12">
        <v>-3.8525258</v>
      </c>
      <c r="AA60" s="12">
        <v>55.162514100000003</v>
      </c>
      <c r="AB60" s="12">
        <v>20.989493100000001</v>
      </c>
      <c r="AC60" s="12">
        <v>21.997010400000001</v>
      </c>
      <c r="AD60" s="12">
        <v>87.570895899999996</v>
      </c>
      <c r="AE60" s="12">
        <v>85.7204531</v>
      </c>
      <c r="AF60" s="12">
        <v>10.2643059</v>
      </c>
      <c r="AG60" s="12">
        <v>43.1560281</v>
      </c>
    </row>
    <row r="61" spans="1:33" s="11" customFormat="1" hidden="1" outlineLevel="1" x14ac:dyDescent="0.3">
      <c r="A61" s="11" t="s">
        <v>67</v>
      </c>
      <c r="B61" s="12">
        <v>3.7986600000000002E-2</v>
      </c>
      <c r="C61" s="12">
        <v>96.803333300000006</v>
      </c>
      <c r="D61" s="12">
        <v>2.9019914</v>
      </c>
      <c r="E61" s="17">
        <v>1</v>
      </c>
      <c r="F61" s="13">
        <v>118.49</v>
      </c>
      <c r="G61" s="12">
        <v>3.0926505</v>
      </c>
      <c r="H61" s="12">
        <v>2.9963510000000002</v>
      </c>
      <c r="I61" s="12">
        <v>-4.5968239000000004</v>
      </c>
      <c r="J61" s="12">
        <v>2.1907030999999999</v>
      </c>
      <c r="K61" s="12">
        <v>1.2225554000000001</v>
      </c>
      <c r="L61" s="12">
        <v>-1.1050618999999999</v>
      </c>
      <c r="M61" s="12">
        <v>-13.2093141</v>
      </c>
      <c r="N61" s="12">
        <v>5.2955826000000004</v>
      </c>
      <c r="O61" s="12">
        <v>-0.25195529999999999</v>
      </c>
      <c r="P61" s="7">
        <v>2324.6999999999998</v>
      </c>
      <c r="Q61" s="7">
        <v>381.1</v>
      </c>
      <c r="R61" s="7">
        <v>14.1</v>
      </c>
      <c r="S61" s="12">
        <v>3.2171582000000001</v>
      </c>
      <c r="T61" s="12">
        <v>1</v>
      </c>
      <c r="U61" s="12">
        <v>98.22</v>
      </c>
      <c r="V61" s="12">
        <v>1</v>
      </c>
      <c r="W61" s="12">
        <v>4.8324240999999999</v>
      </c>
      <c r="X61" s="12">
        <v>9.8005557999999997</v>
      </c>
      <c r="Y61" s="12">
        <v>5.3904303000000002</v>
      </c>
      <c r="Z61" s="12">
        <v>1.4113365</v>
      </c>
      <c r="AA61" s="12">
        <v>59.478087299999999</v>
      </c>
      <c r="AB61" s="12">
        <v>17.502568499999999</v>
      </c>
      <c r="AC61" s="12">
        <v>20.243050499999999</v>
      </c>
      <c r="AD61" s="12">
        <v>92.347432999999995</v>
      </c>
      <c r="AE61" s="12">
        <v>89.571139200000005</v>
      </c>
      <c r="AF61" s="12">
        <v>9.9224610999999996</v>
      </c>
      <c r="AG61" s="12">
        <v>45.3971728</v>
      </c>
    </row>
    <row r="62" spans="1:33" s="11" customFormat="1" hidden="1" outlineLevel="1" x14ac:dyDescent="0.3">
      <c r="A62" s="11" t="s">
        <v>68</v>
      </c>
      <c r="B62" s="12">
        <v>-0.91019320000000004</v>
      </c>
      <c r="C62" s="12">
        <v>97.993333300000003</v>
      </c>
      <c r="D62" s="12">
        <v>2.5929156999999998</v>
      </c>
      <c r="E62" s="17">
        <v>1</v>
      </c>
      <c r="F62" s="13">
        <v>108.41666669999999</v>
      </c>
      <c r="G62" s="12">
        <v>-1.0719837000000001</v>
      </c>
      <c r="H62" s="12">
        <v>0.90370079999999997</v>
      </c>
      <c r="I62" s="12">
        <v>-3.7776279000000001</v>
      </c>
      <c r="J62" s="12">
        <v>1.7430097</v>
      </c>
      <c r="K62" s="12">
        <v>0.82950690000000005</v>
      </c>
      <c r="L62" s="12">
        <v>-3.454221</v>
      </c>
      <c r="M62" s="12">
        <v>-24.9985015</v>
      </c>
      <c r="N62" s="12">
        <v>11.3466317</v>
      </c>
      <c r="O62" s="12">
        <v>0.72064950000000005</v>
      </c>
      <c r="P62" s="7">
        <v>2334.6999999999998</v>
      </c>
      <c r="Q62" s="7">
        <v>368.6</v>
      </c>
      <c r="R62" s="7">
        <v>13.6</v>
      </c>
      <c r="S62" s="12">
        <v>1.5364917</v>
      </c>
      <c r="T62" s="12">
        <v>1</v>
      </c>
      <c r="U62" s="12">
        <v>98.883333300000004</v>
      </c>
      <c r="V62" s="12">
        <v>1</v>
      </c>
      <c r="W62" s="12">
        <v>3.7619962</v>
      </c>
      <c r="X62" s="12">
        <v>11.878963000000001</v>
      </c>
      <c r="Y62" s="12">
        <v>2.9674284000000002</v>
      </c>
      <c r="Z62" s="12">
        <v>1.5625</v>
      </c>
      <c r="AA62" s="12">
        <v>55.276496700000003</v>
      </c>
      <c r="AB62" s="12">
        <v>17.0118343</v>
      </c>
      <c r="AC62" s="12">
        <v>20.594761599999998</v>
      </c>
      <c r="AD62" s="12">
        <v>92.173359700000006</v>
      </c>
      <c r="AE62" s="12">
        <v>85.056452300000004</v>
      </c>
      <c r="AF62" s="12">
        <v>8.6956521999999996</v>
      </c>
      <c r="AG62" s="12">
        <v>49.387434800000001</v>
      </c>
    </row>
    <row r="63" spans="1:33" s="11" customFormat="1" hidden="1" outlineLevel="1" x14ac:dyDescent="0.3">
      <c r="A63" s="11" t="s">
        <v>69</v>
      </c>
      <c r="B63" s="12">
        <v>-1.0352741000000001</v>
      </c>
      <c r="C63" s="12">
        <v>97.9566667</v>
      </c>
      <c r="D63" s="12">
        <v>2.6440796999999998</v>
      </c>
      <c r="E63" s="17">
        <v>0.75</v>
      </c>
      <c r="F63" s="13">
        <v>109.61333329999999</v>
      </c>
      <c r="G63" s="12">
        <v>3.1444993000000001</v>
      </c>
      <c r="H63" s="12">
        <v>3.3295028000000002</v>
      </c>
      <c r="I63" s="12">
        <v>-1.9568737</v>
      </c>
      <c r="J63" s="12">
        <v>1.431071</v>
      </c>
      <c r="K63" s="12">
        <v>0.37483499999999997</v>
      </c>
      <c r="L63" s="12">
        <v>-1.9441706000000001</v>
      </c>
      <c r="M63" s="12">
        <v>-13.228584</v>
      </c>
      <c r="N63" s="12">
        <v>12.4396395</v>
      </c>
      <c r="O63" s="12">
        <v>5.7117699999999996</v>
      </c>
      <c r="P63" s="7">
        <v>2342.8000000000002</v>
      </c>
      <c r="Q63" s="7">
        <v>371.8</v>
      </c>
      <c r="R63" s="7">
        <v>13.7</v>
      </c>
      <c r="S63" s="12">
        <v>1.9505851999999999</v>
      </c>
      <c r="T63" s="12">
        <v>0.75</v>
      </c>
      <c r="U63" s="12">
        <v>99.136666700000006</v>
      </c>
      <c r="V63" s="12">
        <v>1</v>
      </c>
      <c r="W63" s="12">
        <v>5.1070840999999998</v>
      </c>
      <c r="X63" s="12">
        <v>12.4508832</v>
      </c>
      <c r="Y63" s="12">
        <v>7.2475987000000002</v>
      </c>
      <c r="Z63" s="12">
        <v>-0.42766460000000001</v>
      </c>
      <c r="AA63" s="12">
        <v>53.806574300000001</v>
      </c>
      <c r="AB63" s="12">
        <v>16.0235421</v>
      </c>
      <c r="AC63" s="12">
        <v>24.579917200000001</v>
      </c>
      <c r="AD63" s="12">
        <v>85.635714100000001</v>
      </c>
      <c r="AE63" s="12">
        <v>80.045233800000005</v>
      </c>
      <c r="AF63" s="12">
        <v>9.0611613999999996</v>
      </c>
      <c r="AG63" s="12">
        <v>50.927843199999998</v>
      </c>
    </row>
    <row r="64" spans="1:33" s="11" customFormat="1" hidden="1" outlineLevel="1" x14ac:dyDescent="0.3">
      <c r="A64" s="11" t="s">
        <v>70</v>
      </c>
      <c r="B64" s="12">
        <v>-0.98067590000000004</v>
      </c>
      <c r="C64" s="12">
        <v>98.773333300000004</v>
      </c>
      <c r="D64" s="12">
        <v>2.4513362999999999</v>
      </c>
      <c r="E64" s="17">
        <v>0.75</v>
      </c>
      <c r="F64" s="13">
        <v>110.08666669999999</v>
      </c>
      <c r="G64" s="12">
        <v>2.8386817999999998</v>
      </c>
      <c r="H64" s="12">
        <v>0.1453971</v>
      </c>
      <c r="I64" s="12">
        <v>-7.1726856000000003</v>
      </c>
      <c r="J64" s="12">
        <v>2.3374700000000002E-2</v>
      </c>
      <c r="K64" s="12">
        <v>-0.59051929999999997</v>
      </c>
      <c r="L64" s="12">
        <v>-1.5648599999999999</v>
      </c>
      <c r="M64" s="12">
        <v>-17.995726300000001</v>
      </c>
      <c r="N64" s="12">
        <v>7.5335948999999998</v>
      </c>
      <c r="O64" s="12">
        <v>2.2733677000000001</v>
      </c>
      <c r="P64" s="7">
        <v>2313.6999999999998</v>
      </c>
      <c r="Q64" s="7">
        <v>390.4</v>
      </c>
      <c r="R64" s="7">
        <v>14.4</v>
      </c>
      <c r="S64" s="12">
        <v>3.1839623000000001</v>
      </c>
      <c r="T64" s="12">
        <v>0.75</v>
      </c>
      <c r="U64" s="12">
        <v>99.753333299999994</v>
      </c>
      <c r="V64" s="12">
        <v>1</v>
      </c>
      <c r="W64" s="12">
        <v>-1.2820511999999999</v>
      </c>
      <c r="X64" s="12">
        <v>8.1706795000000003</v>
      </c>
      <c r="Y64" s="12">
        <v>4.9241466000000003</v>
      </c>
      <c r="Z64" s="12">
        <v>1.2741024999999999</v>
      </c>
      <c r="AA64" s="12">
        <v>55.647704300000001</v>
      </c>
      <c r="AB64" s="12">
        <v>20.769681500000001</v>
      </c>
      <c r="AC64" s="12">
        <v>17.302652599999998</v>
      </c>
      <c r="AD64" s="12">
        <v>93.526153199999996</v>
      </c>
      <c r="AE64" s="12">
        <v>87.246191499999995</v>
      </c>
      <c r="AF64" s="12">
        <v>9.2273679000000008</v>
      </c>
      <c r="AG64" s="12">
        <v>51.729072799999997</v>
      </c>
    </row>
    <row r="65" spans="1:33" s="11" customFormat="1" hidden="1" outlineLevel="1" x14ac:dyDescent="0.3">
      <c r="A65" s="11" t="s">
        <v>71</v>
      </c>
      <c r="B65" s="12">
        <v>-1.6415721999999999</v>
      </c>
      <c r="C65" s="12">
        <v>98.726666699999996</v>
      </c>
      <c r="D65" s="12">
        <v>1.9868463000000001</v>
      </c>
      <c r="E65" s="17">
        <v>0.75</v>
      </c>
      <c r="F65" s="13">
        <v>112.4933333</v>
      </c>
      <c r="G65" s="12">
        <v>3.3628638999999998</v>
      </c>
      <c r="H65" s="12">
        <v>7.9003636000000004</v>
      </c>
      <c r="I65" s="12">
        <v>-3.0083299999999999</v>
      </c>
      <c r="J65" s="12">
        <v>0.2132608</v>
      </c>
      <c r="K65" s="12">
        <v>-2.2694513999999999</v>
      </c>
      <c r="L65" s="12">
        <v>-8.5198399999999994E-2</v>
      </c>
      <c r="M65" s="12">
        <v>-1.5135167</v>
      </c>
      <c r="N65" s="12">
        <v>6.2409229000000002</v>
      </c>
      <c r="O65" s="12">
        <v>4.4050574999999998</v>
      </c>
      <c r="P65" s="7">
        <v>2327.6999999999998</v>
      </c>
      <c r="Q65" s="7">
        <v>395.8</v>
      </c>
      <c r="R65" s="7">
        <v>14.5</v>
      </c>
      <c r="S65" s="12">
        <v>2.4675324999999999</v>
      </c>
      <c r="T65" s="12">
        <v>0.75</v>
      </c>
      <c r="U65" s="12">
        <v>100.41666669999999</v>
      </c>
      <c r="V65" s="12">
        <v>1</v>
      </c>
      <c r="W65" s="12">
        <v>-2.0074348999999998</v>
      </c>
      <c r="X65" s="12">
        <v>3.7443297000000002</v>
      </c>
      <c r="Y65" s="12">
        <v>1.4539829</v>
      </c>
      <c r="Z65" s="12">
        <v>4.2763996999999998</v>
      </c>
      <c r="AA65" s="12">
        <v>58.625310300000002</v>
      </c>
      <c r="AB65" s="12">
        <v>17.6566814</v>
      </c>
      <c r="AC65" s="12">
        <v>19.4677124</v>
      </c>
      <c r="AD65" s="12">
        <v>94.291365999999996</v>
      </c>
      <c r="AE65" s="12">
        <v>90.041650200000007</v>
      </c>
      <c r="AF65" s="12">
        <v>9.2332397000000004</v>
      </c>
      <c r="AG65" s="12">
        <v>53.942662900000002</v>
      </c>
    </row>
    <row r="66" spans="1:33" s="11" customFormat="1" hidden="1" outlineLevel="1" x14ac:dyDescent="0.3">
      <c r="A66" s="11" t="s">
        <v>72</v>
      </c>
      <c r="B66" s="12">
        <v>-0.1331087</v>
      </c>
      <c r="C66" s="12">
        <v>99.533333299999995</v>
      </c>
      <c r="D66" s="12">
        <v>1.5715355</v>
      </c>
      <c r="E66" s="17">
        <v>0.58333330000000005</v>
      </c>
      <c r="F66" s="13">
        <v>102.5766667</v>
      </c>
      <c r="G66" s="12">
        <v>3.7668634999999999</v>
      </c>
      <c r="H66" s="12">
        <v>9.6588021000000008</v>
      </c>
      <c r="I66" s="12">
        <v>-1.7547345999999999</v>
      </c>
      <c r="J66" s="12">
        <v>0.39555109999999999</v>
      </c>
      <c r="K66" s="12">
        <v>-0.25442769999999998</v>
      </c>
      <c r="L66" s="12">
        <v>0.41667969999999999</v>
      </c>
      <c r="M66" s="12">
        <v>-7.4615733000000004</v>
      </c>
      <c r="N66" s="12">
        <v>5.9968783999999999</v>
      </c>
      <c r="O66" s="12">
        <v>4.1644687999999999</v>
      </c>
      <c r="P66" s="7">
        <v>2327.8000000000002</v>
      </c>
      <c r="Q66" s="7">
        <v>380.3</v>
      </c>
      <c r="R66" s="7">
        <v>14</v>
      </c>
      <c r="S66" s="12">
        <v>3.1525851</v>
      </c>
      <c r="T66" s="12">
        <v>0.5</v>
      </c>
      <c r="U66" s="12">
        <v>100.58333330000001</v>
      </c>
      <c r="V66" s="12">
        <v>1</v>
      </c>
      <c r="W66" s="12">
        <v>0.77691449999999995</v>
      </c>
      <c r="X66" s="12">
        <v>6.2528398000000003</v>
      </c>
      <c r="Y66" s="12">
        <v>3.8301389000000001</v>
      </c>
      <c r="Z66" s="12">
        <v>4.2743121999999998</v>
      </c>
      <c r="AA66" s="12">
        <v>55.2147899</v>
      </c>
      <c r="AB66" s="12">
        <v>17.092952100000002</v>
      </c>
      <c r="AC66" s="12">
        <v>18.608136099999999</v>
      </c>
      <c r="AD66" s="12">
        <v>95.914213000000004</v>
      </c>
      <c r="AE66" s="12">
        <v>86.830090999999996</v>
      </c>
      <c r="AF66" s="12">
        <v>9.4677871000000007</v>
      </c>
      <c r="AG66" s="12">
        <v>56.960001499999997</v>
      </c>
    </row>
    <row r="67" spans="1:33" s="11" customFormat="1" hidden="1" outlineLevel="1" x14ac:dyDescent="0.3">
      <c r="A67" s="11" t="s">
        <v>73</v>
      </c>
      <c r="B67" s="12">
        <v>0.53477319999999995</v>
      </c>
      <c r="C67" s="12">
        <v>99.423333299999996</v>
      </c>
      <c r="D67" s="12">
        <v>1.4972605999999999</v>
      </c>
      <c r="E67" s="17">
        <v>0.5</v>
      </c>
      <c r="F67" s="13">
        <v>110.27</v>
      </c>
      <c r="G67" s="12">
        <v>9.1711699000000007</v>
      </c>
      <c r="H67" s="12">
        <v>10.2449657</v>
      </c>
      <c r="I67" s="12">
        <v>-1.7471873</v>
      </c>
      <c r="J67" s="12">
        <v>0.66167189999999998</v>
      </c>
      <c r="K67" s="12">
        <v>-1.3065433</v>
      </c>
      <c r="L67" s="12">
        <v>2.871956</v>
      </c>
      <c r="M67" s="12">
        <v>3.7763453999999999</v>
      </c>
      <c r="N67" s="12">
        <v>3.7198693</v>
      </c>
      <c r="O67" s="12">
        <v>3.9722900999999999</v>
      </c>
      <c r="P67" s="7">
        <v>2334.4</v>
      </c>
      <c r="Q67" s="7">
        <v>382</v>
      </c>
      <c r="R67" s="7">
        <v>14.1</v>
      </c>
      <c r="S67" s="12">
        <v>2.4234694000000001</v>
      </c>
      <c r="T67" s="12">
        <v>0.5</v>
      </c>
      <c r="U67" s="12">
        <v>100.51</v>
      </c>
      <c r="V67" s="12">
        <v>1</v>
      </c>
      <c r="W67" s="12">
        <v>1.9984325999999999</v>
      </c>
      <c r="X67" s="12">
        <v>3.4815106999999998</v>
      </c>
      <c r="Y67" s="12">
        <v>2.4144502000000001</v>
      </c>
      <c r="Z67" s="12">
        <v>0.84661200000000003</v>
      </c>
      <c r="AA67" s="12">
        <v>53.204194899999997</v>
      </c>
      <c r="AB67" s="12">
        <v>16.484752799999999</v>
      </c>
      <c r="AC67" s="12">
        <v>25.279743400000001</v>
      </c>
      <c r="AD67" s="12">
        <v>86.850277500000004</v>
      </c>
      <c r="AE67" s="12">
        <v>81.818459500000003</v>
      </c>
      <c r="AF67" s="12">
        <v>9.2793627999999995</v>
      </c>
      <c r="AG67" s="12">
        <v>56.160058399999997</v>
      </c>
    </row>
    <row r="68" spans="1:33" s="11" customFormat="1" hidden="1" outlineLevel="1" x14ac:dyDescent="0.3">
      <c r="A68" s="11" t="s">
        <v>74</v>
      </c>
      <c r="B68" s="12">
        <v>0.83200640000000003</v>
      </c>
      <c r="C68" s="12">
        <v>99.72</v>
      </c>
      <c r="D68" s="12">
        <v>0.95842340000000004</v>
      </c>
      <c r="E68" s="17">
        <v>0.3333333</v>
      </c>
      <c r="F68" s="13">
        <v>109.21</v>
      </c>
      <c r="G68" s="12">
        <v>2.2229475000000001</v>
      </c>
      <c r="H68" s="12">
        <v>8.0460723999999999</v>
      </c>
      <c r="I68" s="12">
        <v>-5.0303272999999997</v>
      </c>
      <c r="J68" s="12">
        <v>1.2157296</v>
      </c>
      <c r="K68" s="12">
        <v>-0.99324400000000002</v>
      </c>
      <c r="L68" s="12">
        <v>2.4298829999999998</v>
      </c>
      <c r="M68" s="12">
        <v>13.576737400000001</v>
      </c>
      <c r="N68" s="12">
        <v>8.0003150999999999</v>
      </c>
      <c r="O68" s="12">
        <v>9.8659507000000009</v>
      </c>
      <c r="P68" s="7">
        <v>2327.1</v>
      </c>
      <c r="Q68" s="7">
        <v>386.6</v>
      </c>
      <c r="R68" s="7">
        <v>14.3</v>
      </c>
      <c r="S68" s="12">
        <v>1.3714286</v>
      </c>
      <c r="T68" s="12">
        <v>0.25</v>
      </c>
      <c r="U68" s="12">
        <v>100.28</v>
      </c>
      <c r="V68" s="12">
        <v>1</v>
      </c>
      <c r="W68" s="12">
        <v>6.1497324999999998</v>
      </c>
      <c r="X68" s="12">
        <v>5.5326551000000004</v>
      </c>
      <c r="Y68" s="12">
        <v>9.0047592999999999</v>
      </c>
      <c r="Z68" s="12">
        <v>-1.6869551</v>
      </c>
      <c r="AA68" s="12">
        <v>54.9113349</v>
      </c>
      <c r="AB68" s="12">
        <v>21.0658776</v>
      </c>
      <c r="AC68" s="12">
        <v>20.286634899999999</v>
      </c>
      <c r="AD68" s="12">
        <v>97.065203699999998</v>
      </c>
      <c r="AE68" s="12">
        <v>93.329051000000007</v>
      </c>
      <c r="AF68" s="12">
        <v>9.4598913000000007</v>
      </c>
      <c r="AG68" s="12">
        <v>54.692534000000002</v>
      </c>
    </row>
    <row r="69" spans="1:33" s="11" customFormat="1" hidden="1" outlineLevel="1" x14ac:dyDescent="0.3">
      <c r="A69" s="11" t="s">
        <v>75</v>
      </c>
      <c r="B69" s="12">
        <v>1.8456245</v>
      </c>
      <c r="C69" s="12">
        <v>99.49</v>
      </c>
      <c r="D69" s="12">
        <v>0.77317840000000004</v>
      </c>
      <c r="E69" s="17">
        <v>0.25</v>
      </c>
      <c r="F69" s="13">
        <v>108.16666669999999</v>
      </c>
      <c r="G69" s="12">
        <v>1.4168270000000001</v>
      </c>
      <c r="H69" s="12">
        <v>2.9970348000000002</v>
      </c>
      <c r="I69" s="12">
        <v>-2.3697005999999998</v>
      </c>
      <c r="J69" s="12">
        <v>2.5946085000000001</v>
      </c>
      <c r="K69" s="12">
        <v>2.3272371999999999</v>
      </c>
      <c r="L69" s="12">
        <v>3.9323079000000001</v>
      </c>
      <c r="M69" s="12">
        <v>-2.6027477999999999</v>
      </c>
      <c r="N69" s="12">
        <v>11.0605528</v>
      </c>
      <c r="O69" s="12">
        <v>10.4270312</v>
      </c>
      <c r="P69" s="7">
        <v>2331.3000000000002</v>
      </c>
      <c r="Q69" s="7">
        <v>382.9</v>
      </c>
      <c r="R69" s="7">
        <v>14.1</v>
      </c>
      <c r="S69" s="12">
        <v>4.0557667999999998</v>
      </c>
      <c r="T69" s="12">
        <v>0.25</v>
      </c>
      <c r="U69" s="12">
        <v>100.30666669999999</v>
      </c>
      <c r="V69" s="12">
        <v>1</v>
      </c>
      <c r="W69" s="12">
        <v>4.7040971000000003</v>
      </c>
      <c r="X69" s="12">
        <v>6.0795455</v>
      </c>
      <c r="Y69" s="12">
        <v>7.6403603999999996</v>
      </c>
      <c r="Z69" s="12">
        <v>2.7655037</v>
      </c>
      <c r="AA69" s="12">
        <v>58.338309299999999</v>
      </c>
      <c r="AB69" s="12">
        <v>17.916915500000002</v>
      </c>
      <c r="AC69" s="12">
        <v>18.652222099999999</v>
      </c>
      <c r="AD69" s="12">
        <v>98.292814699999994</v>
      </c>
      <c r="AE69" s="12">
        <v>93.200261600000005</v>
      </c>
      <c r="AF69" s="12">
        <v>10.012075400000001</v>
      </c>
      <c r="AG69" s="12">
        <v>56.4104277</v>
      </c>
    </row>
    <row r="70" spans="1:33" s="11" customFormat="1" hidden="1" outlineLevel="1" x14ac:dyDescent="0.3">
      <c r="A70" s="11" t="s">
        <v>76</v>
      </c>
      <c r="B70" s="12">
        <v>1.1953549000000001</v>
      </c>
      <c r="C70" s="12">
        <v>100.22333329999999</v>
      </c>
      <c r="D70" s="12">
        <v>0.69323509999999999</v>
      </c>
      <c r="E70" s="17">
        <v>0.21666669999999999</v>
      </c>
      <c r="F70" s="13">
        <v>109.7</v>
      </c>
      <c r="G70" s="12">
        <v>5.0124658999999996</v>
      </c>
      <c r="H70" s="12">
        <v>2.9396526000000001</v>
      </c>
      <c r="I70" s="12">
        <v>-2.6012715000000002</v>
      </c>
      <c r="J70" s="12">
        <v>2.6378026999999999</v>
      </c>
      <c r="K70" s="12">
        <v>1.8917363</v>
      </c>
      <c r="L70" s="12">
        <v>5.2695619999999996</v>
      </c>
      <c r="M70" s="12">
        <v>14.5517877</v>
      </c>
      <c r="N70" s="12">
        <v>3.0053223</v>
      </c>
      <c r="O70" s="12">
        <v>5.5515879999999997</v>
      </c>
      <c r="P70" s="7">
        <v>2353.6</v>
      </c>
      <c r="Q70" s="7">
        <v>356.4</v>
      </c>
      <c r="R70" s="7">
        <v>13.2</v>
      </c>
      <c r="S70" s="12">
        <v>4.7677262000000002</v>
      </c>
      <c r="T70" s="12">
        <v>0.15</v>
      </c>
      <c r="U70" s="12">
        <v>100.4766667</v>
      </c>
      <c r="V70" s="12">
        <v>1</v>
      </c>
      <c r="W70" s="12">
        <v>3.8546255999999999</v>
      </c>
      <c r="X70" s="12">
        <v>-1.1562678</v>
      </c>
      <c r="Y70" s="12">
        <v>1.1131568000000001</v>
      </c>
      <c r="Z70" s="12">
        <v>1.6644775000000001</v>
      </c>
      <c r="AA70" s="12">
        <v>54.806914300000003</v>
      </c>
      <c r="AB70" s="12">
        <v>17.6172963</v>
      </c>
      <c r="AC70" s="12">
        <v>20.891083900000002</v>
      </c>
      <c r="AD70" s="12">
        <v>92.928072299999997</v>
      </c>
      <c r="AE70" s="12">
        <v>86.243366800000004</v>
      </c>
      <c r="AF70" s="12">
        <v>10.624360299999999</v>
      </c>
      <c r="AG70" s="12">
        <v>54.844311699999999</v>
      </c>
    </row>
    <row r="71" spans="1:33" s="11" customFormat="1" hidden="1" outlineLevel="1" x14ac:dyDescent="0.3">
      <c r="A71" s="11" t="s">
        <v>77</v>
      </c>
      <c r="B71" s="12">
        <v>1.5779679</v>
      </c>
      <c r="C71" s="12">
        <v>99.91</v>
      </c>
      <c r="D71" s="12">
        <v>0.48948940000000002</v>
      </c>
      <c r="E71" s="17">
        <v>0.1166667</v>
      </c>
      <c r="F71" s="13">
        <v>101.8233333</v>
      </c>
      <c r="G71" s="12">
        <v>3.6706566</v>
      </c>
      <c r="H71" s="12">
        <v>1.0827606000000001</v>
      </c>
      <c r="I71" s="12">
        <v>-2.7181809000000001</v>
      </c>
      <c r="J71" s="12">
        <v>2.6400326999999999</v>
      </c>
      <c r="K71" s="12">
        <v>1.5193517999999999</v>
      </c>
      <c r="L71" s="12">
        <v>3.0361343000000001</v>
      </c>
      <c r="M71" s="12">
        <v>7.6211102999999998</v>
      </c>
      <c r="N71" s="12">
        <v>2.1040798000000001</v>
      </c>
      <c r="O71" s="12">
        <v>2.9256410000000002</v>
      </c>
      <c r="P71" s="7">
        <v>2376.3000000000002</v>
      </c>
      <c r="Q71" s="7">
        <v>350.9</v>
      </c>
      <c r="R71" s="7">
        <v>12.9</v>
      </c>
      <c r="S71" s="12">
        <v>4.2341220000000002</v>
      </c>
      <c r="T71" s="12">
        <v>0.05</v>
      </c>
      <c r="U71" s="12">
        <v>100.37</v>
      </c>
      <c r="V71" s="12">
        <v>1</v>
      </c>
      <c r="W71" s="12">
        <v>1.1525163</v>
      </c>
      <c r="X71" s="12">
        <v>-1.5879354000000001</v>
      </c>
      <c r="Y71" s="12">
        <v>-2.0093342999999999</v>
      </c>
      <c r="Z71" s="12">
        <v>0.9326702</v>
      </c>
      <c r="AA71" s="12">
        <v>52.559760799999999</v>
      </c>
      <c r="AB71" s="12">
        <v>16.6234462</v>
      </c>
      <c r="AC71" s="12">
        <v>26.313101499999998</v>
      </c>
      <c r="AD71" s="12">
        <v>83.653727000000003</v>
      </c>
      <c r="AE71" s="12">
        <v>79.150035500000001</v>
      </c>
      <c r="AF71" s="12">
        <v>11.316893</v>
      </c>
      <c r="AG71" s="12">
        <v>54.970826899999999</v>
      </c>
    </row>
    <row r="72" spans="1:33" s="11" customFormat="1" hidden="1" outlineLevel="1" x14ac:dyDescent="0.3">
      <c r="A72" s="11" t="s">
        <v>78</v>
      </c>
      <c r="B72" s="12">
        <v>1.7505474000000001</v>
      </c>
      <c r="C72" s="12">
        <v>99.97</v>
      </c>
      <c r="D72" s="12">
        <v>0.25070199999999998</v>
      </c>
      <c r="E72" s="17">
        <v>0.05</v>
      </c>
      <c r="F72" s="13">
        <v>76.4033333</v>
      </c>
      <c r="G72" s="12">
        <v>6.9959176000000003</v>
      </c>
      <c r="H72" s="12">
        <v>8.4310212</v>
      </c>
      <c r="I72" s="12">
        <v>-4.6506993000000003</v>
      </c>
      <c r="J72" s="12">
        <v>2.9044292999999999</v>
      </c>
      <c r="K72" s="12">
        <v>1.9734609999999999</v>
      </c>
      <c r="L72" s="12">
        <v>3.0893150999999999</v>
      </c>
      <c r="M72" s="12">
        <v>8.4237146999999997</v>
      </c>
      <c r="N72" s="12">
        <v>-0.5454331</v>
      </c>
      <c r="O72" s="12">
        <v>-2.9161E-3</v>
      </c>
      <c r="P72" s="7">
        <v>2390.9</v>
      </c>
      <c r="Q72" s="7">
        <v>345.1</v>
      </c>
      <c r="R72" s="7">
        <v>12.6</v>
      </c>
      <c r="S72" s="12">
        <v>3.4949267000000002</v>
      </c>
      <c r="T72" s="12">
        <v>0.05</v>
      </c>
      <c r="U72" s="12">
        <v>100.2266667</v>
      </c>
      <c r="V72" s="12">
        <v>1</v>
      </c>
      <c r="W72" s="12">
        <v>2.0510975</v>
      </c>
      <c r="X72" s="12">
        <v>-2.253279</v>
      </c>
      <c r="Y72" s="12">
        <v>-2.5500588999999998</v>
      </c>
      <c r="Z72" s="12">
        <v>-0.61729970000000001</v>
      </c>
      <c r="AA72" s="12">
        <v>54.749579699999998</v>
      </c>
      <c r="AB72" s="12">
        <v>21.2626028</v>
      </c>
      <c r="AC72" s="12">
        <v>21.1092999</v>
      </c>
      <c r="AD72" s="12">
        <v>91.703246399999998</v>
      </c>
      <c r="AE72" s="12">
        <v>88.8242178</v>
      </c>
      <c r="AF72" s="12">
        <v>12.165450099999999</v>
      </c>
      <c r="AG72" s="12">
        <v>53.492590499999999</v>
      </c>
    </row>
    <row r="73" spans="1:33" s="11" customFormat="1" hidden="1" outlineLevel="1" x14ac:dyDescent="0.3">
      <c r="A73" s="11" t="s">
        <v>79</v>
      </c>
      <c r="B73" s="12">
        <v>2.0633189000000001</v>
      </c>
      <c r="C73" s="12">
        <v>99.203333299999997</v>
      </c>
      <c r="D73" s="12">
        <v>-0.28813620000000001</v>
      </c>
      <c r="E73" s="17">
        <v>0.05</v>
      </c>
      <c r="F73" s="13">
        <v>53.9166667</v>
      </c>
      <c r="G73" s="12">
        <v>2.6414944</v>
      </c>
      <c r="H73" s="12">
        <v>3.1429494</v>
      </c>
      <c r="I73" s="12">
        <v>-2.1404858</v>
      </c>
      <c r="J73" s="12">
        <v>4.5656324000000001</v>
      </c>
      <c r="K73" s="12">
        <v>1.8687501</v>
      </c>
      <c r="L73" s="12">
        <v>3.3480593000000001</v>
      </c>
      <c r="M73" s="12">
        <v>17.870063500000001</v>
      </c>
      <c r="N73" s="12">
        <v>5.0941041</v>
      </c>
      <c r="O73" s="12">
        <v>5.8814817000000001</v>
      </c>
      <c r="P73" s="7">
        <v>2392</v>
      </c>
      <c r="Q73" s="7">
        <v>339.3</v>
      </c>
      <c r="R73" s="7">
        <v>12.4</v>
      </c>
      <c r="S73" s="12">
        <v>2.1924481999999998</v>
      </c>
      <c r="T73" s="12">
        <v>0.05</v>
      </c>
      <c r="U73" s="12">
        <v>99.806666699999994</v>
      </c>
      <c r="V73" s="12">
        <v>1</v>
      </c>
      <c r="W73" s="12">
        <v>7.0289855000000001</v>
      </c>
      <c r="X73" s="12">
        <v>0.4907897</v>
      </c>
      <c r="Y73" s="12">
        <v>3.2393182999999999</v>
      </c>
      <c r="Z73" s="12">
        <v>-0.79503760000000001</v>
      </c>
      <c r="AA73" s="12">
        <v>56.905796799999997</v>
      </c>
      <c r="AB73" s="12">
        <v>17.853398599999998</v>
      </c>
      <c r="AC73" s="12">
        <v>20.9631094</v>
      </c>
      <c r="AD73" s="12">
        <v>96.480757499999996</v>
      </c>
      <c r="AE73" s="12">
        <v>92.202516200000005</v>
      </c>
      <c r="AF73" s="12">
        <v>12.6276606</v>
      </c>
      <c r="AG73" s="12">
        <v>51.738387000000003</v>
      </c>
    </row>
    <row r="74" spans="1:33" s="11" customFormat="1" hidden="1" outlineLevel="1" x14ac:dyDescent="0.3">
      <c r="A74" s="11" t="s">
        <v>80</v>
      </c>
      <c r="B74" s="12">
        <v>2.2703967</v>
      </c>
      <c r="C74" s="12">
        <v>100.5233333</v>
      </c>
      <c r="D74" s="12">
        <v>0.29933149999999997</v>
      </c>
      <c r="E74" s="17">
        <v>0.05</v>
      </c>
      <c r="F74" s="13">
        <v>61.693333299999999</v>
      </c>
      <c r="G74" s="12">
        <v>7.1560864999999998</v>
      </c>
      <c r="H74" s="12">
        <v>8.8148029999999995</v>
      </c>
      <c r="I74" s="12">
        <v>-2.0320678999999999</v>
      </c>
      <c r="J74" s="12">
        <v>4.9944898000000002</v>
      </c>
      <c r="K74" s="12">
        <v>2.6300409</v>
      </c>
      <c r="L74" s="12">
        <v>5.3317921999999998</v>
      </c>
      <c r="M74" s="12">
        <v>20.928304000000001</v>
      </c>
      <c r="N74" s="12">
        <v>5.9035951000000004</v>
      </c>
      <c r="O74" s="12">
        <v>8.3294890000000006</v>
      </c>
      <c r="P74" s="7">
        <v>2416.8000000000002</v>
      </c>
      <c r="Q74" s="7">
        <v>305.8</v>
      </c>
      <c r="R74" s="7">
        <v>11.2</v>
      </c>
      <c r="S74" s="12">
        <v>2.3337222999999998</v>
      </c>
      <c r="T74" s="12">
        <v>0.05</v>
      </c>
      <c r="U74" s="12">
        <v>100.3733333</v>
      </c>
      <c r="V74" s="12">
        <v>1</v>
      </c>
      <c r="W74" s="12">
        <v>6.6808059000000002</v>
      </c>
      <c r="X74" s="12">
        <v>2.0948131000000001</v>
      </c>
      <c r="Y74" s="12">
        <v>5.3614889000000003</v>
      </c>
      <c r="Z74" s="12">
        <v>-2.5194032000000002</v>
      </c>
      <c r="AA74" s="12">
        <v>53.771834900000002</v>
      </c>
      <c r="AB74" s="12">
        <v>17.832360699999999</v>
      </c>
      <c r="AC74" s="12">
        <v>24.2013116</v>
      </c>
      <c r="AD74" s="12">
        <v>92.634819399999998</v>
      </c>
      <c r="AE74" s="12">
        <v>88.440326499999998</v>
      </c>
      <c r="AF74" s="12">
        <v>12.5555144</v>
      </c>
      <c r="AG74" s="12">
        <v>52.460624500000002</v>
      </c>
    </row>
    <row r="75" spans="1:33" s="11" customFormat="1" hidden="1" outlineLevel="1" x14ac:dyDescent="0.3">
      <c r="A75" s="11" t="s">
        <v>81</v>
      </c>
      <c r="B75" s="12">
        <v>2.2457793000000001</v>
      </c>
      <c r="C75" s="12">
        <v>100.1533333</v>
      </c>
      <c r="D75" s="12">
        <v>0.24355250000000001</v>
      </c>
      <c r="E75" s="17">
        <v>0.05</v>
      </c>
      <c r="F75" s="13">
        <v>50.233333299999998</v>
      </c>
      <c r="G75" s="12">
        <v>11.822556199999999</v>
      </c>
      <c r="H75" s="12">
        <v>15.1359911</v>
      </c>
      <c r="I75" s="12">
        <v>-1.7216750999999999</v>
      </c>
      <c r="J75" s="12">
        <v>5.1602034999999997</v>
      </c>
      <c r="K75" s="12">
        <v>3.2385095000000002</v>
      </c>
      <c r="L75" s="12">
        <v>6.3765451999999998</v>
      </c>
      <c r="M75" s="12">
        <v>14.6792474</v>
      </c>
      <c r="N75" s="12">
        <v>6.7405116999999999</v>
      </c>
      <c r="O75" s="12">
        <v>8.9381196999999997</v>
      </c>
      <c r="P75" s="7">
        <v>2434.8000000000002</v>
      </c>
      <c r="Q75" s="7">
        <v>309.8</v>
      </c>
      <c r="R75" s="7">
        <v>11.3</v>
      </c>
      <c r="S75" s="12">
        <v>2.8673834999999999</v>
      </c>
      <c r="T75" s="12">
        <v>0.05</v>
      </c>
      <c r="U75" s="12">
        <v>100.05</v>
      </c>
      <c r="V75" s="12">
        <v>1</v>
      </c>
      <c r="W75" s="12">
        <v>9.9506265999999997</v>
      </c>
      <c r="X75" s="12">
        <v>5.4314356999999998</v>
      </c>
      <c r="Y75" s="12">
        <v>9.5827483999999998</v>
      </c>
      <c r="Z75" s="12">
        <v>-3.4565939000000001</v>
      </c>
      <c r="AA75" s="12">
        <v>51.781744600000003</v>
      </c>
      <c r="AB75" s="12">
        <v>16.987825300000001</v>
      </c>
      <c r="AC75" s="12">
        <v>28.629470900000001</v>
      </c>
      <c r="AD75" s="12">
        <v>84.708781500000001</v>
      </c>
      <c r="AE75" s="12">
        <v>82.107349299999996</v>
      </c>
      <c r="AF75" s="12">
        <v>12.7270281</v>
      </c>
      <c r="AG75" s="12">
        <v>52.131018599999997</v>
      </c>
    </row>
    <row r="76" spans="1:33" s="11" customFormat="1" hidden="1" outlineLevel="1" x14ac:dyDescent="0.3">
      <c r="A76" s="11" t="s">
        <v>82</v>
      </c>
      <c r="B76" s="12">
        <v>2.5478125</v>
      </c>
      <c r="C76" s="12">
        <v>100.1233333</v>
      </c>
      <c r="D76" s="12">
        <v>0.1533793</v>
      </c>
      <c r="E76" s="17">
        <v>0.05</v>
      </c>
      <c r="F76" s="13">
        <v>43.57</v>
      </c>
      <c r="G76" s="12">
        <v>18.666936700000001</v>
      </c>
      <c r="H76" s="12">
        <v>19.917854800000001</v>
      </c>
      <c r="I76" s="12">
        <v>-4.6996380999999996</v>
      </c>
      <c r="J76" s="12">
        <v>5.8810031</v>
      </c>
      <c r="K76" s="12">
        <v>3.2897675999999998</v>
      </c>
      <c r="L76" s="12">
        <v>5.8934229</v>
      </c>
      <c r="M76" s="12">
        <v>20.302017500000002</v>
      </c>
      <c r="N76" s="12">
        <v>8.7742263000000005</v>
      </c>
      <c r="O76" s="12">
        <v>10.803480800000001</v>
      </c>
      <c r="P76" s="7">
        <v>2452.4</v>
      </c>
      <c r="Q76" s="7">
        <v>302.7</v>
      </c>
      <c r="R76" s="7">
        <v>11</v>
      </c>
      <c r="S76" s="12">
        <v>4.1394336000000003</v>
      </c>
      <c r="T76" s="12">
        <v>0.05</v>
      </c>
      <c r="U76" s="12">
        <v>99.77</v>
      </c>
      <c r="V76" s="12">
        <v>1</v>
      </c>
      <c r="W76" s="12">
        <v>10.5077575</v>
      </c>
      <c r="X76" s="12">
        <v>5.9522816000000001</v>
      </c>
      <c r="Y76" s="12">
        <v>8.4509678000000008</v>
      </c>
      <c r="Z76" s="12">
        <v>-1.3983112</v>
      </c>
      <c r="AA76" s="12">
        <v>53.1826297</v>
      </c>
      <c r="AB76" s="12">
        <v>21.447527099999999</v>
      </c>
      <c r="AC76" s="12">
        <v>24.1915561</v>
      </c>
      <c r="AD76" s="12">
        <v>93.323522299999993</v>
      </c>
      <c r="AE76" s="12">
        <v>92.145235200000002</v>
      </c>
      <c r="AF76" s="12">
        <v>12.3904555</v>
      </c>
      <c r="AG76" s="12">
        <v>51.685345599999998</v>
      </c>
    </row>
    <row r="77" spans="1:33" s="11" customFormat="1" hidden="1" outlineLevel="1" x14ac:dyDescent="0.3">
      <c r="A77" s="11" t="s">
        <v>83</v>
      </c>
      <c r="B77" s="12">
        <v>1.9366078</v>
      </c>
      <c r="C77" s="12">
        <v>99.246666700000006</v>
      </c>
      <c r="D77" s="12">
        <v>4.3681400000000002E-2</v>
      </c>
      <c r="E77" s="17">
        <v>3.3333300000000003E-2</v>
      </c>
      <c r="F77" s="13">
        <v>33.696666700000002</v>
      </c>
      <c r="G77" s="12">
        <v>3.7575131000000002</v>
      </c>
      <c r="H77" s="12">
        <v>3.7279597</v>
      </c>
      <c r="I77" s="12">
        <v>-2.1872392000000001</v>
      </c>
      <c r="J77" s="12">
        <v>2.6501796</v>
      </c>
      <c r="K77" s="12">
        <v>3.6503971000000002</v>
      </c>
      <c r="L77" s="12">
        <v>4.2136117999999998</v>
      </c>
      <c r="M77" s="12">
        <v>3.5696783999999999</v>
      </c>
      <c r="N77" s="12">
        <v>0.70607920000000002</v>
      </c>
      <c r="O77" s="12">
        <v>1.6804224999999999</v>
      </c>
      <c r="P77" s="7">
        <v>2461.6</v>
      </c>
      <c r="Q77" s="7">
        <v>285.5</v>
      </c>
      <c r="R77" s="7">
        <v>10.4</v>
      </c>
      <c r="S77" s="12">
        <v>3.3373062999999998</v>
      </c>
      <c r="T77" s="12">
        <v>0</v>
      </c>
      <c r="U77" s="12">
        <v>99.33</v>
      </c>
      <c r="V77" s="12">
        <v>1</v>
      </c>
      <c r="W77" s="12">
        <v>3.9607312000000001</v>
      </c>
      <c r="X77" s="12">
        <v>2.9222453000000002</v>
      </c>
      <c r="Y77" s="12">
        <v>2.9915468999999999</v>
      </c>
      <c r="Z77" s="12">
        <v>-2.7039605</v>
      </c>
      <c r="AA77" s="12">
        <v>57.453944499999999</v>
      </c>
      <c r="AB77" s="12">
        <v>18.464492799999999</v>
      </c>
      <c r="AC77" s="12">
        <v>21.233177099999999</v>
      </c>
      <c r="AD77" s="12">
        <v>95.114149400000002</v>
      </c>
      <c r="AE77" s="12">
        <v>92.266298599999999</v>
      </c>
      <c r="AF77" s="12">
        <v>12.2076271</v>
      </c>
      <c r="AG77" s="12">
        <v>50.960927900000002</v>
      </c>
    </row>
    <row r="78" spans="1:33" s="11" customFormat="1" hidden="1" outlineLevel="1" x14ac:dyDescent="0.3">
      <c r="A78" s="11" t="s">
        <v>84</v>
      </c>
      <c r="B78" s="12">
        <v>2.4666936000000002</v>
      </c>
      <c r="C78" s="12">
        <v>100.42</v>
      </c>
      <c r="D78" s="12">
        <v>-0.10279530000000001</v>
      </c>
      <c r="E78" s="17">
        <v>0</v>
      </c>
      <c r="F78" s="13">
        <v>45.523333299999997</v>
      </c>
      <c r="G78" s="12">
        <v>-0.87232909999999997</v>
      </c>
      <c r="H78" s="12">
        <v>-1.8672477000000001</v>
      </c>
      <c r="I78" s="12">
        <v>-2.3768674999999999</v>
      </c>
      <c r="J78" s="12">
        <v>2.4773881000000002</v>
      </c>
      <c r="K78" s="12">
        <v>4.5909262999999996</v>
      </c>
      <c r="L78" s="12">
        <v>3.0191333999999999</v>
      </c>
      <c r="M78" s="12">
        <v>-0.89981500000000003</v>
      </c>
      <c r="N78" s="12">
        <v>7.4669992000000001</v>
      </c>
      <c r="O78" s="12">
        <v>8.1761970000000002</v>
      </c>
      <c r="P78" s="7">
        <v>2490.8000000000002</v>
      </c>
      <c r="Q78" s="7">
        <v>265.8</v>
      </c>
      <c r="R78" s="7">
        <v>9.6</v>
      </c>
      <c r="S78" s="12">
        <v>2.7366020999999998</v>
      </c>
      <c r="T78" s="12">
        <v>0</v>
      </c>
      <c r="U78" s="12">
        <v>99.75</v>
      </c>
      <c r="V78" s="12">
        <v>1</v>
      </c>
      <c r="W78" s="12">
        <v>5.9973492000000004</v>
      </c>
      <c r="X78" s="12">
        <v>8.7905347999999996</v>
      </c>
      <c r="Y78" s="12">
        <v>6.4586411000000004</v>
      </c>
      <c r="Z78" s="12">
        <v>-0.41490719999999998</v>
      </c>
      <c r="AA78" s="12">
        <v>54.817396600000002</v>
      </c>
      <c r="AB78" s="12">
        <v>18.211179900000001</v>
      </c>
      <c r="AC78" s="12">
        <v>23.354258900000001</v>
      </c>
      <c r="AD78" s="12">
        <v>95.740810800000006</v>
      </c>
      <c r="AE78" s="12">
        <v>92.124137899999994</v>
      </c>
      <c r="AF78" s="12">
        <v>12.762022200000001</v>
      </c>
      <c r="AG78" s="12">
        <v>52.489749600000003</v>
      </c>
    </row>
    <row r="79" spans="1:33" s="11" customFormat="1" hidden="1" outlineLevel="1" x14ac:dyDescent="0.3">
      <c r="A79" s="11" t="s">
        <v>85</v>
      </c>
      <c r="B79" s="12">
        <v>1.6225508</v>
      </c>
      <c r="C79" s="12">
        <v>100.42</v>
      </c>
      <c r="D79" s="12">
        <v>0.26625840000000001</v>
      </c>
      <c r="E79" s="17">
        <v>0</v>
      </c>
      <c r="F79" s="13">
        <v>45.786666699999998</v>
      </c>
      <c r="G79" s="12">
        <v>-7.9729834999999998</v>
      </c>
      <c r="H79" s="12">
        <v>-7.9662994999999999</v>
      </c>
      <c r="I79" s="12">
        <v>-1.5742027000000001</v>
      </c>
      <c r="J79" s="12">
        <v>1.1468923</v>
      </c>
      <c r="K79" s="12">
        <v>3.0728822999999998</v>
      </c>
      <c r="L79" s="12">
        <v>2.3687437</v>
      </c>
      <c r="M79" s="12">
        <v>-6.0706895000000003</v>
      </c>
      <c r="N79" s="12">
        <v>4.7709504000000003</v>
      </c>
      <c r="O79" s="12">
        <v>3.8738120999999999</v>
      </c>
      <c r="P79" s="7">
        <v>2503.4</v>
      </c>
      <c r="Q79" s="7">
        <v>263.5</v>
      </c>
      <c r="R79" s="7">
        <v>9.5</v>
      </c>
      <c r="S79" s="12">
        <v>3.2520324999999999</v>
      </c>
      <c r="T79" s="12">
        <v>0</v>
      </c>
      <c r="U79" s="12">
        <v>99.326666700000004</v>
      </c>
      <c r="V79" s="12">
        <v>1</v>
      </c>
      <c r="W79" s="12">
        <v>1.6234888000000001</v>
      </c>
      <c r="X79" s="12">
        <v>1.7324911000000001</v>
      </c>
      <c r="Y79" s="12">
        <v>0.13782530000000001</v>
      </c>
      <c r="Z79" s="12">
        <v>-2.5048840999999999</v>
      </c>
      <c r="AA79" s="12">
        <v>52.909497500000001</v>
      </c>
      <c r="AB79" s="12">
        <v>17.497940400000001</v>
      </c>
      <c r="AC79" s="12">
        <v>26.6837707</v>
      </c>
      <c r="AD79" s="12">
        <v>85.769565700000001</v>
      </c>
      <c r="AE79" s="12">
        <v>82.860303599999995</v>
      </c>
      <c r="AF79" s="12">
        <v>13.219556799999999</v>
      </c>
      <c r="AG79" s="12">
        <v>52.6536574</v>
      </c>
    </row>
    <row r="80" spans="1:33" s="11" customFormat="1" hidden="1" outlineLevel="1" x14ac:dyDescent="0.3">
      <c r="A80" s="11" t="s">
        <v>86</v>
      </c>
      <c r="B80" s="12">
        <v>1.866331</v>
      </c>
      <c r="C80" s="12">
        <v>100.89333329999999</v>
      </c>
      <c r="D80" s="12">
        <v>0.7690515</v>
      </c>
      <c r="E80" s="17">
        <v>0</v>
      </c>
      <c r="F80" s="13">
        <v>49.186666700000004</v>
      </c>
      <c r="G80" s="12">
        <v>-12.8430809</v>
      </c>
      <c r="H80" s="12">
        <v>-13.003425099999999</v>
      </c>
      <c r="I80" s="12">
        <v>-4.1227485000000001</v>
      </c>
      <c r="J80" s="12">
        <v>1.6177115</v>
      </c>
      <c r="K80" s="12">
        <v>4.2037068</v>
      </c>
      <c r="L80" s="12">
        <v>-0.98081119999999999</v>
      </c>
      <c r="M80" s="12">
        <v>-8.1191285000000004</v>
      </c>
      <c r="N80" s="12">
        <v>6.9616050999999999</v>
      </c>
      <c r="O80" s="12">
        <v>5.4269727000000003</v>
      </c>
      <c r="P80" s="7">
        <v>2512.6</v>
      </c>
      <c r="Q80" s="7">
        <v>252.4</v>
      </c>
      <c r="R80" s="7">
        <v>9.1</v>
      </c>
      <c r="S80" s="12">
        <v>3.5564854000000001</v>
      </c>
      <c r="T80" s="12">
        <v>0</v>
      </c>
      <c r="U80" s="12">
        <v>99.666666699999993</v>
      </c>
      <c r="V80" s="12">
        <v>1</v>
      </c>
      <c r="W80" s="12">
        <v>2.7121889000000001</v>
      </c>
      <c r="X80" s="12">
        <v>3.9285827000000002</v>
      </c>
      <c r="Y80" s="12">
        <v>3.9926997000000002</v>
      </c>
      <c r="Z80" s="12">
        <v>-5.2377776000000003</v>
      </c>
      <c r="AA80" s="12">
        <v>54.9189936</v>
      </c>
      <c r="AB80" s="12">
        <v>21.298008200000002</v>
      </c>
      <c r="AC80" s="12">
        <v>21.5457924</v>
      </c>
      <c r="AD80" s="12">
        <v>97.583627199999995</v>
      </c>
      <c r="AE80" s="12">
        <v>95.346421399999997</v>
      </c>
      <c r="AF80" s="12">
        <v>13.460202300000001</v>
      </c>
      <c r="AG80" s="12">
        <v>52.274897500000002</v>
      </c>
    </row>
    <row r="81" spans="1:33" s="11" customFormat="1" hidden="1" outlineLevel="1" x14ac:dyDescent="0.3">
      <c r="A81" s="11" t="s">
        <v>87</v>
      </c>
      <c r="B81" s="12">
        <v>3.0351661999999999</v>
      </c>
      <c r="C81" s="12">
        <v>101</v>
      </c>
      <c r="D81" s="12">
        <v>1.766642</v>
      </c>
      <c r="E81" s="17">
        <v>0</v>
      </c>
      <c r="F81" s="13">
        <v>53.68</v>
      </c>
      <c r="G81" s="12">
        <v>-3.8768188000000001</v>
      </c>
      <c r="H81" s="12">
        <v>-1.6499744000000001</v>
      </c>
      <c r="I81" s="12">
        <v>-1.1605798000000001</v>
      </c>
      <c r="J81" s="12">
        <v>1.9712253</v>
      </c>
      <c r="K81" s="12">
        <v>4.5404479000000002</v>
      </c>
      <c r="L81" s="12">
        <v>1.6143681999999999</v>
      </c>
      <c r="M81" s="12">
        <v>-1.6560827</v>
      </c>
      <c r="N81" s="12">
        <v>7.5778385999999998</v>
      </c>
      <c r="O81" s="12">
        <v>8.3807688999999996</v>
      </c>
      <c r="P81" s="7">
        <v>2512.6999999999998</v>
      </c>
      <c r="Q81" s="7">
        <v>239.7</v>
      </c>
      <c r="R81" s="7">
        <v>8.6999999999999993</v>
      </c>
      <c r="S81" s="12">
        <v>3.4602075999999999</v>
      </c>
      <c r="T81" s="12">
        <v>0</v>
      </c>
      <c r="U81" s="12">
        <v>100.33</v>
      </c>
      <c r="V81" s="12">
        <v>1</v>
      </c>
      <c r="W81" s="12">
        <v>6.5125365999999998</v>
      </c>
      <c r="X81" s="12">
        <v>9.3053234000000007</v>
      </c>
      <c r="Y81" s="12">
        <v>10.759789400000001</v>
      </c>
      <c r="Z81" s="12">
        <v>-1.7050236000000001</v>
      </c>
      <c r="AA81" s="12">
        <v>58.989038399999998</v>
      </c>
      <c r="AB81" s="12">
        <v>18.769806200000001</v>
      </c>
      <c r="AC81" s="12">
        <v>20.391708699999999</v>
      </c>
      <c r="AD81" s="12">
        <v>101.5912515</v>
      </c>
      <c r="AE81" s="12">
        <v>99.742324300000007</v>
      </c>
      <c r="AF81" s="12">
        <v>13.8854273</v>
      </c>
      <c r="AG81" s="12">
        <v>52.041280299999997</v>
      </c>
    </row>
    <row r="82" spans="1:33" s="11" customFormat="1" hidden="1" outlineLevel="1" x14ac:dyDescent="0.3">
      <c r="A82" s="11" t="s">
        <v>88</v>
      </c>
      <c r="B82" s="12">
        <v>2.3084487</v>
      </c>
      <c r="C82" s="12">
        <v>102.11333329999999</v>
      </c>
      <c r="D82" s="12">
        <v>1.6862509999999999</v>
      </c>
      <c r="E82" s="17">
        <v>0</v>
      </c>
      <c r="F82" s="13">
        <v>49.67</v>
      </c>
      <c r="G82" s="12">
        <v>-4.5919442000000004</v>
      </c>
      <c r="H82" s="12">
        <v>-0.54577710000000002</v>
      </c>
      <c r="I82" s="12">
        <v>-0.63802559999999997</v>
      </c>
      <c r="J82" s="12">
        <v>3.2065041999999999</v>
      </c>
      <c r="K82" s="12">
        <v>4.4828806999999999</v>
      </c>
      <c r="L82" s="12">
        <v>1.414798</v>
      </c>
      <c r="M82" s="12">
        <v>0.82410669999999997</v>
      </c>
      <c r="N82" s="12">
        <v>-0.27038069999999997</v>
      </c>
      <c r="O82" s="12">
        <v>-0.67971510000000002</v>
      </c>
      <c r="P82" s="7">
        <v>2526.8000000000002</v>
      </c>
      <c r="Q82" s="7">
        <v>223.2</v>
      </c>
      <c r="R82" s="7">
        <v>8.1</v>
      </c>
      <c r="S82" s="12">
        <v>4.772475</v>
      </c>
      <c r="T82" s="12">
        <v>0</v>
      </c>
      <c r="U82" s="12">
        <v>100.7333333</v>
      </c>
      <c r="V82" s="12">
        <v>1</v>
      </c>
      <c r="W82" s="12">
        <v>0.59393569999999996</v>
      </c>
      <c r="X82" s="12">
        <v>2.0823296999999998</v>
      </c>
      <c r="Y82" s="12">
        <v>2.4665827</v>
      </c>
      <c r="Z82" s="12">
        <v>-0.83968129999999996</v>
      </c>
      <c r="AA82" s="12">
        <v>55.685794799999996</v>
      </c>
      <c r="AB82" s="12">
        <v>18.2873901</v>
      </c>
      <c r="AC82" s="12">
        <v>23.008590399999999</v>
      </c>
      <c r="AD82" s="12">
        <v>93.961189500000003</v>
      </c>
      <c r="AE82" s="12">
        <v>90.942965000000001</v>
      </c>
      <c r="AF82" s="12">
        <v>13.3770731</v>
      </c>
      <c r="AG82" s="12">
        <v>50.930259700000001</v>
      </c>
    </row>
    <row r="83" spans="1:33" s="11" customFormat="1" hidden="1" outlineLevel="1" x14ac:dyDescent="0.3">
      <c r="A83" s="11" t="s">
        <v>89</v>
      </c>
      <c r="B83" s="12">
        <v>3.0333996999999999</v>
      </c>
      <c r="C83" s="12">
        <v>102.1166667</v>
      </c>
      <c r="D83" s="12">
        <v>1.6895705000000001</v>
      </c>
      <c r="E83" s="17">
        <v>0</v>
      </c>
      <c r="F83" s="13">
        <v>52.11</v>
      </c>
      <c r="G83" s="12">
        <v>-2.1921472999999998</v>
      </c>
      <c r="H83" s="12">
        <v>0.11929579999999999</v>
      </c>
      <c r="I83" s="12">
        <v>-0.64258689999999996</v>
      </c>
      <c r="J83" s="12">
        <v>2.9045331999999999</v>
      </c>
      <c r="K83" s="12">
        <v>5.0972447000000001</v>
      </c>
      <c r="L83" s="12">
        <v>1.0589644</v>
      </c>
      <c r="M83" s="12">
        <v>6.9794494</v>
      </c>
      <c r="N83" s="12">
        <v>3.3534009999999999</v>
      </c>
      <c r="O83" s="12">
        <v>5.6065985999999999</v>
      </c>
      <c r="P83" s="7">
        <v>2543</v>
      </c>
      <c r="Q83" s="7">
        <v>220.2</v>
      </c>
      <c r="R83" s="7">
        <v>8</v>
      </c>
      <c r="S83" s="12">
        <v>5.1743531999999997</v>
      </c>
      <c r="T83" s="12">
        <v>0</v>
      </c>
      <c r="U83" s="12">
        <v>100.9333333</v>
      </c>
      <c r="V83" s="12">
        <v>1</v>
      </c>
      <c r="W83" s="12">
        <v>3.8409244999999999</v>
      </c>
      <c r="X83" s="12">
        <v>7.7666446000000002</v>
      </c>
      <c r="Y83" s="12">
        <v>9.0028555000000008</v>
      </c>
      <c r="Z83" s="12">
        <v>-2.3982421</v>
      </c>
      <c r="AA83" s="12">
        <v>53.928767299999997</v>
      </c>
      <c r="AB83" s="12">
        <v>17.497236399999998</v>
      </c>
      <c r="AC83" s="12">
        <v>27.671678499999999</v>
      </c>
      <c r="AD83" s="12">
        <v>87.147812999999999</v>
      </c>
      <c r="AE83" s="12">
        <v>86.2450458</v>
      </c>
      <c r="AF83" s="12">
        <v>12.343640199999999</v>
      </c>
      <c r="AG83" s="12">
        <v>51.191982000000003</v>
      </c>
    </row>
    <row r="84" spans="1:33" s="11" customFormat="1" hidden="1" outlineLevel="1" x14ac:dyDescent="0.3">
      <c r="A84" s="11" t="s">
        <v>90</v>
      </c>
      <c r="B84" s="12">
        <v>2.9900169999999999</v>
      </c>
      <c r="C84" s="12">
        <v>102.6233333</v>
      </c>
      <c r="D84" s="12">
        <v>1.7146821999999999</v>
      </c>
      <c r="E84" s="17">
        <v>0</v>
      </c>
      <c r="F84" s="13">
        <v>61.53</v>
      </c>
      <c r="G84" s="12">
        <v>-2.5658463999999999</v>
      </c>
      <c r="H84" s="12">
        <v>3.2604761</v>
      </c>
      <c r="I84" s="12">
        <v>-1.4914311</v>
      </c>
      <c r="J84" s="12">
        <v>3.5753892999999999</v>
      </c>
      <c r="K84" s="12">
        <v>4.7097161999999999</v>
      </c>
      <c r="L84" s="12">
        <v>0.32260260000000002</v>
      </c>
      <c r="M84" s="12">
        <v>6.5262999999999996E-3</v>
      </c>
      <c r="N84" s="12">
        <v>4.3684259000000001</v>
      </c>
      <c r="O84" s="12">
        <v>3.4909903999999998</v>
      </c>
      <c r="P84" s="7">
        <v>2540.1999999999998</v>
      </c>
      <c r="Q84" s="7">
        <v>212.8</v>
      </c>
      <c r="R84" s="7">
        <v>7.7</v>
      </c>
      <c r="S84" s="12">
        <v>5.1515152000000004</v>
      </c>
      <c r="T84" s="12">
        <v>0</v>
      </c>
      <c r="U84" s="12">
        <v>101.61333329999999</v>
      </c>
      <c r="V84" s="12">
        <v>1</v>
      </c>
      <c r="W84" s="12">
        <v>4.8462255000000001</v>
      </c>
      <c r="X84" s="12">
        <v>6.8621653</v>
      </c>
      <c r="Y84" s="12">
        <v>5.3741595999999996</v>
      </c>
      <c r="Z84" s="12">
        <v>-2.6304661</v>
      </c>
      <c r="AA84" s="12">
        <v>55.6071898</v>
      </c>
      <c r="AB84" s="12">
        <v>21.0118996</v>
      </c>
      <c r="AC84" s="12">
        <v>20.7745438</v>
      </c>
      <c r="AD84" s="12">
        <v>98.463098400000007</v>
      </c>
      <c r="AE84" s="12">
        <v>95.856277000000006</v>
      </c>
      <c r="AF84" s="12">
        <v>11.706868999999999</v>
      </c>
      <c r="AG84" s="12">
        <v>51.461617400000002</v>
      </c>
    </row>
    <row r="85" spans="1:33" s="11" customFormat="1" hidden="1" outlineLevel="1" x14ac:dyDescent="0.3">
      <c r="A85" s="11" t="s">
        <v>91</v>
      </c>
      <c r="B85" s="12">
        <v>2.2828298</v>
      </c>
      <c r="C85" s="12">
        <v>102.5466667</v>
      </c>
      <c r="D85" s="12">
        <v>1.5313532000000001</v>
      </c>
      <c r="E85" s="17">
        <v>0</v>
      </c>
      <c r="F85" s="13">
        <v>66.806666699999994</v>
      </c>
      <c r="G85" s="12">
        <v>3.4136858000000001</v>
      </c>
      <c r="H85" s="12">
        <v>5.6495742</v>
      </c>
      <c r="I85" s="12">
        <v>-0.31165490000000001</v>
      </c>
      <c r="J85" s="12">
        <v>3.7876224000000001</v>
      </c>
      <c r="K85" s="12">
        <v>5.0222429999999996</v>
      </c>
      <c r="L85" s="12">
        <v>-0.40078429999999998</v>
      </c>
      <c r="M85" s="12">
        <v>3.2311977999999999</v>
      </c>
      <c r="N85" s="12">
        <v>1.8136516</v>
      </c>
      <c r="O85" s="12">
        <v>1.4788408</v>
      </c>
      <c r="P85" s="7">
        <v>2542.6</v>
      </c>
      <c r="Q85" s="7">
        <v>194.1</v>
      </c>
      <c r="R85" s="7">
        <v>7.1</v>
      </c>
      <c r="S85" s="12">
        <v>6.4659978000000002</v>
      </c>
      <c r="T85" s="12">
        <v>0</v>
      </c>
      <c r="U85" s="12">
        <v>102.7633333</v>
      </c>
      <c r="V85" s="12">
        <v>1</v>
      </c>
      <c r="W85" s="12">
        <v>2.2928768000000002</v>
      </c>
      <c r="X85" s="12">
        <v>4.9247613000000001</v>
      </c>
      <c r="Y85" s="12">
        <v>4.9955216</v>
      </c>
      <c r="Z85" s="12">
        <v>-1.3830606999999999</v>
      </c>
      <c r="AA85" s="12">
        <v>59.843141899999999</v>
      </c>
      <c r="AB85" s="12">
        <v>18.371443599999999</v>
      </c>
      <c r="AC85" s="12">
        <v>20.2399007</v>
      </c>
      <c r="AD85" s="12">
        <v>99.722700700000004</v>
      </c>
      <c r="AE85" s="12">
        <v>98.177186899999995</v>
      </c>
      <c r="AF85" s="12">
        <v>12.4503614</v>
      </c>
      <c r="AG85" s="12">
        <v>49.046283299999999</v>
      </c>
    </row>
    <row r="86" spans="1:33" s="11" customFormat="1" hidden="1" outlineLevel="1" x14ac:dyDescent="0.3">
      <c r="A86" s="11" t="s">
        <v>92</v>
      </c>
      <c r="B86" s="12">
        <v>2.5023559999999998</v>
      </c>
      <c r="C86" s="12">
        <v>104.0133333</v>
      </c>
      <c r="D86" s="12">
        <v>1.8606777000000001</v>
      </c>
      <c r="E86" s="17">
        <v>0</v>
      </c>
      <c r="F86" s="13">
        <v>74.5</v>
      </c>
      <c r="G86" s="12">
        <v>5.9536366999999997</v>
      </c>
      <c r="H86" s="12">
        <v>6.4193866000000002</v>
      </c>
      <c r="I86" s="12">
        <v>-0.46890929999999997</v>
      </c>
      <c r="J86" s="12">
        <v>4.3163007999999996</v>
      </c>
      <c r="K86" s="12">
        <v>3.1631882</v>
      </c>
      <c r="L86" s="12">
        <v>-0.32856639999999998</v>
      </c>
      <c r="M86" s="12">
        <v>5.3846634</v>
      </c>
      <c r="N86" s="12">
        <v>8.1501038999999995</v>
      </c>
      <c r="O86" s="12">
        <v>6.8579371</v>
      </c>
      <c r="P86" s="7">
        <v>2556</v>
      </c>
      <c r="Q86" s="7">
        <v>181.5</v>
      </c>
      <c r="R86" s="7">
        <v>6.6</v>
      </c>
      <c r="S86" s="12">
        <v>6.3559321999999998</v>
      </c>
      <c r="T86" s="12">
        <v>0</v>
      </c>
      <c r="U86" s="12">
        <v>103.61</v>
      </c>
      <c r="V86" s="12">
        <v>1</v>
      </c>
      <c r="W86" s="12">
        <v>7.9241764999999997</v>
      </c>
      <c r="X86" s="12">
        <v>8.8361841999999999</v>
      </c>
      <c r="Y86" s="12">
        <v>9.4667440000000003</v>
      </c>
      <c r="Z86" s="12">
        <v>-0.66436200000000001</v>
      </c>
      <c r="AA86" s="12">
        <v>55.3654212</v>
      </c>
      <c r="AB86" s="12">
        <v>17.8797146</v>
      </c>
      <c r="AC86" s="12">
        <v>22.691131500000001</v>
      </c>
      <c r="AD86" s="12">
        <v>96.819128699999993</v>
      </c>
      <c r="AE86" s="12">
        <v>92.754952799999998</v>
      </c>
      <c r="AF86" s="12">
        <v>12.2825977</v>
      </c>
      <c r="AG86" s="12">
        <v>50.835774700000002</v>
      </c>
    </row>
    <row r="87" spans="1:33" s="11" customFormat="1" hidden="1" outlineLevel="1" x14ac:dyDescent="0.3">
      <c r="A87" s="11" t="s">
        <v>93</v>
      </c>
      <c r="B87" s="12">
        <v>1.7229988000000001</v>
      </c>
      <c r="C87" s="12">
        <v>104.3666667</v>
      </c>
      <c r="D87" s="12">
        <v>2.2033621999999999</v>
      </c>
      <c r="E87" s="17">
        <v>0</v>
      </c>
      <c r="F87" s="13">
        <v>75.223333299999993</v>
      </c>
      <c r="G87" s="12">
        <v>7.0207864000000004</v>
      </c>
      <c r="H87" s="12">
        <v>7.1793199000000003</v>
      </c>
      <c r="I87" s="12">
        <v>-0.59012419999999999</v>
      </c>
      <c r="J87" s="12">
        <v>4.5787345999999998</v>
      </c>
      <c r="K87" s="12">
        <v>4.1971882000000003</v>
      </c>
      <c r="L87" s="12">
        <v>0.10236240000000001</v>
      </c>
      <c r="M87" s="12">
        <v>3.0577614</v>
      </c>
      <c r="N87" s="12">
        <v>6.0425602999999999</v>
      </c>
      <c r="O87" s="12">
        <v>4.3335751</v>
      </c>
      <c r="P87" s="7">
        <v>2579</v>
      </c>
      <c r="Q87" s="7">
        <v>175.2</v>
      </c>
      <c r="R87" s="7">
        <v>6.4</v>
      </c>
      <c r="S87" s="12">
        <v>6.0962566999999996</v>
      </c>
      <c r="T87" s="12">
        <v>0</v>
      </c>
      <c r="U87" s="12">
        <v>103.7033333</v>
      </c>
      <c r="V87" s="12">
        <v>1</v>
      </c>
      <c r="W87" s="12">
        <v>8.2815057999999997</v>
      </c>
      <c r="X87" s="12">
        <v>7.0442894999999996</v>
      </c>
      <c r="Y87" s="12">
        <v>7.4718124000000001</v>
      </c>
      <c r="Z87" s="12">
        <v>-1.6858891</v>
      </c>
      <c r="AA87" s="12">
        <v>53.743338000000001</v>
      </c>
      <c r="AB87" s="12">
        <v>17.0379462</v>
      </c>
      <c r="AC87" s="12">
        <v>27.355453199999999</v>
      </c>
      <c r="AD87" s="12">
        <v>87.969283300000001</v>
      </c>
      <c r="AE87" s="12">
        <v>86.105600300000006</v>
      </c>
      <c r="AF87" s="12">
        <v>11.996888</v>
      </c>
      <c r="AG87" s="12">
        <v>51.366958699999998</v>
      </c>
    </row>
    <row r="88" spans="1:33" s="11" customFormat="1" hidden="1" outlineLevel="1" x14ac:dyDescent="0.3">
      <c r="A88" s="11" t="s">
        <v>94</v>
      </c>
      <c r="B88" s="12">
        <v>1.7730376000000001</v>
      </c>
      <c r="C88" s="12">
        <v>104.64</v>
      </c>
      <c r="D88" s="12">
        <v>1.9651152000000001</v>
      </c>
      <c r="E88" s="17">
        <v>0</v>
      </c>
      <c r="F88" s="13">
        <v>67.713333300000002</v>
      </c>
      <c r="G88" s="12">
        <v>9.4559721999999997</v>
      </c>
      <c r="H88" s="12">
        <v>6.8277932000000003</v>
      </c>
      <c r="I88" s="12">
        <v>-2.5876111000000002</v>
      </c>
      <c r="J88" s="12">
        <v>3.4171920999999998</v>
      </c>
      <c r="K88" s="12">
        <v>4.4616123999999999</v>
      </c>
      <c r="L88" s="12">
        <v>2.2147241000000002</v>
      </c>
      <c r="M88" s="12">
        <v>9.9366991999999996</v>
      </c>
      <c r="N88" s="12">
        <v>4.5034036000000004</v>
      </c>
      <c r="O88" s="12">
        <v>6.2645033999999997</v>
      </c>
      <c r="P88" s="7">
        <v>2589.3000000000002</v>
      </c>
      <c r="Q88" s="7">
        <v>167.1</v>
      </c>
      <c r="R88" s="7">
        <v>6.1</v>
      </c>
      <c r="S88" s="12">
        <v>5.7636887999999997</v>
      </c>
      <c r="T88" s="12">
        <v>0</v>
      </c>
      <c r="U88" s="12">
        <v>103.7566667</v>
      </c>
      <c r="V88" s="12">
        <v>1</v>
      </c>
      <c r="W88" s="12">
        <v>6.4</v>
      </c>
      <c r="X88" s="12">
        <v>6.8093459000000003</v>
      </c>
      <c r="Y88" s="12">
        <v>10.091340300000001</v>
      </c>
      <c r="Z88" s="12">
        <v>-4.9267873</v>
      </c>
      <c r="AA88" s="12">
        <v>56.065483100000002</v>
      </c>
      <c r="AB88" s="12">
        <v>21.298860699999999</v>
      </c>
      <c r="AC88" s="12">
        <v>22.621398200000002</v>
      </c>
      <c r="AD88" s="12">
        <v>99.542447800000005</v>
      </c>
      <c r="AE88" s="12">
        <v>99.528189800000007</v>
      </c>
      <c r="AF88" s="12">
        <v>11.350834499999999</v>
      </c>
      <c r="AG88" s="12">
        <v>49.408009200000002</v>
      </c>
    </row>
    <row r="89" spans="1:33" s="11" customFormat="1" hidden="1" outlineLevel="1" x14ac:dyDescent="0.3">
      <c r="A89" s="11" t="s">
        <v>95</v>
      </c>
      <c r="B89" s="12">
        <v>1.9308453999999999</v>
      </c>
      <c r="C89" s="12">
        <v>104.17</v>
      </c>
      <c r="D89" s="12">
        <v>1.5830191</v>
      </c>
      <c r="E89" s="17">
        <v>0</v>
      </c>
      <c r="F89" s="13">
        <v>63.17</v>
      </c>
      <c r="G89" s="12">
        <v>7.4692333</v>
      </c>
      <c r="H89" s="12">
        <v>7.6062102999999999</v>
      </c>
      <c r="I89" s="12">
        <v>-0.26377339999999999</v>
      </c>
      <c r="J89" s="12">
        <v>3.9127556000000001</v>
      </c>
      <c r="K89" s="12">
        <v>1.8469770000000001</v>
      </c>
      <c r="L89" s="12">
        <v>3.7981645999999998</v>
      </c>
      <c r="M89" s="12">
        <v>8.0042191999999996</v>
      </c>
      <c r="N89" s="12">
        <v>7.7058431000000001</v>
      </c>
      <c r="O89" s="12">
        <v>7.3656724000000002</v>
      </c>
      <c r="P89" s="7">
        <v>2588.4</v>
      </c>
      <c r="Q89" s="7">
        <v>159.80000000000001</v>
      </c>
      <c r="R89" s="7">
        <v>5.8</v>
      </c>
      <c r="S89" s="12">
        <v>7.1204188000000004</v>
      </c>
      <c r="T89" s="12">
        <v>0</v>
      </c>
      <c r="U89" s="12">
        <v>105.2433333</v>
      </c>
      <c r="V89" s="12">
        <v>1</v>
      </c>
      <c r="W89" s="12">
        <v>8.0992230000000003</v>
      </c>
      <c r="X89" s="12">
        <v>8.1106285000000007</v>
      </c>
      <c r="Y89" s="12">
        <v>7.3066335999999996</v>
      </c>
      <c r="Z89" s="12">
        <v>-1.6350275999999999</v>
      </c>
      <c r="AA89" s="12">
        <v>58.728648800000002</v>
      </c>
      <c r="AB89" s="12">
        <v>18.892427300000001</v>
      </c>
      <c r="AC89" s="12">
        <v>21.066949699999999</v>
      </c>
      <c r="AD89" s="12">
        <v>100.4659691</v>
      </c>
      <c r="AE89" s="12">
        <v>99.153994999999995</v>
      </c>
      <c r="AF89" s="12">
        <v>9.4867480999999998</v>
      </c>
      <c r="AG89" s="12">
        <v>47.653545399999999</v>
      </c>
    </row>
    <row r="90" spans="1:33" s="11" customFormat="1" hidden="1" outlineLevel="1" x14ac:dyDescent="0.3">
      <c r="A90" s="11" t="s">
        <v>96</v>
      </c>
      <c r="B90" s="12">
        <v>1.5959346999999999</v>
      </c>
      <c r="C90" s="12">
        <v>105.7566667</v>
      </c>
      <c r="D90" s="12">
        <v>1.6760672000000001</v>
      </c>
      <c r="E90" s="17">
        <v>0</v>
      </c>
      <c r="F90" s="13">
        <v>68.923333299999996</v>
      </c>
      <c r="G90" s="12">
        <v>5.7811631999999999</v>
      </c>
      <c r="H90" s="12">
        <v>5.6067318000000004</v>
      </c>
      <c r="I90" s="12">
        <v>-0.53493310000000005</v>
      </c>
      <c r="J90" s="12">
        <v>2.5053827000000002</v>
      </c>
      <c r="K90" s="12">
        <v>3.4189544999999999</v>
      </c>
      <c r="L90" s="12">
        <v>5.7796751999999998</v>
      </c>
      <c r="M90" s="12">
        <v>10.4993093</v>
      </c>
      <c r="N90" s="12">
        <v>-1.7767613</v>
      </c>
      <c r="O90" s="12">
        <v>1.2279739000000001</v>
      </c>
      <c r="P90" s="7">
        <v>2569.9</v>
      </c>
      <c r="Q90" s="7">
        <v>155</v>
      </c>
      <c r="R90" s="7">
        <v>5.7</v>
      </c>
      <c r="S90" s="12">
        <v>9.6613545999999992</v>
      </c>
      <c r="T90" s="12">
        <v>0</v>
      </c>
      <c r="U90" s="12">
        <v>106.2966667</v>
      </c>
      <c r="V90" s="12">
        <v>1</v>
      </c>
      <c r="W90" s="12">
        <v>2.9657355999999999</v>
      </c>
      <c r="X90" s="12">
        <v>6.9194E-3</v>
      </c>
      <c r="Y90" s="12">
        <v>2.9747091999999999</v>
      </c>
      <c r="Z90" s="12">
        <v>-3.5719859999999999</v>
      </c>
      <c r="AA90" s="12">
        <v>55.853256199999997</v>
      </c>
      <c r="AB90" s="12">
        <v>18.9006872</v>
      </c>
      <c r="AC90" s="12">
        <v>24.405266600000001</v>
      </c>
      <c r="AD90" s="12">
        <v>91.383274499999999</v>
      </c>
      <c r="AE90" s="12">
        <v>90.542484599999995</v>
      </c>
      <c r="AF90" s="12">
        <v>8.5109671000000002</v>
      </c>
      <c r="AG90" s="12">
        <v>47.616798500000002</v>
      </c>
    </row>
    <row r="91" spans="1:33" s="11" customFormat="1" hidden="1" outlineLevel="1" x14ac:dyDescent="0.3">
      <c r="A91" s="11" t="s">
        <v>97</v>
      </c>
      <c r="B91" s="12">
        <v>2.3612953000000001</v>
      </c>
      <c r="C91" s="12">
        <v>105.74</v>
      </c>
      <c r="D91" s="12">
        <v>1.3158734999999999</v>
      </c>
      <c r="E91" s="17">
        <v>0</v>
      </c>
      <c r="F91" s="13">
        <v>61.93</v>
      </c>
      <c r="G91" s="12">
        <v>7.2153079</v>
      </c>
      <c r="H91" s="12">
        <v>6.5615015999999997</v>
      </c>
      <c r="I91" s="12">
        <v>-0.83699650000000003</v>
      </c>
      <c r="J91" s="12">
        <v>1.6401079999999999</v>
      </c>
      <c r="K91" s="12">
        <v>2.1739845</v>
      </c>
      <c r="L91" s="12">
        <v>3.7431716000000002</v>
      </c>
      <c r="M91" s="12">
        <v>9.2368193999999999</v>
      </c>
      <c r="N91" s="12">
        <v>-0.44032749999999998</v>
      </c>
      <c r="O91" s="12">
        <v>2.7391073000000001</v>
      </c>
      <c r="P91" s="7">
        <v>2585.1</v>
      </c>
      <c r="Q91" s="7">
        <v>161.19999999999999</v>
      </c>
      <c r="R91" s="7">
        <v>5.9</v>
      </c>
      <c r="S91" s="12">
        <v>7.6612903000000001</v>
      </c>
      <c r="T91" s="12">
        <v>0</v>
      </c>
      <c r="U91" s="12">
        <v>106.8266667</v>
      </c>
      <c r="V91" s="12">
        <v>1</v>
      </c>
      <c r="W91" s="12">
        <v>-3.4159613000000002</v>
      </c>
      <c r="X91" s="12">
        <v>-1.5664487</v>
      </c>
      <c r="Y91" s="12">
        <v>1.7257769999999999</v>
      </c>
      <c r="Z91" s="12">
        <v>-5.2279841999999999</v>
      </c>
      <c r="AA91" s="12">
        <v>54.474930700000002</v>
      </c>
      <c r="AB91" s="12">
        <v>17.975960700000002</v>
      </c>
      <c r="AC91" s="12">
        <v>28.456665999999998</v>
      </c>
      <c r="AD91" s="12">
        <v>84.019610999999998</v>
      </c>
      <c r="AE91" s="12">
        <v>84.927168300000005</v>
      </c>
      <c r="AF91" s="12">
        <v>8.0601356000000006</v>
      </c>
      <c r="AG91" s="12">
        <v>47.8303966</v>
      </c>
    </row>
    <row r="92" spans="1:33" s="11" customFormat="1" hidden="1" outlineLevel="1" x14ac:dyDescent="0.3">
      <c r="A92" s="11" t="s">
        <v>98</v>
      </c>
      <c r="B92" s="12">
        <v>1.3592039</v>
      </c>
      <c r="C92" s="12">
        <v>106.0066667</v>
      </c>
      <c r="D92" s="12">
        <v>1.3060653</v>
      </c>
      <c r="E92" s="17">
        <v>0</v>
      </c>
      <c r="F92" s="13">
        <v>63.41</v>
      </c>
      <c r="G92" s="12">
        <v>8.5859220000000001</v>
      </c>
      <c r="H92" s="12">
        <v>7.568765</v>
      </c>
      <c r="I92" s="12">
        <v>-3.0837023000000001</v>
      </c>
      <c r="J92" s="12">
        <v>2.1662758000000002</v>
      </c>
      <c r="K92" s="12">
        <v>2.9453320999999999</v>
      </c>
      <c r="L92" s="12">
        <v>4.7211822000000003</v>
      </c>
      <c r="M92" s="12">
        <v>-3.4092482999999998</v>
      </c>
      <c r="N92" s="12">
        <v>-1.7420534000000001</v>
      </c>
      <c r="O92" s="12">
        <v>-1.9608288</v>
      </c>
      <c r="P92" s="7">
        <v>2591.1999999999998</v>
      </c>
      <c r="Q92" s="7">
        <v>154.9</v>
      </c>
      <c r="R92" s="7">
        <v>5.6</v>
      </c>
      <c r="S92" s="12">
        <v>6.9028156000000003</v>
      </c>
      <c r="T92" s="12">
        <v>0</v>
      </c>
      <c r="U92" s="12">
        <v>106.9366667</v>
      </c>
      <c r="V92" s="12">
        <v>1</v>
      </c>
      <c r="W92" s="12">
        <v>-4.5669729999999999</v>
      </c>
      <c r="X92" s="12">
        <v>-0.86614979999999997</v>
      </c>
      <c r="Y92" s="12">
        <v>-3.0798641</v>
      </c>
      <c r="Z92" s="12">
        <v>-2.7607260999999998</v>
      </c>
      <c r="AA92" s="12">
        <v>56.664006000000001</v>
      </c>
      <c r="AB92" s="12">
        <v>22.5001234</v>
      </c>
      <c r="AC92" s="12">
        <v>20.6507249</v>
      </c>
      <c r="AD92" s="12">
        <v>92.763688400000007</v>
      </c>
      <c r="AE92" s="12">
        <v>92.578542900000002</v>
      </c>
      <c r="AF92" s="12">
        <v>7.9950558000000003</v>
      </c>
      <c r="AG92" s="12">
        <v>47.978125499999997</v>
      </c>
    </row>
    <row r="93" spans="1:33" s="11" customFormat="1" hidden="1" outlineLevel="1" x14ac:dyDescent="0.3">
      <c r="A93" s="11" t="s">
        <v>99</v>
      </c>
      <c r="B93" s="12">
        <v>-2.2061226999999999</v>
      </c>
      <c r="C93" s="12">
        <v>105.74666670000001</v>
      </c>
      <c r="D93" s="12">
        <v>1.5135516</v>
      </c>
      <c r="E93" s="17">
        <v>0</v>
      </c>
      <c r="F93" s="13">
        <v>50.44</v>
      </c>
      <c r="G93" s="12">
        <v>7.7698999000000004</v>
      </c>
      <c r="H93" s="12">
        <v>2.9889644999999998</v>
      </c>
      <c r="I93" s="12">
        <v>-2.1357287</v>
      </c>
      <c r="J93" s="12">
        <v>-2.1284299</v>
      </c>
      <c r="K93" s="12">
        <v>1.0498666000000001</v>
      </c>
      <c r="L93" s="12">
        <v>-0.48249900000000001</v>
      </c>
      <c r="M93" s="12">
        <v>2.8458516</v>
      </c>
      <c r="N93" s="12">
        <v>-4.8607589999999998</v>
      </c>
      <c r="O93" s="12">
        <v>-1.7476152</v>
      </c>
      <c r="P93" s="7">
        <v>2552.3000000000002</v>
      </c>
      <c r="Q93" s="7">
        <v>161.6</v>
      </c>
      <c r="R93" s="7">
        <v>6</v>
      </c>
      <c r="S93" s="12">
        <v>6.1583578000000001</v>
      </c>
      <c r="T93" s="12">
        <v>0</v>
      </c>
      <c r="U93" s="12">
        <v>108.3133333</v>
      </c>
      <c r="V93" s="12">
        <v>1</v>
      </c>
      <c r="W93" s="12">
        <v>-6.9394526000000001</v>
      </c>
      <c r="X93" s="12">
        <v>-6.3817133999999998</v>
      </c>
      <c r="Y93" s="12">
        <v>-2.8679451</v>
      </c>
      <c r="Z93" s="12">
        <v>-3.1327967000000001</v>
      </c>
      <c r="AA93" s="12">
        <v>60.582579099999997</v>
      </c>
      <c r="AB93" s="12">
        <v>19.947733599999999</v>
      </c>
      <c r="AC93" s="12">
        <v>21.432408800000001</v>
      </c>
      <c r="AD93" s="12">
        <v>93.476261600000001</v>
      </c>
      <c r="AE93" s="12">
        <v>95.438983100000002</v>
      </c>
      <c r="AF93" s="12">
        <v>7.8750337000000004</v>
      </c>
      <c r="AG93" s="12">
        <v>49.639088999999998</v>
      </c>
    </row>
    <row r="94" spans="1:33" s="11" customFormat="1" hidden="1" outlineLevel="1" x14ac:dyDescent="0.3">
      <c r="A94" s="11" t="s">
        <v>100</v>
      </c>
      <c r="B94" s="12">
        <v>-13.380244299999999</v>
      </c>
      <c r="C94" s="12">
        <v>106.50333329999999</v>
      </c>
      <c r="D94" s="12">
        <v>0.70602319999999996</v>
      </c>
      <c r="E94" s="17">
        <v>0</v>
      </c>
      <c r="F94" s="13">
        <v>29.343333300000001</v>
      </c>
      <c r="G94" s="12">
        <v>10.7104555</v>
      </c>
      <c r="H94" s="12">
        <v>-3.5301298000000001</v>
      </c>
      <c r="I94" s="12">
        <v>-6.5144374000000003</v>
      </c>
      <c r="J94" s="12">
        <v>-9.5905254000000006</v>
      </c>
      <c r="K94" s="12">
        <v>-4.2250081000000002</v>
      </c>
      <c r="L94" s="12">
        <v>-4.822724</v>
      </c>
      <c r="M94" s="12">
        <v>-31.5627791</v>
      </c>
      <c r="N94" s="12">
        <v>-24.460400799999999</v>
      </c>
      <c r="O94" s="12">
        <v>-26.178634599999999</v>
      </c>
      <c r="P94" s="7">
        <v>2504.5</v>
      </c>
      <c r="Q94" s="7">
        <v>177.8</v>
      </c>
      <c r="R94" s="7">
        <v>6.6</v>
      </c>
      <c r="S94" s="12">
        <v>-1.1807448</v>
      </c>
      <c r="T94" s="12">
        <v>0</v>
      </c>
      <c r="U94" s="12">
        <v>108.4333333</v>
      </c>
      <c r="V94" s="12">
        <v>1</v>
      </c>
      <c r="W94" s="12">
        <v>-28.523489900000001</v>
      </c>
      <c r="X94" s="12">
        <v>-28.912433799999999</v>
      </c>
      <c r="Y94" s="12">
        <v>-29.9842759</v>
      </c>
      <c r="Z94" s="12">
        <v>-0.26586739999999998</v>
      </c>
      <c r="AA94" s="12">
        <v>59.314510599999998</v>
      </c>
      <c r="AB94" s="12">
        <v>20.828261600000001</v>
      </c>
      <c r="AC94" s="12">
        <v>18.206195900000001</v>
      </c>
      <c r="AD94" s="12">
        <v>72.186885099999998</v>
      </c>
      <c r="AE94" s="12">
        <v>70.536310799999995</v>
      </c>
      <c r="AF94" s="12">
        <v>6.9660668000000001</v>
      </c>
      <c r="AG94" s="12">
        <v>58.6856741</v>
      </c>
    </row>
    <row r="95" spans="1:33" s="11" customFormat="1" hidden="1" outlineLevel="1" x14ac:dyDescent="0.3">
      <c r="A95" s="11" t="s">
        <v>101</v>
      </c>
      <c r="B95" s="12">
        <v>-3.6984297000000002</v>
      </c>
      <c r="C95" s="12">
        <v>106.27</v>
      </c>
      <c r="D95" s="12">
        <v>0.50122940000000005</v>
      </c>
      <c r="E95" s="17">
        <v>0</v>
      </c>
      <c r="F95" s="13">
        <v>42.963333300000002</v>
      </c>
      <c r="G95" s="12">
        <v>8.0677375999999992</v>
      </c>
      <c r="H95" s="12">
        <v>0.4151109</v>
      </c>
      <c r="I95" s="12">
        <v>-3.6880381999999998</v>
      </c>
      <c r="J95" s="12">
        <v>-0.96253109999999997</v>
      </c>
      <c r="K95" s="12">
        <v>0.99063279999999998</v>
      </c>
      <c r="L95" s="12">
        <v>0.26976549999999999</v>
      </c>
      <c r="M95" s="12">
        <v>-26.063923200000001</v>
      </c>
      <c r="N95" s="12">
        <v>1.4629095000000001</v>
      </c>
      <c r="O95" s="12">
        <v>-5.5781694999999996</v>
      </c>
      <c r="P95" s="7">
        <v>2529.4</v>
      </c>
      <c r="Q95" s="7">
        <v>196.5</v>
      </c>
      <c r="R95" s="7">
        <v>7.2</v>
      </c>
      <c r="S95" s="12">
        <v>4.2134831000000004</v>
      </c>
      <c r="T95" s="12">
        <v>0</v>
      </c>
      <c r="U95" s="12">
        <v>108.4666667</v>
      </c>
      <c r="V95" s="12">
        <v>1</v>
      </c>
      <c r="W95" s="12">
        <v>-3.1298899999999998E-2</v>
      </c>
      <c r="X95" s="12">
        <v>0.71190589999999998</v>
      </c>
      <c r="Y95" s="12">
        <v>-8.4767449999999993</v>
      </c>
      <c r="Z95" s="12">
        <v>3.7998942000000002</v>
      </c>
      <c r="AA95" s="12">
        <v>55.313357000000003</v>
      </c>
      <c r="AB95" s="12">
        <v>19.0295396</v>
      </c>
      <c r="AC95" s="12">
        <v>21.058582000000001</v>
      </c>
      <c r="AD95" s="12">
        <v>82.5212085</v>
      </c>
      <c r="AE95" s="12">
        <v>77.922687100000005</v>
      </c>
      <c r="AF95" s="12">
        <v>6.5253908999999997</v>
      </c>
      <c r="AG95" s="12">
        <v>58.960597800000002</v>
      </c>
    </row>
    <row r="96" spans="1:33" s="11" customFormat="1" hidden="1" outlineLevel="1" x14ac:dyDescent="0.3">
      <c r="A96" s="11" t="s">
        <v>102</v>
      </c>
      <c r="B96" s="12">
        <v>-3.2236577</v>
      </c>
      <c r="C96" s="12">
        <v>106.2833333</v>
      </c>
      <c r="D96" s="12">
        <v>0.26098979999999999</v>
      </c>
      <c r="E96" s="17">
        <v>0</v>
      </c>
      <c r="F96" s="13">
        <v>44.29</v>
      </c>
      <c r="G96" s="12">
        <v>10.181436400000001</v>
      </c>
      <c r="H96" s="12">
        <v>-2.7944626000000001</v>
      </c>
      <c r="I96" s="12">
        <v>-8.8592159000000006</v>
      </c>
      <c r="J96" s="12">
        <v>-0.71760800000000002</v>
      </c>
      <c r="K96" s="12">
        <v>-2.1575624000000002</v>
      </c>
      <c r="L96" s="12">
        <v>2.0415502999999999</v>
      </c>
      <c r="M96" s="12">
        <v>-8.7266469999999998</v>
      </c>
      <c r="N96" s="12">
        <v>2.2906116999999999</v>
      </c>
      <c r="O96" s="12">
        <v>0.47882560000000002</v>
      </c>
      <c r="P96" s="7">
        <v>2538.9</v>
      </c>
      <c r="Q96" s="7">
        <v>189.8</v>
      </c>
      <c r="R96" s="7">
        <v>7</v>
      </c>
      <c r="S96" s="12">
        <v>5.7774001999999998</v>
      </c>
      <c r="T96" s="12">
        <v>0</v>
      </c>
      <c r="U96" s="12">
        <v>108.6566667</v>
      </c>
      <c r="V96" s="12">
        <v>1</v>
      </c>
      <c r="W96" s="12">
        <v>3.2389844999999999</v>
      </c>
      <c r="X96" s="12">
        <v>0.37566280000000002</v>
      </c>
      <c r="Y96" s="12">
        <v>-2.1727560000000001</v>
      </c>
      <c r="Z96" s="12">
        <v>1.3134067</v>
      </c>
      <c r="AA96" s="12">
        <v>55.5159436</v>
      </c>
      <c r="AB96" s="12">
        <v>23.882773799999999</v>
      </c>
      <c r="AC96" s="12">
        <v>18.819149299999999</v>
      </c>
      <c r="AD96" s="12">
        <v>91.517953000000006</v>
      </c>
      <c r="AE96" s="12">
        <v>89.736224800000002</v>
      </c>
      <c r="AF96" s="12">
        <v>6.1493263000000002</v>
      </c>
      <c r="AG96" s="12">
        <v>58.851120600000002</v>
      </c>
    </row>
    <row r="97" spans="1:33" s="11" customFormat="1" hidden="1" outlineLevel="1" x14ac:dyDescent="0.3">
      <c r="A97" s="11" t="s">
        <v>103</v>
      </c>
      <c r="B97" s="12">
        <v>-0.1765746</v>
      </c>
      <c r="C97" s="12">
        <v>107.21</v>
      </c>
      <c r="D97" s="12">
        <v>1.3838102999999999</v>
      </c>
      <c r="E97" s="17">
        <v>0</v>
      </c>
      <c r="F97" s="13">
        <v>60.82</v>
      </c>
      <c r="G97" s="12">
        <v>11.372366599999999</v>
      </c>
      <c r="H97" s="12">
        <v>3.2704100999999999</v>
      </c>
      <c r="I97" s="12">
        <v>-5.4849356</v>
      </c>
      <c r="J97" s="12">
        <v>1.6972560999999999</v>
      </c>
      <c r="K97" s="12">
        <v>-4.4491101999999998</v>
      </c>
      <c r="L97" s="12">
        <v>1.7515833999999999</v>
      </c>
      <c r="M97" s="12">
        <v>-9.3370434000000007</v>
      </c>
      <c r="N97" s="12">
        <v>12.076503300000001</v>
      </c>
      <c r="O97" s="12">
        <v>5.5994466000000003</v>
      </c>
      <c r="P97" s="7">
        <v>2501.8000000000002</v>
      </c>
      <c r="Q97" s="7">
        <v>190.3</v>
      </c>
      <c r="R97" s="7">
        <v>7.1</v>
      </c>
      <c r="S97" s="12">
        <v>3.4990792000000002</v>
      </c>
      <c r="T97" s="12">
        <v>0</v>
      </c>
      <c r="U97" s="12">
        <v>109.41333330000001</v>
      </c>
      <c r="V97" s="12">
        <v>1</v>
      </c>
      <c r="W97" s="12">
        <v>6.8924538999999996</v>
      </c>
      <c r="X97" s="12">
        <v>10.340764200000001</v>
      </c>
      <c r="Y97" s="12">
        <v>3.9485706</v>
      </c>
      <c r="Z97" s="12">
        <v>0.27753810000000001</v>
      </c>
      <c r="AA97" s="12">
        <v>56.8739603</v>
      </c>
      <c r="AB97" s="12">
        <v>20.176663699999999</v>
      </c>
      <c r="AC97" s="12">
        <v>19.4392307</v>
      </c>
      <c r="AD97" s="12">
        <v>100.768567</v>
      </c>
      <c r="AE97" s="12">
        <v>97.258866499999996</v>
      </c>
      <c r="AF97" s="12">
        <v>5.9594547000000002</v>
      </c>
      <c r="AG97" s="12">
        <v>55.015026599999999</v>
      </c>
    </row>
    <row r="98" spans="1:33" s="11" customFormat="1" hidden="1" outlineLevel="1" x14ac:dyDescent="0.3">
      <c r="A98" s="11" t="s">
        <v>104</v>
      </c>
      <c r="B98" s="12">
        <v>14.630134099999999</v>
      </c>
      <c r="C98" s="12">
        <v>108.82</v>
      </c>
      <c r="D98" s="12">
        <v>2.1752058000000001</v>
      </c>
      <c r="E98" s="17">
        <v>0</v>
      </c>
      <c r="F98" s="13">
        <v>68.833333300000007</v>
      </c>
      <c r="G98" s="12">
        <v>10.1260317</v>
      </c>
      <c r="H98" s="12">
        <v>14.0309908</v>
      </c>
      <c r="I98" s="12">
        <v>-4.9329912</v>
      </c>
      <c r="J98" s="12">
        <v>11.7272611</v>
      </c>
      <c r="K98" s="12">
        <v>6.6969826000000001</v>
      </c>
      <c r="L98" s="12">
        <v>10.107353700000001</v>
      </c>
      <c r="M98" s="12">
        <v>41.424395799999999</v>
      </c>
      <c r="N98" s="12">
        <v>36.749114400000003</v>
      </c>
      <c r="O98" s="12">
        <v>40.402509600000002</v>
      </c>
      <c r="P98" s="7">
        <v>2535.3000000000002</v>
      </c>
      <c r="Q98" s="7">
        <v>188.9</v>
      </c>
      <c r="R98" s="7">
        <v>6.9</v>
      </c>
      <c r="S98" s="12">
        <v>10.4779412</v>
      </c>
      <c r="T98" s="12">
        <v>0</v>
      </c>
      <c r="U98" s="12">
        <v>110.69</v>
      </c>
      <c r="V98" s="12">
        <v>1</v>
      </c>
      <c r="W98" s="12">
        <v>37.480438100000001</v>
      </c>
      <c r="X98" s="12">
        <v>47.395127000000002</v>
      </c>
      <c r="Y98" s="12">
        <v>50.266646399999999</v>
      </c>
      <c r="Z98" s="12">
        <v>-4.4462383000000001</v>
      </c>
      <c r="AA98" s="12">
        <v>56.911930699999999</v>
      </c>
      <c r="AB98" s="12">
        <v>20.4849858</v>
      </c>
      <c r="AC98" s="12">
        <v>23.143250699999999</v>
      </c>
      <c r="AD98" s="12">
        <v>90.566552999999999</v>
      </c>
      <c r="AE98" s="12">
        <v>91.106318599999994</v>
      </c>
      <c r="AF98" s="12">
        <v>7.2410873999999996</v>
      </c>
      <c r="AG98" s="12">
        <v>57.737764499999997</v>
      </c>
    </row>
    <row r="99" spans="1:33" s="11" customFormat="1" hidden="1" outlineLevel="1" x14ac:dyDescent="0.3">
      <c r="A99" s="11" t="s">
        <v>105</v>
      </c>
      <c r="B99" s="12">
        <v>4.8925850000000004</v>
      </c>
      <c r="C99" s="12">
        <v>109.55666669999999</v>
      </c>
      <c r="D99" s="12">
        <v>3.0927511999999999</v>
      </c>
      <c r="E99" s="17">
        <v>0</v>
      </c>
      <c r="F99" s="13">
        <v>73.47</v>
      </c>
      <c r="G99" s="12">
        <v>6.1289585000000004</v>
      </c>
      <c r="H99" s="12">
        <v>11.231654199999999</v>
      </c>
      <c r="I99" s="12">
        <v>-1.9253506</v>
      </c>
      <c r="J99" s="12">
        <v>3.0865051999999999</v>
      </c>
      <c r="K99" s="12">
        <v>4.1316386999999999</v>
      </c>
      <c r="L99" s="12">
        <v>1.0063120999999999</v>
      </c>
      <c r="M99" s="12">
        <v>27.942282599999999</v>
      </c>
      <c r="N99" s="12">
        <v>-2.1974711</v>
      </c>
      <c r="O99" s="12">
        <v>4.0990897000000004</v>
      </c>
      <c r="P99" s="7">
        <v>2591.1999999999998</v>
      </c>
      <c r="Q99" s="7">
        <v>187.8</v>
      </c>
      <c r="R99" s="7">
        <v>6.8</v>
      </c>
      <c r="S99" s="12">
        <v>6.4690026999999999</v>
      </c>
      <c r="T99" s="12">
        <v>0</v>
      </c>
      <c r="U99" s="12">
        <v>112.16333330000001</v>
      </c>
      <c r="V99" s="12">
        <v>1</v>
      </c>
      <c r="W99" s="12">
        <v>-0.40701320000000002</v>
      </c>
      <c r="X99" s="12">
        <v>5.5148793999999999</v>
      </c>
      <c r="Y99" s="12">
        <v>15.5207172</v>
      </c>
      <c r="Z99" s="12">
        <v>-5.2653448000000003</v>
      </c>
      <c r="AA99" s="12">
        <v>56.399515000000001</v>
      </c>
      <c r="AB99" s="12">
        <v>18.856499599999999</v>
      </c>
      <c r="AC99" s="12">
        <v>26.160139900000001</v>
      </c>
      <c r="AD99" s="12">
        <v>81.650430099999994</v>
      </c>
      <c r="AE99" s="12">
        <v>83.066584599999999</v>
      </c>
      <c r="AF99" s="12">
        <v>7.9658442999999997</v>
      </c>
      <c r="AG99" s="12">
        <v>58.537619300000003</v>
      </c>
    </row>
    <row r="100" spans="1:33" s="11" customFormat="1" hidden="1" outlineLevel="1" x14ac:dyDescent="0.3">
      <c r="A100" s="11" t="s">
        <v>106</v>
      </c>
      <c r="B100" s="12">
        <v>5.3916862999999999</v>
      </c>
      <c r="C100" s="12">
        <v>111.5333333</v>
      </c>
      <c r="D100" s="12">
        <v>4.9396268000000001</v>
      </c>
      <c r="E100" s="17">
        <v>0</v>
      </c>
      <c r="F100" s="13">
        <v>79.586666699999995</v>
      </c>
      <c r="G100" s="12">
        <v>7.782076</v>
      </c>
      <c r="H100" s="12">
        <v>9.0922465999999993</v>
      </c>
      <c r="I100" s="12">
        <v>-8.4220973000000008</v>
      </c>
      <c r="J100" s="12">
        <v>3.0787483999999998</v>
      </c>
      <c r="K100" s="12">
        <v>4.2259165999999997</v>
      </c>
      <c r="L100" s="12">
        <v>3.8645740000000002</v>
      </c>
      <c r="M100" s="12">
        <v>8.7283419000000002</v>
      </c>
      <c r="N100" s="12">
        <v>2.1287232</v>
      </c>
      <c r="O100" s="12">
        <v>4.2128500999999998</v>
      </c>
      <c r="P100" s="7">
        <v>2613.9</v>
      </c>
      <c r="Q100" s="7">
        <v>183.4</v>
      </c>
      <c r="R100" s="7">
        <v>6.6</v>
      </c>
      <c r="S100" s="12">
        <v>6.9076304999999998</v>
      </c>
      <c r="T100" s="12">
        <v>0</v>
      </c>
      <c r="U100" s="12">
        <v>113.83666669999999</v>
      </c>
      <c r="V100" s="12">
        <v>1</v>
      </c>
      <c r="W100" s="12">
        <v>3.5048050000000002</v>
      </c>
      <c r="X100" s="12">
        <v>13.600519800000001</v>
      </c>
      <c r="Y100" s="12">
        <v>18.290213000000001</v>
      </c>
      <c r="Z100" s="12">
        <v>-5.8023606000000001</v>
      </c>
      <c r="AA100" s="12">
        <v>57.102380400000001</v>
      </c>
      <c r="AB100" s="12">
        <v>24.817800299999998</v>
      </c>
      <c r="AC100" s="12">
        <v>19.443097600000002</v>
      </c>
      <c r="AD100" s="12">
        <v>96.453734100000005</v>
      </c>
      <c r="AE100" s="12">
        <v>97.817012399999996</v>
      </c>
      <c r="AF100" s="12">
        <v>8.7995585999999992</v>
      </c>
      <c r="AG100" s="12">
        <v>61.081614299999998</v>
      </c>
    </row>
    <row r="101" spans="1:33" hidden="1" outlineLevel="1" x14ac:dyDescent="0.3">
      <c r="A101" t="s">
        <v>108</v>
      </c>
      <c r="B101" s="12">
        <v>5.7284746999999996</v>
      </c>
      <c r="C101" s="12">
        <v>114.2266667</v>
      </c>
      <c r="D101" s="12">
        <v>6.5447875</v>
      </c>
      <c r="E101" s="17">
        <v>0</v>
      </c>
      <c r="F101" s="12">
        <v>100.2966667</v>
      </c>
      <c r="G101" s="12">
        <v>3.489852</v>
      </c>
      <c r="H101" s="12">
        <v>13.825266299999999</v>
      </c>
      <c r="I101" s="12">
        <v>-1.3842846</v>
      </c>
      <c r="J101" s="12">
        <v>3.1205742999999999</v>
      </c>
      <c r="K101" s="12">
        <v>9.6430191000000001</v>
      </c>
      <c r="L101" s="12">
        <v>-2.3797063999999999</v>
      </c>
      <c r="M101" s="12">
        <v>12.1401082</v>
      </c>
      <c r="N101" s="12">
        <v>-2.4857792000000001</v>
      </c>
      <c r="O101" s="12">
        <v>1.6946772999999999</v>
      </c>
      <c r="P101" s="7">
        <v>2572.8000000000002</v>
      </c>
      <c r="Q101" s="7">
        <v>174.9</v>
      </c>
      <c r="R101" s="7">
        <v>6.4</v>
      </c>
      <c r="S101" s="12">
        <v>7.8291814999999998</v>
      </c>
      <c r="T101" s="12">
        <v>0</v>
      </c>
      <c r="U101" s="12">
        <v>118.72</v>
      </c>
      <c r="V101" s="12">
        <v>1</v>
      </c>
      <c r="W101" s="12">
        <v>-2.1678709999999999</v>
      </c>
      <c r="X101" s="12">
        <v>15.152260999999999</v>
      </c>
      <c r="Y101" s="12">
        <v>26.3195239</v>
      </c>
      <c r="Z101" s="12">
        <v>-7.7705647000000004</v>
      </c>
      <c r="AA101" s="12">
        <v>63.451059299999997</v>
      </c>
      <c r="AB101" s="12">
        <v>20.072737</v>
      </c>
      <c r="AC101" s="12">
        <v>22.402277399999999</v>
      </c>
      <c r="AD101" s="12">
        <v>106.2237825</v>
      </c>
      <c r="AE101" s="12">
        <v>112.1498562</v>
      </c>
      <c r="AF101" s="12">
        <v>10.5112132</v>
      </c>
      <c r="AG101" s="12">
        <v>56.411954199999997</v>
      </c>
    </row>
    <row r="102" spans="1:33" hidden="1" outlineLevel="1" x14ac:dyDescent="0.3">
      <c r="A102" t="s">
        <v>109</v>
      </c>
      <c r="B102" s="12">
        <v>4.2015890999999996</v>
      </c>
      <c r="C102" s="12">
        <v>118.4333333</v>
      </c>
      <c r="D102" s="12">
        <v>8.8341604</v>
      </c>
      <c r="E102" s="17">
        <v>0</v>
      </c>
      <c r="F102" s="12">
        <v>113.5433333</v>
      </c>
      <c r="G102" s="12">
        <v>0.66242400000000001</v>
      </c>
      <c r="H102" s="12">
        <v>10.551217599999999</v>
      </c>
      <c r="I102" s="12">
        <v>-0.93966970000000005</v>
      </c>
      <c r="J102" s="12">
        <v>1.4050203999999999</v>
      </c>
      <c r="K102" s="12">
        <v>4.8275696999999997</v>
      </c>
      <c r="L102" s="12">
        <v>-8.1436162000000003</v>
      </c>
      <c r="M102" s="12">
        <v>-7.6138104000000002</v>
      </c>
      <c r="N102" s="12">
        <v>2.6075493000000001</v>
      </c>
      <c r="O102" s="12">
        <v>0.1164265</v>
      </c>
      <c r="P102" s="7">
        <v>2603.8000000000002</v>
      </c>
      <c r="Q102" s="7">
        <v>169.9</v>
      </c>
      <c r="R102" s="7">
        <v>6.1</v>
      </c>
      <c r="S102" s="12">
        <v>7.4043260999999996</v>
      </c>
      <c r="T102" s="12">
        <v>0</v>
      </c>
      <c r="U102" s="12">
        <v>123.69666669999999</v>
      </c>
      <c r="V102" s="12">
        <v>1</v>
      </c>
      <c r="W102" s="12">
        <v>-3.3010812999999999</v>
      </c>
      <c r="X102" s="12">
        <v>19.4683876</v>
      </c>
      <c r="Y102" s="12">
        <v>23.807676399999998</v>
      </c>
      <c r="Z102" s="12">
        <v>-5.9563761</v>
      </c>
      <c r="AA102" s="12">
        <v>61.304094300000003</v>
      </c>
      <c r="AB102" s="12">
        <v>19.419840199999999</v>
      </c>
      <c r="AC102" s="12">
        <v>21.961936399999999</v>
      </c>
      <c r="AD102" s="12">
        <v>100.3623707</v>
      </c>
      <c r="AE102" s="12">
        <v>103.0482415</v>
      </c>
      <c r="AF102" s="12">
        <v>11.3108059</v>
      </c>
      <c r="AG102" s="12">
        <v>56.535990599999998</v>
      </c>
    </row>
    <row r="103" spans="1:33" hidden="1" outlineLevel="1" x14ac:dyDescent="0.3">
      <c r="A103" t="s">
        <v>110</v>
      </c>
      <c r="B103" s="12">
        <v>2.5907767000000002</v>
      </c>
      <c r="C103" s="12">
        <v>120.83</v>
      </c>
      <c r="D103" s="12">
        <v>10.289956500000001</v>
      </c>
      <c r="E103" s="17">
        <v>0.75</v>
      </c>
      <c r="F103" s="12">
        <v>100.7133333</v>
      </c>
      <c r="G103" s="12">
        <v>3.9089930000000002</v>
      </c>
      <c r="H103" s="12">
        <v>8.8154324000000006</v>
      </c>
      <c r="I103" s="12">
        <v>-0.10557800000000001</v>
      </c>
      <c r="J103" s="12">
        <v>1.4618017999999999</v>
      </c>
      <c r="K103" s="12">
        <v>3.4328129999999999</v>
      </c>
      <c r="L103" s="12">
        <v>-3.0887438</v>
      </c>
      <c r="M103" s="12">
        <v>-4.7989604000000003</v>
      </c>
      <c r="N103" s="12">
        <v>9.3535725000000003</v>
      </c>
      <c r="O103" s="12">
        <v>7.3732880999999999</v>
      </c>
      <c r="P103" s="7">
        <v>2615.9</v>
      </c>
      <c r="Q103" s="7">
        <v>167.9</v>
      </c>
      <c r="R103" s="7">
        <v>6</v>
      </c>
      <c r="S103" s="12">
        <v>9.3670886000000007</v>
      </c>
      <c r="T103" s="12">
        <v>1.25</v>
      </c>
      <c r="U103" s="12">
        <v>127.0366667</v>
      </c>
      <c r="V103" s="12">
        <v>1</v>
      </c>
      <c r="W103" s="12">
        <v>-1.4460861</v>
      </c>
      <c r="X103" s="12">
        <v>25.1225281</v>
      </c>
      <c r="Y103" s="12">
        <v>27.639177199999999</v>
      </c>
      <c r="Z103" s="12">
        <v>-5.9448027000000003</v>
      </c>
      <c r="AA103" s="12">
        <v>59.860333400000002</v>
      </c>
      <c r="AB103" s="12">
        <v>18.992661300000002</v>
      </c>
      <c r="AC103" s="12">
        <v>25.5343594</v>
      </c>
      <c r="AD103" s="12">
        <v>93.312010700000002</v>
      </c>
      <c r="AE103" s="12">
        <v>97.699709799999994</v>
      </c>
      <c r="AF103" s="12">
        <v>11.065200900000001</v>
      </c>
      <c r="AG103" s="12">
        <v>56.252257299999997</v>
      </c>
    </row>
    <row r="104" spans="1:33" hidden="1" outlineLevel="1" x14ac:dyDescent="0.3">
      <c r="A104" t="s">
        <v>111</v>
      </c>
      <c r="B104" s="12">
        <v>1.4006327999999999</v>
      </c>
      <c r="C104" s="12">
        <v>123.8</v>
      </c>
      <c r="D104" s="12">
        <v>10.9982068</v>
      </c>
      <c r="E104" s="17">
        <v>1.9166666999999999</v>
      </c>
      <c r="F104" s="12">
        <v>88.556666699999994</v>
      </c>
      <c r="G104" s="12">
        <v>0.18057980000000001</v>
      </c>
      <c r="H104" s="12">
        <v>5.9222296999999999</v>
      </c>
      <c r="I104" s="12">
        <v>-5.5084805000000001</v>
      </c>
      <c r="J104" s="12">
        <v>1.1785516</v>
      </c>
      <c r="K104" s="12">
        <v>5.1828095999999997</v>
      </c>
      <c r="L104" s="12">
        <v>-3.2516916999999999</v>
      </c>
      <c r="M104" s="12">
        <v>17.6777789</v>
      </c>
      <c r="N104" s="12">
        <v>3.2161932000000002</v>
      </c>
      <c r="O104" s="12">
        <v>7.7870157000000004</v>
      </c>
      <c r="P104" s="7">
        <v>2623.2</v>
      </c>
      <c r="Q104" s="7">
        <v>168.9</v>
      </c>
      <c r="R104" s="7">
        <v>6.1</v>
      </c>
      <c r="S104" s="12">
        <v>6.5364388</v>
      </c>
      <c r="T104" s="12">
        <v>2.5</v>
      </c>
      <c r="U104" s="12">
        <v>130.74666669999999</v>
      </c>
      <c r="V104" s="12">
        <v>1</v>
      </c>
      <c r="W104" s="12">
        <v>-8.4107046000000008</v>
      </c>
      <c r="X104" s="12">
        <v>11.585590399999999</v>
      </c>
      <c r="Y104" s="12">
        <v>18.977718500000002</v>
      </c>
      <c r="Z104" s="12">
        <v>-9.6765916999999995</v>
      </c>
      <c r="AA104" s="12">
        <v>61.660795800000002</v>
      </c>
      <c r="AB104" s="12">
        <v>23.881869999999999</v>
      </c>
      <c r="AC104" s="12">
        <v>22.961362999999999</v>
      </c>
      <c r="AD104" s="12">
        <v>98.664831399999997</v>
      </c>
      <c r="AE104" s="12">
        <v>107.1688602</v>
      </c>
      <c r="AF104" s="12">
        <v>10.2894401</v>
      </c>
      <c r="AG104" s="12">
        <v>57.802804000000002</v>
      </c>
    </row>
    <row r="105" spans="1:33" collapsed="1" x14ac:dyDescent="0.3">
      <c r="A105" t="s">
        <v>112</v>
      </c>
      <c r="B105" s="12">
        <v>1.3448477999999999</v>
      </c>
      <c r="C105" s="12">
        <v>124.9666667</v>
      </c>
      <c r="D105" s="12">
        <v>9.4023579000000002</v>
      </c>
      <c r="E105" s="17">
        <v>3</v>
      </c>
      <c r="F105" s="12">
        <v>81.173333299999996</v>
      </c>
      <c r="G105" s="12">
        <v>15.720200200000001</v>
      </c>
      <c r="H105" s="12">
        <v>9.5461597999999999</v>
      </c>
      <c r="I105" s="12">
        <v>-3.7305188999999999</v>
      </c>
      <c r="J105" s="12">
        <v>0.50372980000000001</v>
      </c>
      <c r="K105" s="12">
        <v>-2.0748669999999998</v>
      </c>
      <c r="L105" s="12">
        <v>-5.8347205000000004</v>
      </c>
      <c r="M105" s="12">
        <v>-29.827533800000001</v>
      </c>
      <c r="N105" s="12">
        <v>-3.7307098000000001</v>
      </c>
      <c r="O105" s="12">
        <v>-12.3123994</v>
      </c>
      <c r="P105" s="7">
        <v>2579.9</v>
      </c>
      <c r="Q105" s="7">
        <v>169.8</v>
      </c>
      <c r="R105" s="7">
        <v>6.2</v>
      </c>
      <c r="S105" s="12">
        <v>9.4884488000000005</v>
      </c>
      <c r="T105" s="12">
        <v>3.5</v>
      </c>
      <c r="U105" s="12">
        <v>136.65</v>
      </c>
      <c r="V105" s="12">
        <v>1</v>
      </c>
      <c r="W105" s="12">
        <v>-3.3522726999999999</v>
      </c>
      <c r="X105" s="12">
        <v>9.9899242000000008</v>
      </c>
      <c r="Y105" s="12">
        <v>2.9857399</v>
      </c>
      <c r="Z105" s="12">
        <v>-2.3480538000000002</v>
      </c>
      <c r="AA105" s="12">
        <v>63.674162699999997</v>
      </c>
      <c r="AB105" s="12">
        <v>19.440349699999999</v>
      </c>
      <c r="AC105" s="12">
        <v>15.781181500000001</v>
      </c>
      <c r="AD105" s="12">
        <v>104.31581199999999</v>
      </c>
      <c r="AE105" s="12">
        <v>103.21150590000001</v>
      </c>
      <c r="AF105" s="12">
        <v>8.3441977999999999</v>
      </c>
      <c r="AG105" s="12">
        <v>53.103821099999998</v>
      </c>
    </row>
    <row r="106" spans="1:33" x14ac:dyDescent="0.3">
      <c r="A106" t="s">
        <v>113</v>
      </c>
      <c r="B106" s="12">
        <v>0.20197219999999999</v>
      </c>
      <c r="C106" s="12">
        <v>126.9766667</v>
      </c>
      <c r="D106" s="12">
        <v>7.2136222999999999</v>
      </c>
      <c r="E106" s="17">
        <v>3.75</v>
      </c>
      <c r="F106" s="12">
        <v>78.316666699999999</v>
      </c>
      <c r="G106" s="12">
        <v>17.1756712</v>
      </c>
      <c r="H106" s="12">
        <v>8.5577406000000007</v>
      </c>
      <c r="I106" s="12">
        <v>-4.1018238</v>
      </c>
      <c r="J106" s="12">
        <v>1.5403224</v>
      </c>
      <c r="K106" s="12">
        <v>-3.6302425999999999</v>
      </c>
      <c r="L106" s="12">
        <v>-2.2422715000000002</v>
      </c>
      <c r="M106" s="12">
        <v>-15.1163487</v>
      </c>
      <c r="N106" s="12">
        <v>-0.77446950000000003</v>
      </c>
      <c r="O106" s="12">
        <v>-7.9614685999999999</v>
      </c>
      <c r="P106" s="7">
        <v>2608.9</v>
      </c>
      <c r="Q106" s="7">
        <v>157.80000000000001</v>
      </c>
      <c r="R106" s="7">
        <v>5.7</v>
      </c>
      <c r="S106" s="12">
        <v>9.9147946999999998</v>
      </c>
      <c r="T106" s="12">
        <v>4</v>
      </c>
      <c r="U106" s="12">
        <v>139.2066667</v>
      </c>
      <c r="V106" s="12">
        <v>1</v>
      </c>
      <c r="W106" s="12">
        <v>0.38257799999999997</v>
      </c>
      <c r="X106" s="12">
        <v>5.0430758000000004</v>
      </c>
      <c r="Y106" s="12">
        <v>-2.7785690999999999</v>
      </c>
      <c r="Z106" s="12">
        <v>1.0114491999999999</v>
      </c>
      <c r="AA106" s="12">
        <v>59.490946800000003</v>
      </c>
      <c r="AB106" s="12">
        <v>19.043523</v>
      </c>
      <c r="AC106" s="12">
        <v>18.486550300000001</v>
      </c>
      <c r="AD106" s="12">
        <v>93.876266400000006</v>
      </c>
      <c r="AE106" s="12">
        <v>90.897286300000005</v>
      </c>
      <c r="AF106" s="12">
        <v>6.3214097000000002</v>
      </c>
      <c r="AG106" s="12">
        <v>56.072113799999997</v>
      </c>
    </row>
    <row r="107" spans="1:33" x14ac:dyDescent="0.3">
      <c r="A107" t="s">
        <v>114</v>
      </c>
      <c r="B107" s="12">
        <v>-0.19771859999999999</v>
      </c>
      <c r="C107" s="12">
        <v>127.6866667</v>
      </c>
      <c r="D107" s="12">
        <v>5.6746392999999999</v>
      </c>
      <c r="E107" s="17">
        <v>4.25</v>
      </c>
      <c r="F107" s="12">
        <v>86.66</v>
      </c>
      <c r="G107" s="12">
        <v>23.5646062</v>
      </c>
      <c r="H107" s="12">
        <v>8.1762654000000001</v>
      </c>
      <c r="I107" s="12">
        <v>-5.4096970000000004</v>
      </c>
      <c r="J107" s="12">
        <v>1.1475477999999999</v>
      </c>
      <c r="K107" s="12">
        <v>-1.8066674</v>
      </c>
      <c r="L107" s="12">
        <v>2.8674119</v>
      </c>
      <c r="M107" s="12">
        <v>-10.094739799999999</v>
      </c>
      <c r="N107" s="12">
        <v>7.9060400000000003E-2</v>
      </c>
      <c r="O107" s="12">
        <v>-3.9663743</v>
      </c>
      <c r="P107" s="7">
        <v>2610.8000000000002</v>
      </c>
      <c r="Q107" s="7">
        <v>162.80000000000001</v>
      </c>
      <c r="R107" s="7">
        <v>5.9</v>
      </c>
      <c r="S107" s="12">
        <v>8.2561727999999999</v>
      </c>
      <c r="T107" s="12">
        <v>4.5</v>
      </c>
      <c r="U107" s="12">
        <v>139.28666670000001</v>
      </c>
      <c r="V107" s="12">
        <v>1</v>
      </c>
      <c r="W107" s="12">
        <v>-0.66985649999999997</v>
      </c>
      <c r="X107" s="12">
        <v>-1.0951553999999999</v>
      </c>
      <c r="Y107" s="12">
        <v>-7.0665316999999996</v>
      </c>
      <c r="Z107" s="12">
        <v>-1.3685050999999999</v>
      </c>
      <c r="AA107" s="12">
        <v>57.537809500000002</v>
      </c>
      <c r="AB107" s="12">
        <v>18.675557999999999</v>
      </c>
      <c r="AC107" s="12">
        <v>21.780486100000001</v>
      </c>
      <c r="AD107" s="12">
        <v>83.532881099999997</v>
      </c>
      <c r="AE107" s="12">
        <v>81.526423899999998</v>
      </c>
      <c r="AF107" s="12">
        <v>4.8547516000000002</v>
      </c>
      <c r="AG107" s="12">
        <v>56.6527642</v>
      </c>
    </row>
    <row r="108" spans="1:33" x14ac:dyDescent="0.3">
      <c r="A108" t="s">
        <v>115</v>
      </c>
      <c r="B108" s="7" t="s">
        <v>107</v>
      </c>
      <c r="C108" s="12">
        <v>127.9933333</v>
      </c>
      <c r="D108" s="12">
        <v>3.3871836000000002</v>
      </c>
      <c r="E108" s="17">
        <v>4.5</v>
      </c>
      <c r="F108" s="12">
        <v>83.723333299999993</v>
      </c>
      <c r="G108" s="7" t="s">
        <v>107</v>
      </c>
      <c r="H108" s="7" t="s">
        <v>107</v>
      </c>
      <c r="I108" s="7" t="s">
        <v>107</v>
      </c>
      <c r="J108" s="7" t="s">
        <v>107</v>
      </c>
      <c r="K108" s="7" t="s">
        <v>107</v>
      </c>
      <c r="L108" s="7" t="s">
        <v>107</v>
      </c>
      <c r="M108" s="7" t="s">
        <v>107</v>
      </c>
      <c r="N108" s="7" t="s">
        <v>107</v>
      </c>
      <c r="O108" s="7" t="s">
        <v>107</v>
      </c>
      <c r="P108" s="7" t="s">
        <v>107</v>
      </c>
      <c r="Q108" s="7" t="s">
        <v>107</v>
      </c>
      <c r="R108" s="7" t="s">
        <v>107</v>
      </c>
      <c r="S108" s="7" t="s">
        <v>107</v>
      </c>
      <c r="T108" s="12">
        <v>4.5</v>
      </c>
      <c r="U108" s="12">
        <v>139.99666669999999</v>
      </c>
      <c r="V108" s="12">
        <v>1</v>
      </c>
      <c r="W108" s="7" t="s">
        <v>107</v>
      </c>
      <c r="X108" s="7" t="s">
        <v>107</v>
      </c>
      <c r="Y108" s="7" t="s">
        <v>107</v>
      </c>
      <c r="Z108" s="7" t="s">
        <v>107</v>
      </c>
      <c r="AA108" s="7" t="s">
        <v>107</v>
      </c>
      <c r="AB108" s="7" t="s">
        <v>107</v>
      </c>
      <c r="AC108" s="7" t="s">
        <v>107</v>
      </c>
      <c r="AD108" s="7" t="s">
        <v>107</v>
      </c>
      <c r="AE108" s="7" t="s">
        <v>107</v>
      </c>
      <c r="AF108" s="7" t="s">
        <v>107</v>
      </c>
      <c r="AG108" s="7" t="s">
        <v>107</v>
      </c>
    </row>
  </sheetData>
  <pageMargins left="0.7" right="0.7" top="0.75" bottom="0.75" header="0.3" footer="0.3"/>
  <pageSetup paperSize="9" orientation="portrait" horizontalDpi="90" verticalDpi="9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EA163-5E9F-440C-93F7-A08B88033F08}">
  <sheetPr codeName="Tabelle14">
    <tabColor rgb="FF00B0F0"/>
  </sheetPr>
  <dimension ref="A1:AG108"/>
  <sheetViews>
    <sheetView workbookViewId="0">
      <pane xSplit="1" ySplit="12" topLeftCell="Z13" activePane="bottomRight" state="frozen"/>
      <selection activeCell="AI1" sqref="AI1:AN1048576"/>
      <selection pane="topRight" activeCell="AI1" sqref="AI1:AN1048576"/>
      <selection pane="bottomLeft" activeCell="AI1" sqref="AI1:AN1048576"/>
      <selection pane="bottomRight" activeCell="AG1" sqref="AG1"/>
    </sheetView>
  </sheetViews>
  <sheetFormatPr defaultColWidth="9.109375" defaultRowHeight="14.4" outlineLevelRow="1" x14ac:dyDescent="0.3"/>
  <cols>
    <col min="2" max="2" width="11.5546875" bestFit="1" customWidth="1"/>
    <col min="4" max="4" width="12.44140625" customWidth="1"/>
    <col min="7" max="7" width="12.44140625" bestFit="1" customWidth="1"/>
    <col min="8" max="8" width="12.33203125" customWidth="1"/>
    <col min="18" max="18" width="11.109375" bestFit="1" customWidth="1"/>
    <col min="19" max="19" width="12.44140625" bestFit="1" customWidth="1"/>
    <col min="24" max="24" width="12.5546875" bestFit="1" customWidth="1"/>
    <col min="25" max="25" width="12.6640625" bestFit="1" customWidth="1"/>
    <col min="27" max="27" width="13.6640625" customWidth="1"/>
    <col min="30" max="30" width="11.6640625" customWidth="1"/>
  </cols>
  <sheetData>
    <row r="1" spans="1:33" s="8" customFormat="1" x14ac:dyDescent="0.3">
      <c r="A1" s="8" t="s">
        <v>0</v>
      </c>
      <c r="B1" s="8" t="s">
        <v>1</v>
      </c>
      <c r="C1" s="8" t="s">
        <v>2</v>
      </c>
      <c r="D1" s="8" t="s">
        <v>3</v>
      </c>
      <c r="E1" s="14" t="s">
        <v>4</v>
      </c>
      <c r="F1" s="8" t="s">
        <v>5</v>
      </c>
      <c r="G1" s="8" t="s">
        <v>6</v>
      </c>
      <c r="H1" s="8" t="s">
        <v>254</v>
      </c>
      <c r="I1" s="8" t="s">
        <v>7</v>
      </c>
      <c r="J1" s="8" t="s">
        <v>230</v>
      </c>
      <c r="K1" s="8" t="s">
        <v>231</v>
      </c>
      <c r="L1" s="8" t="s">
        <v>232</v>
      </c>
      <c r="M1" s="8" t="s">
        <v>233</v>
      </c>
      <c r="N1" s="8" t="s">
        <v>234</v>
      </c>
      <c r="O1" s="8" t="s">
        <v>235</v>
      </c>
      <c r="P1" s="8" t="s">
        <v>8</v>
      </c>
      <c r="Q1" s="8" t="s">
        <v>9</v>
      </c>
      <c r="R1" s="8" t="s">
        <v>10</v>
      </c>
      <c r="S1" s="8" t="s">
        <v>11</v>
      </c>
      <c r="T1" s="14" t="s">
        <v>12</v>
      </c>
      <c r="U1" s="8" t="s">
        <v>13</v>
      </c>
      <c r="V1" s="8" t="s">
        <v>14</v>
      </c>
      <c r="W1" s="8" t="s">
        <v>15</v>
      </c>
      <c r="X1" s="8" t="s">
        <v>16</v>
      </c>
      <c r="Y1" s="8" t="s">
        <v>17</v>
      </c>
      <c r="Z1" s="8" t="s">
        <v>18</v>
      </c>
      <c r="AA1" s="9" t="s">
        <v>248</v>
      </c>
      <c r="AB1" s="8" t="s">
        <v>236</v>
      </c>
      <c r="AC1" s="8" t="s">
        <v>237</v>
      </c>
      <c r="AD1" s="8" t="s">
        <v>238</v>
      </c>
      <c r="AE1" s="8" t="s">
        <v>239</v>
      </c>
      <c r="AF1" s="14" t="s">
        <v>255</v>
      </c>
      <c r="AG1" s="14" t="s">
        <v>1317</v>
      </c>
    </row>
    <row r="2" spans="1:33" s="10" customFormat="1" outlineLevel="1" x14ac:dyDescent="0.3">
      <c r="A2" s="16" t="s">
        <v>1292</v>
      </c>
      <c r="B2" s="26"/>
      <c r="C2" s="26"/>
      <c r="D2" s="26" t="s">
        <v>198</v>
      </c>
      <c r="E2" s="26"/>
      <c r="F2" s="26"/>
      <c r="G2" s="26" t="s">
        <v>747</v>
      </c>
      <c r="H2" s="26" t="s">
        <v>751</v>
      </c>
      <c r="I2" s="26"/>
      <c r="J2" s="26" t="s">
        <v>754</v>
      </c>
      <c r="K2" s="26" t="s">
        <v>756</v>
      </c>
      <c r="L2" s="26" t="s">
        <v>758</v>
      </c>
      <c r="M2" s="26" t="s">
        <v>760</v>
      </c>
      <c r="N2" s="26" t="s">
        <v>762</v>
      </c>
      <c r="O2" s="26" t="s">
        <v>764</v>
      </c>
      <c r="P2" s="26"/>
      <c r="Q2" s="26"/>
      <c r="R2" s="26"/>
      <c r="S2" s="26" t="s">
        <v>769</v>
      </c>
      <c r="T2" s="26"/>
      <c r="U2" s="26"/>
      <c r="V2" s="26"/>
      <c r="W2" s="26" t="s">
        <v>775</v>
      </c>
      <c r="X2" s="26" t="s">
        <v>777</v>
      </c>
      <c r="Y2" s="26" t="s">
        <v>779</v>
      </c>
      <c r="Z2" s="26"/>
      <c r="AA2" s="26" t="s">
        <v>782</v>
      </c>
      <c r="AB2" s="26"/>
      <c r="AC2" s="26"/>
      <c r="AD2" s="26"/>
      <c r="AE2" s="26"/>
      <c r="AF2" s="26" t="s">
        <v>894</v>
      </c>
      <c r="AG2" s="26"/>
    </row>
    <row r="3" spans="1:33" outlineLevel="1" x14ac:dyDescent="0.3">
      <c r="A3" s="16" t="s">
        <v>1293</v>
      </c>
      <c r="B3" s="27" t="s">
        <v>123</v>
      </c>
      <c r="C3" s="27" t="s">
        <v>195</v>
      </c>
      <c r="D3" s="27" t="s">
        <v>195</v>
      </c>
      <c r="E3" s="27" t="s">
        <v>186</v>
      </c>
      <c r="F3" s="27" t="s">
        <v>125</v>
      </c>
      <c r="G3" s="27" t="s">
        <v>277</v>
      </c>
      <c r="H3" s="27" t="s">
        <v>277</v>
      </c>
      <c r="I3" s="27" t="s">
        <v>277</v>
      </c>
      <c r="J3" s="27" t="s">
        <v>123</v>
      </c>
      <c r="K3" s="27" t="s">
        <v>125</v>
      </c>
      <c r="L3" s="27" t="s">
        <v>125</v>
      </c>
      <c r="M3" s="27" t="s">
        <v>125</v>
      </c>
      <c r="N3" s="27" t="s">
        <v>125</v>
      </c>
      <c r="O3" s="27" t="s">
        <v>125</v>
      </c>
      <c r="P3" s="27" t="s">
        <v>1267</v>
      </c>
      <c r="Q3" s="27" t="s">
        <v>1267</v>
      </c>
      <c r="R3" s="27" t="s">
        <v>1267</v>
      </c>
      <c r="S3" s="27" t="s">
        <v>771</v>
      </c>
      <c r="T3" s="27" t="s">
        <v>772</v>
      </c>
      <c r="U3" s="27" t="s">
        <v>195</v>
      </c>
      <c r="V3" s="27" t="s">
        <v>284</v>
      </c>
      <c r="W3" s="27" t="s">
        <v>125</v>
      </c>
      <c r="X3" s="27" t="s">
        <v>207</v>
      </c>
      <c r="Y3" s="27" t="s">
        <v>207</v>
      </c>
      <c r="Z3" s="27" t="s">
        <v>203</v>
      </c>
      <c r="AA3" s="27" t="s">
        <v>125</v>
      </c>
      <c r="AB3" s="27" t="s">
        <v>125</v>
      </c>
      <c r="AC3" s="27" t="s">
        <v>125</v>
      </c>
      <c r="AD3" s="27" t="s">
        <v>125</v>
      </c>
      <c r="AE3" s="27" t="s">
        <v>125</v>
      </c>
      <c r="AF3" s="27" t="s">
        <v>436</v>
      </c>
      <c r="AG3" s="27" t="s">
        <v>125</v>
      </c>
    </row>
    <row r="4" spans="1:33" outlineLevel="1" x14ac:dyDescent="0.3">
      <c r="A4" s="16" t="s">
        <v>1288</v>
      </c>
      <c r="B4" s="2">
        <v>144396</v>
      </c>
      <c r="C4" s="2">
        <v>77811</v>
      </c>
      <c r="D4" s="2">
        <v>77812</v>
      </c>
      <c r="E4" s="2">
        <v>144399</v>
      </c>
      <c r="F4" s="27">
        <v>101874</v>
      </c>
      <c r="G4" s="2">
        <v>32812</v>
      </c>
      <c r="H4" s="2">
        <v>32811</v>
      </c>
      <c r="I4" s="2">
        <v>89171</v>
      </c>
      <c r="J4" s="2">
        <v>88684</v>
      </c>
      <c r="K4" s="27">
        <v>90879</v>
      </c>
      <c r="L4" s="27">
        <v>90923</v>
      </c>
      <c r="M4" s="27">
        <v>90945</v>
      </c>
      <c r="N4" s="27">
        <v>90989</v>
      </c>
      <c r="O4" s="27">
        <v>91011</v>
      </c>
      <c r="P4" s="2">
        <v>32653</v>
      </c>
      <c r="Q4" s="2">
        <v>32683</v>
      </c>
      <c r="R4" s="2">
        <v>32700</v>
      </c>
      <c r="S4" s="2">
        <v>317</v>
      </c>
      <c r="T4" s="2">
        <v>786</v>
      </c>
      <c r="U4" s="2">
        <v>575</v>
      </c>
      <c r="V4" s="2">
        <v>967</v>
      </c>
      <c r="W4" s="27">
        <v>32212</v>
      </c>
      <c r="X4" s="2">
        <v>87279</v>
      </c>
      <c r="Y4" s="2">
        <v>87316</v>
      </c>
      <c r="Z4" s="2">
        <v>88751</v>
      </c>
      <c r="AA4" s="27">
        <v>90351</v>
      </c>
      <c r="AB4" s="27">
        <v>90395</v>
      </c>
      <c r="AC4" s="27">
        <v>90417</v>
      </c>
      <c r="AD4" s="27">
        <v>90505</v>
      </c>
      <c r="AE4" s="27">
        <v>90527</v>
      </c>
      <c r="AF4" s="2">
        <v>89625</v>
      </c>
      <c r="AG4" s="27">
        <v>144772</v>
      </c>
    </row>
    <row r="5" spans="1:33" outlineLevel="1" x14ac:dyDescent="0.3">
      <c r="A5" t="s">
        <v>1291</v>
      </c>
      <c r="B5" s="27" t="s">
        <v>221</v>
      </c>
      <c r="C5" s="27" t="s">
        <v>194</v>
      </c>
      <c r="D5" s="27" t="s">
        <v>199</v>
      </c>
      <c r="E5" s="27" t="s">
        <v>253</v>
      </c>
      <c r="F5" s="27" t="s">
        <v>189</v>
      </c>
      <c r="G5" s="27" t="s">
        <v>748</v>
      </c>
      <c r="H5" s="27" t="s">
        <v>752</v>
      </c>
      <c r="I5" s="27" t="s">
        <v>753</v>
      </c>
      <c r="J5" s="27" t="s">
        <v>755</v>
      </c>
      <c r="K5" s="27" t="s">
        <v>757</v>
      </c>
      <c r="L5" s="27" t="s">
        <v>759</v>
      </c>
      <c r="M5" s="27" t="s">
        <v>761</v>
      </c>
      <c r="N5" s="27" t="s">
        <v>763</v>
      </c>
      <c r="O5" s="27" t="s">
        <v>765</v>
      </c>
      <c r="P5" s="27" t="s">
        <v>766</v>
      </c>
      <c r="Q5" s="27" t="s">
        <v>767</v>
      </c>
      <c r="R5" s="27" t="s">
        <v>768</v>
      </c>
      <c r="S5" s="27" t="s">
        <v>770</v>
      </c>
      <c r="T5" s="27" t="s">
        <v>1303</v>
      </c>
      <c r="U5" s="27" t="s">
        <v>773</v>
      </c>
      <c r="V5" s="27" t="s">
        <v>774</v>
      </c>
      <c r="W5" s="27" t="s">
        <v>776</v>
      </c>
      <c r="X5" s="27" t="s">
        <v>778</v>
      </c>
      <c r="Y5" s="27" t="s">
        <v>780</v>
      </c>
      <c r="Z5" s="27" t="s">
        <v>781</v>
      </c>
      <c r="AA5" s="27" t="s">
        <v>783</v>
      </c>
      <c r="AB5" s="27" t="s">
        <v>784</v>
      </c>
      <c r="AC5" s="27" t="s">
        <v>785</v>
      </c>
      <c r="AD5" s="27" t="s">
        <v>786</v>
      </c>
      <c r="AE5" s="27" t="s">
        <v>787</v>
      </c>
      <c r="AF5" s="27" t="s">
        <v>895</v>
      </c>
      <c r="AG5" s="27" t="s">
        <v>788</v>
      </c>
    </row>
    <row r="6" spans="1:33" outlineLevel="1" x14ac:dyDescent="0.3">
      <c r="A6" t="s">
        <v>1289</v>
      </c>
      <c r="B6" s="27" t="s">
        <v>222</v>
      </c>
      <c r="C6" s="27" t="s">
        <v>196</v>
      </c>
      <c r="D6" s="27" t="s">
        <v>196</v>
      </c>
      <c r="E6" s="27" t="s">
        <v>187</v>
      </c>
      <c r="F6" s="27" t="s">
        <v>190</v>
      </c>
      <c r="G6" s="27" t="s">
        <v>749</v>
      </c>
      <c r="H6" s="27" t="s">
        <v>749</v>
      </c>
      <c r="I6" s="27" t="s">
        <v>749</v>
      </c>
      <c r="J6" s="27" t="s">
        <v>749</v>
      </c>
      <c r="K6" s="27" t="s">
        <v>749</v>
      </c>
      <c r="L6" s="27" t="s">
        <v>749</v>
      </c>
      <c r="M6" s="27" t="s">
        <v>749</v>
      </c>
      <c r="N6" s="27" t="s">
        <v>749</v>
      </c>
      <c r="O6" s="27" t="s">
        <v>749</v>
      </c>
      <c r="P6" s="27" t="s">
        <v>749</v>
      </c>
      <c r="Q6" s="27" t="s">
        <v>749</v>
      </c>
      <c r="R6" s="27" t="s">
        <v>749</v>
      </c>
      <c r="S6" s="27" t="s">
        <v>749</v>
      </c>
      <c r="T6" s="27" t="s">
        <v>749</v>
      </c>
      <c r="U6" s="27" t="s">
        <v>749</v>
      </c>
      <c r="V6" s="27" t="s">
        <v>749</v>
      </c>
      <c r="W6" s="27" t="s">
        <v>749</v>
      </c>
      <c r="X6" s="27" t="s">
        <v>749</v>
      </c>
      <c r="Y6" s="27" t="s">
        <v>749</v>
      </c>
      <c r="Z6" s="27" t="s">
        <v>749</v>
      </c>
      <c r="AA6" s="27" t="s">
        <v>749</v>
      </c>
      <c r="AB6" s="27" t="s">
        <v>749</v>
      </c>
      <c r="AC6" s="27" t="s">
        <v>749</v>
      </c>
      <c r="AD6" s="27" t="s">
        <v>749</v>
      </c>
      <c r="AE6" s="27" t="s">
        <v>749</v>
      </c>
      <c r="AF6" s="27" t="s">
        <v>749</v>
      </c>
      <c r="AG6" s="27" t="s">
        <v>749</v>
      </c>
    </row>
    <row r="7" spans="1:33" outlineLevel="1" x14ac:dyDescent="0.3">
      <c r="A7" t="s">
        <v>1290</v>
      </c>
      <c r="B7" s="27" t="s">
        <v>223</v>
      </c>
      <c r="C7" s="27" t="s">
        <v>197</v>
      </c>
      <c r="D7" s="27" t="s">
        <v>197</v>
      </c>
      <c r="E7" s="27" t="s">
        <v>188</v>
      </c>
      <c r="F7" s="27" t="s">
        <v>191</v>
      </c>
      <c r="G7" s="27" t="s">
        <v>750</v>
      </c>
      <c r="H7" s="27" t="s">
        <v>750</v>
      </c>
      <c r="I7" s="27" t="s">
        <v>750</v>
      </c>
      <c r="J7" s="27" t="s">
        <v>750</v>
      </c>
      <c r="K7" s="27" t="s">
        <v>750</v>
      </c>
      <c r="L7" s="27" t="s">
        <v>750</v>
      </c>
      <c r="M7" s="27" t="s">
        <v>750</v>
      </c>
      <c r="N7" s="27" t="s">
        <v>750</v>
      </c>
      <c r="O7" s="27" t="s">
        <v>750</v>
      </c>
      <c r="P7" s="27" t="s">
        <v>750</v>
      </c>
      <c r="Q7" s="27" t="s">
        <v>750</v>
      </c>
      <c r="R7" s="27" t="s">
        <v>750</v>
      </c>
      <c r="S7" s="27" t="s">
        <v>750</v>
      </c>
      <c r="T7" s="27" t="s">
        <v>750</v>
      </c>
      <c r="U7" s="27" t="s">
        <v>750</v>
      </c>
      <c r="V7" s="27" t="s">
        <v>750</v>
      </c>
      <c r="W7" s="27" t="s">
        <v>750</v>
      </c>
      <c r="X7" s="27" t="s">
        <v>750</v>
      </c>
      <c r="Y7" s="27" t="s">
        <v>750</v>
      </c>
      <c r="Z7" s="27" t="s">
        <v>750</v>
      </c>
      <c r="AA7" s="27" t="s">
        <v>750</v>
      </c>
      <c r="AB7" s="27" t="s">
        <v>750</v>
      </c>
      <c r="AC7" s="27" t="s">
        <v>750</v>
      </c>
      <c r="AD7" s="27" t="s">
        <v>750</v>
      </c>
      <c r="AE7" s="27" t="s">
        <v>750</v>
      </c>
      <c r="AF7" s="27" t="s">
        <v>750</v>
      </c>
      <c r="AG7" s="27" t="s">
        <v>750</v>
      </c>
    </row>
    <row r="8" spans="1:33" outlineLevel="1" x14ac:dyDescent="0.3">
      <c r="A8" s="16" t="s">
        <v>489</v>
      </c>
      <c r="B8" s="27" t="s">
        <v>120</v>
      </c>
      <c r="C8" s="27" t="s">
        <v>163</v>
      </c>
      <c r="D8" s="27" t="s">
        <v>163</v>
      </c>
      <c r="E8" s="27" t="s">
        <v>159</v>
      </c>
      <c r="F8" s="27"/>
      <c r="G8" s="27" t="s">
        <v>290</v>
      </c>
      <c r="H8" s="27" t="s">
        <v>293</v>
      </c>
      <c r="I8" s="27" t="s">
        <v>278</v>
      </c>
      <c r="J8" s="27" t="s">
        <v>120</v>
      </c>
      <c r="K8" s="27" t="s">
        <v>126</v>
      </c>
      <c r="L8" s="27" t="s">
        <v>129</v>
      </c>
      <c r="M8" s="27" t="s">
        <v>132</v>
      </c>
      <c r="N8" s="27" t="s">
        <v>135</v>
      </c>
      <c r="O8" s="27" t="s">
        <v>138</v>
      </c>
      <c r="P8" s="27" t="s">
        <v>141</v>
      </c>
      <c r="Q8" s="27" t="s">
        <v>146</v>
      </c>
      <c r="R8" s="27" t="s">
        <v>149</v>
      </c>
      <c r="S8" s="27" t="s">
        <v>154</v>
      </c>
      <c r="T8" s="27" t="s">
        <v>159</v>
      </c>
      <c r="U8" s="27" t="s">
        <v>163</v>
      </c>
      <c r="V8" s="27" t="s">
        <v>168</v>
      </c>
      <c r="W8" s="27" t="s">
        <v>217</v>
      </c>
      <c r="X8" s="27" t="s">
        <v>208</v>
      </c>
      <c r="Y8" s="27" t="s">
        <v>213</v>
      </c>
      <c r="Z8" s="27" t="s">
        <v>204</v>
      </c>
      <c r="AA8" s="27" t="s">
        <v>126</v>
      </c>
      <c r="AB8" s="27" t="s">
        <v>129</v>
      </c>
      <c r="AC8" s="27" t="s">
        <v>132</v>
      </c>
      <c r="AD8" s="27" t="s">
        <v>135</v>
      </c>
      <c r="AE8" s="27" t="s">
        <v>138</v>
      </c>
      <c r="AF8" s="27" t="s">
        <v>351</v>
      </c>
      <c r="AG8" s="27" t="s">
        <v>402</v>
      </c>
    </row>
    <row r="9" spans="1:33" outlineLevel="1" x14ac:dyDescent="0.3">
      <c r="A9" s="16" t="s">
        <v>490</v>
      </c>
      <c r="B9" s="27" t="s">
        <v>121</v>
      </c>
      <c r="C9" s="27" t="s">
        <v>164</v>
      </c>
      <c r="D9" s="27" t="s">
        <v>164</v>
      </c>
      <c r="E9" s="27" t="s">
        <v>160</v>
      </c>
      <c r="F9" s="27"/>
      <c r="G9" s="27" t="s">
        <v>291</v>
      </c>
      <c r="H9" s="27" t="s">
        <v>294</v>
      </c>
      <c r="I9" s="27" t="s">
        <v>279</v>
      </c>
      <c r="J9" s="27" t="s">
        <v>121</v>
      </c>
      <c r="K9" s="27" t="s">
        <v>127</v>
      </c>
      <c r="L9" s="27" t="s">
        <v>130</v>
      </c>
      <c r="M9" s="27" t="s">
        <v>133</v>
      </c>
      <c r="N9" s="27" t="s">
        <v>136</v>
      </c>
      <c r="O9" s="27" t="s">
        <v>139</v>
      </c>
      <c r="P9" s="27" t="s">
        <v>142</v>
      </c>
      <c r="Q9" s="27" t="s">
        <v>147</v>
      </c>
      <c r="R9" s="27" t="s">
        <v>150</v>
      </c>
      <c r="S9" s="27" t="s">
        <v>155</v>
      </c>
      <c r="T9" s="27" t="s">
        <v>160</v>
      </c>
      <c r="U9" s="27" t="s">
        <v>164</v>
      </c>
      <c r="V9" s="27" t="s">
        <v>169</v>
      </c>
      <c r="W9" s="27" t="s">
        <v>218</v>
      </c>
      <c r="X9" s="27" t="s">
        <v>209</v>
      </c>
      <c r="Y9" s="27" t="s">
        <v>214</v>
      </c>
      <c r="Z9" s="27" t="s">
        <v>205</v>
      </c>
      <c r="AA9" s="27" t="s">
        <v>127</v>
      </c>
      <c r="AB9" s="27" t="s">
        <v>130</v>
      </c>
      <c r="AC9" s="27" t="s">
        <v>133</v>
      </c>
      <c r="AD9" s="27" t="s">
        <v>136</v>
      </c>
      <c r="AE9" s="27" t="s">
        <v>139</v>
      </c>
      <c r="AF9" s="27" t="s">
        <v>352</v>
      </c>
      <c r="AG9" s="28" t="s">
        <v>403</v>
      </c>
    </row>
    <row r="10" spans="1:33" outlineLevel="1" x14ac:dyDescent="0.3">
      <c r="A10" s="16" t="s">
        <v>491</v>
      </c>
      <c r="B10" s="27" t="s">
        <v>224</v>
      </c>
      <c r="C10" s="27" t="s">
        <v>165</v>
      </c>
      <c r="D10" s="27" t="s">
        <v>200</v>
      </c>
      <c r="E10" s="27" t="s">
        <v>226</v>
      </c>
      <c r="F10" s="27"/>
      <c r="G10" s="27" t="s">
        <v>175</v>
      </c>
      <c r="H10" s="27" t="s">
        <v>175</v>
      </c>
      <c r="I10" s="27" t="s">
        <v>184</v>
      </c>
      <c r="J10" s="27" t="s">
        <v>122</v>
      </c>
      <c r="K10" s="27" t="s">
        <v>122</v>
      </c>
      <c r="L10" s="27" t="s">
        <v>122</v>
      </c>
      <c r="M10" s="27" t="s">
        <v>122</v>
      </c>
      <c r="N10" s="27" t="s">
        <v>122</v>
      </c>
      <c r="O10" s="27" t="s">
        <v>122</v>
      </c>
      <c r="P10" s="27" t="s">
        <v>143</v>
      </c>
      <c r="Q10" s="27" t="s">
        <v>143</v>
      </c>
      <c r="R10" s="27" t="s">
        <v>151</v>
      </c>
      <c r="S10" s="27" t="s">
        <v>156</v>
      </c>
      <c r="T10" s="27" t="s">
        <v>447</v>
      </c>
      <c r="U10" s="27" t="s">
        <v>165</v>
      </c>
      <c r="V10" s="27" t="s">
        <v>170</v>
      </c>
      <c r="W10" s="27" t="s">
        <v>219</v>
      </c>
      <c r="X10" s="27" t="s">
        <v>210</v>
      </c>
      <c r="Y10" s="27" t="s">
        <v>210</v>
      </c>
      <c r="Z10" s="27" t="s">
        <v>184</v>
      </c>
      <c r="AA10" s="27" t="s">
        <v>184</v>
      </c>
      <c r="AB10" s="27" t="s">
        <v>184</v>
      </c>
      <c r="AC10" s="27" t="s">
        <v>184</v>
      </c>
      <c r="AD10" s="27" t="s">
        <v>184</v>
      </c>
      <c r="AE10" s="27" t="s">
        <v>184</v>
      </c>
      <c r="AF10" s="27" t="s">
        <v>156</v>
      </c>
      <c r="AG10" s="27" t="s">
        <v>184</v>
      </c>
    </row>
    <row r="11" spans="1:33" ht="15.6" customHeight="1" outlineLevel="1" x14ac:dyDescent="0.3">
      <c r="A11" s="16" t="s">
        <v>492</v>
      </c>
      <c r="B11" s="27" t="s">
        <v>225</v>
      </c>
      <c r="C11" s="27" t="s">
        <v>166</v>
      </c>
      <c r="D11" s="27" t="s">
        <v>201</v>
      </c>
      <c r="E11" s="27" t="s">
        <v>227</v>
      </c>
      <c r="F11" s="27"/>
      <c r="G11" s="27" t="s">
        <v>176</v>
      </c>
      <c r="H11" s="27" t="s">
        <v>176</v>
      </c>
      <c r="I11" s="27" t="s">
        <v>185</v>
      </c>
      <c r="J11" s="27" t="s">
        <v>118</v>
      </c>
      <c r="K11" s="27" t="s">
        <v>118</v>
      </c>
      <c r="L11" s="27" t="s">
        <v>118</v>
      </c>
      <c r="M11" s="27" t="s">
        <v>118</v>
      </c>
      <c r="N11" s="27" t="s">
        <v>118</v>
      </c>
      <c r="O11" s="27" t="s">
        <v>118</v>
      </c>
      <c r="P11" s="27" t="s">
        <v>144</v>
      </c>
      <c r="Q11" s="27" t="s">
        <v>144</v>
      </c>
      <c r="R11" s="27" t="s">
        <v>152</v>
      </c>
      <c r="S11" s="27" t="s">
        <v>157</v>
      </c>
      <c r="T11" s="27" t="s">
        <v>448</v>
      </c>
      <c r="U11" s="27" t="s">
        <v>166</v>
      </c>
      <c r="V11" s="27" t="s">
        <v>171</v>
      </c>
      <c r="W11" s="27" t="s">
        <v>220</v>
      </c>
      <c r="X11" s="27" t="s">
        <v>211</v>
      </c>
      <c r="Y11" s="27" t="s">
        <v>211</v>
      </c>
      <c r="Z11" s="27" t="s">
        <v>185</v>
      </c>
      <c r="AA11" s="27" t="s">
        <v>185</v>
      </c>
      <c r="AB11" s="27" t="s">
        <v>185</v>
      </c>
      <c r="AC11" s="27" t="s">
        <v>185</v>
      </c>
      <c r="AD11" s="27" t="s">
        <v>185</v>
      </c>
      <c r="AE11" s="27" t="s">
        <v>185</v>
      </c>
      <c r="AF11" s="27" t="s">
        <v>157</v>
      </c>
      <c r="AG11" s="27" t="s">
        <v>185</v>
      </c>
    </row>
    <row r="12" spans="1:33" outlineLevel="1" x14ac:dyDescent="0.3">
      <c r="B12" s="4" t="str">
        <f>INDEX({"31/01/2024 @ 15:42","macro_id=DBGlobal","label_id=144396","time=Q","year_from=2000","year_to=2023","direction=V","opt_font=true","fontsize=8","opt_color=true","col_desc=Calculation:10;Footnote 1:9;ID:8;Label:7;Reporter:6:s;Reporter:5:long;Indicator:4:s;Indicator:3:l;Unit:2:s;Unit:1:long;","numberformat=0.00","auto_tr=1999|2015","com=true","comp=4"},1,1)</f>
        <v>31/01/2024 @ 15:42</v>
      </c>
      <c r="C12" s="4" t="str">
        <f>INDEX({"31/01/2024 @ 15:42","macro_id=DBGlobal","label_id=77811","time=Q","year_from=2000","year_to=2023","direction=V","opt_font=true","fontsize=8","opt_color=true","col_desc=Calculation:10;Footnote 1:9;ID:8;Label:7;Reporter:6:s;Reporter:5:long;Indicator:4:s;Indicator:3:l;Unit:2:s;Unit:1:long;","numberformat=0.00","auto_tr=1999|2015","com=true","comp=4"},1,1)</f>
        <v>31/01/2024 @ 15:42</v>
      </c>
      <c r="D12" s="6" t="str">
        <f>INDEX({"31/01/2024 @ 15:42","macro_id=DBGlobal","label_id=77812","calc=SubScal(L_77812,100)","time=Q","year_from=2000","year_to=2023","direction=V","opt_font=true","fontsize=8","opt_color=true","col_desc=Calculation:10;Footnote 1:9;ID:8;Label:7;Reporter:6:s;Reporter:5:long;Indicator:4:s;Indicator:3:l;Unit:2:s;Unit:1:long;","numberformat=0.00","auto_tr=1999|2015","com=true","comp=4"},1,1)</f>
        <v>31/01/2024 @ 15:42</v>
      </c>
      <c r="E12" s="4" t="str">
        <f>INDEX({"31/01/2024 @ 15:42","macro_id=DBGlobal","label_id=144399","time=Q","year_from=2000","year_to=2023","direction=V","opt_font=true","fontsize=8","opt_color=true","col_desc=Calculation:10;Footnote 1:9;ID:8;Label:7;Reporter:6:s;Reporter:5:long;Indicator:4:s;Indicator:3:l;Unit:2:s;Unit:1:long;","numberformat=0.00","auto_tr=1999|2015","com=true","comp=4"},1,1)</f>
        <v>31/01/2024 @ 15:42</v>
      </c>
      <c r="F12" s="4" t="str">
        <f>INDEX({"31/01/2024 @ 15:42","macro_id=DBGlobal","label_id=101874","time=Q","year_from=2000","year_to=2023","direction=V","opt_font=true","fontsize=8","opt_color=true","col_desc=Calculation:10;Footnote 1:9;ID:8;Label:7;Reporter:6:s;Reporter:5:long;Indicator:4:s;Indicator:3:l;Unit:2:s;Unit:1:long;","numberformat=0.00","auto_tr=1999|2015","com=true","comp=4"},1,1)</f>
        <v>31/01/2024 @ 15:42</v>
      </c>
      <c r="G12" s="5" t="str">
        <f>INDEX({"31/01/2024 @ 15:42","macro_id=DBGlobal","label_id=32812","calc=SubScal(CPPY=100(L_32812),100)","time=Q","year_from=2000","year_to=2023","direction=V","opt_font=true","fontsize=8","opt_color=true","col_desc=Calculation:10;Footnote 1:9;ID:8;Label:7;Reporter:6:s;Reporter:5:long;Indicator:4:s;Indicator:3:l;Unit:2:s;Unit:1:long;","numberformat=0.00","auto_tr=1999|2015","com=true","comp=4"},1,1)</f>
        <v>31/01/2024 @ 15:42</v>
      </c>
      <c r="H12" s="5" t="str">
        <f>INDEX({"31/01/2024 @ 15:42","macro_id=DBGlobal","label_id=32811","calc=SubScal(CPPY=100(L_32811),100)","time=Q","year_from=2000","year_to=2023","direction=V","opt_font=true","fontsize=8","opt_color=true","col_desc=Calculation:10;Footnote 1:9;ID:8;Label:7;Reporter:6:s;Reporter:5:long;Indicator:4:s;Indicator:3:l;Unit:2:s;Unit:1:long;","numberformat=0.00","auto_tr=1999|2015","com=true","comp=4"},1,1)</f>
        <v>31/01/2024 @ 15:42</v>
      </c>
      <c r="I12" s="1" t="str">
        <f>INDEX({"31/01/2024 @ 15:42","macro_id=DBGlobal","label_id=89171","time=Q","year_from=2000","year_to=2023","direction=V","opt_font=true","fontsize=8","opt_color=true","col_desc=Calculation:10;Footnote 1:9;ID:8;Label:7;Reporter:6:s;Reporter:5:long;Indicator:4:s;Indicator:3:l;Unit:2:s;Unit:1:long;","numberformat=0.00","auto_tr=1999|2015","com=true","comp=4"},1,1)</f>
        <v>31/01/2024 @ 15:42</v>
      </c>
      <c r="J12" s="5" t="str">
        <f>INDEX({"31/01/2024 @ 15:42","macro_id=DBGlobal","label_id=88684","calc=SubScal(CPPY=100(L_88684),100)","time=Q","year_from=2000","year_to=2023","direction=V","opt_font=true","fontsize=8","opt_color=true","col_desc=Calculation:10;Footnote 1:9;ID:8;Label:7;Reporter:6:s;Reporter:5:long;Indicator:4:s;Indicator:3:l;Unit:2:s;Unit:1:long;","numberformat=0.00","auto_tr=1999|2015","com=true","comp=4"},1,1)</f>
        <v>31/01/2024 @ 15:42</v>
      </c>
      <c r="K12" s="5" t="str">
        <f>INDEX({"31/01/2024 @ 15:42","macro_id=DBGlobal","label_id=90879","calc=SubScal(CPPY=100(L_90879),100)","time=Q","year_from=2000","year_to=2023","direction=V","opt_font=true","fontsize=8","opt_color=true","col_desc=Calculation:10;Footnote 1:9;ID:8;Label:7;Reporter:6:s;Reporter:5:long;Indicator:4:s;Indicator:3:l;Unit:2:s;Unit:1:long;","numberformat=0.00","auto_tr=1999|2015","com=true","comp=4"},1,1)</f>
        <v>31/01/2024 @ 15:42</v>
      </c>
      <c r="L12" s="5" t="str">
        <f>INDEX({"31/01/2024 @ 15:42","macro_id=DBGlobal","label_id=90923","calc=SubScal(CPPY=100(L_90923),100)","time=Q","year_from=2000","year_to=2023","direction=V","opt_font=true","fontsize=8","opt_color=true","col_desc=Calculation:10;Footnote 1:9;ID:8;Label:7;Reporter:6:s;Reporter:5:long;Indicator:4:s;Indicator:3:l;Unit:2:s;Unit:1:long;","numberformat=0.00","auto_tr=1999|2015","com=true","comp=4"},1,1)</f>
        <v>31/01/2024 @ 15:42</v>
      </c>
      <c r="M12" s="5" t="str">
        <f>INDEX({"31/01/2024 @ 15:42","macro_id=DBGlobal","label_id=90945","calc=SubScal(CPPY=100(L_90945),100)","time=Q","year_from=2000","year_to=2023","direction=V","opt_font=true","fontsize=8","opt_color=true","col_desc=Calculation:10;Footnote 1:9;ID:8;Label:7;Reporter:6:s;Reporter:5:long;Indicator:4:s;Indicator:3:l;Unit:2:s;Unit:1:long;","numberformat=0.00","auto_tr=1999|2015","com=true","comp=4"},1,1)</f>
        <v>31/01/2024 @ 15:42</v>
      </c>
      <c r="N12" s="5" t="str">
        <f>INDEX({"31/01/2024 @ 15:42","macro_id=DBGlobal","label_id=90989","calc=SubScal(CPPY=100(L_90989),100)","time=Q","year_from=2000","year_to=2023","direction=V","opt_font=true","fontsize=8","opt_color=true","col_desc=Calculation:10;Footnote 1:9;ID:8;Label:7;Reporter:6:s;Reporter:5:long;Indicator:4:s;Indicator:3:l;Unit:2:s;Unit:1:long;","numberformat=0.00","auto_tr=1999|2015","com=true","comp=4"},1,1)</f>
        <v>31/01/2024 @ 15:42</v>
      </c>
      <c r="O12" s="5" t="str">
        <f>INDEX({"31/01/2024 @ 15:42","macro_id=DBGlobal","label_id=91011","calc=SubScal(CPPY=100(L_91011),100)","time=Q","year_from=2000","year_to=2023","direction=V","opt_font=true","fontsize=8","opt_color=true","col_desc=Calculation:10;Footnote 1:9;ID:8;Label:7;Reporter:6:s;Reporter:5:long;Indicator:4:s;Indicator:3:l;Unit:2:s;Unit:1:long;","numberformat=0.00","auto_tr=1999|2015","com=true","comp=4"},1,1)</f>
        <v>31/01/2024 @ 15:42</v>
      </c>
      <c r="P12" s="1" t="str">
        <f>INDEX({"31/01/2024 @ 15:42","macro_id=DBGlobal","label_id=32653","time=Q","year_from=2000","year_to=2023","direction=V","opt_font=true","fontsize=8","opt_color=true","col_desc=Calculation:10;Footnote 1:9;ID:8;Label:7;Reporter:6:s;Reporter:5:long;Indicator:4:s;Indicator:3:l;Unit:2:s;Unit:1:long;","numberformat=0.00","auto_tr=1999|2015","com=true","comp=4"},1,1)</f>
        <v>31/01/2024 @ 15:42</v>
      </c>
      <c r="Q12" s="1" t="str">
        <f>INDEX({"31/01/2024 @ 15:42","macro_id=DBGlobal","label_id=32683","time=Q","year_from=2000","year_to=2023","direction=V","opt_font=true","fontsize=8","opt_color=true","col_desc=Calculation:10;Footnote 1:9;ID:8;Label:7;Reporter:6:s;Reporter:5:long;Indicator:4:s;Indicator:3:l;Unit:2:s;Unit:1:long;","numberformat=0.00","auto_tr=1999|2015","com=true","comp=4"},1,1)</f>
        <v>31/01/2024 @ 15:42</v>
      </c>
      <c r="R12" s="1" t="str">
        <f>INDEX({"31/01/2024 @ 15:42","macro_id=DBGlobal","label_id=32700","time=Q","year_from=2000","year_to=2023","direction=V","opt_font=true","fontsize=8","opt_color=true","col_desc=Calculation:10;Footnote 1:9;ID:8;Label:7;Reporter:6:s;Reporter:5:long;Indicator:4:s;Indicator:3:l;Unit:2:s;Unit:1:long;","numberformat=0.00","auto_tr=1999|2015","com=true","comp=4"},1,1)</f>
        <v>31/01/2024 @ 15:42</v>
      </c>
      <c r="S12" s="5" t="str">
        <f>INDEX({"31/01/2024 @ 15:42","macro_id=DBGlobal","label_id=317","calc=SubScal(L_317,100)","time=Q","year_from=2000","year_to=2023","direction=V","opt_font=true","fontsize=8","opt_color=true","col_desc=Calculation:10;Footnote 1:9;ID:8;Label:7;Reporter:6:s;Reporter:5:long;Indicator:4:s;Indicator:3:l;Unit:2:s;Unit:1:long;","numberformat=0.00","auto_tr=1999|2015","com=true","comp=4"},1,1)</f>
        <v>31/01/2024 @ 15:42</v>
      </c>
      <c r="T12" s="1" t="str">
        <f>INDEX({"31/01/2024 @ 15:42","macro_id=DBGlobal","label_id=786","time=Q","year_from=2000","year_to=2023","direction=V","opt_font=true","fontsize=8","opt_color=true","col_desc=Calculation:10;Footnote 1:9;ID:8;Label:7;Reporter:6:s;Reporter:5:long;Indicator:4:s;Indicator:3:l;Unit:2:s;Unit:1:long;","numberformat=0.00","auto_tr=1999|2015","com=true","comp=4"},1,1)</f>
        <v>31/01/2024 @ 15:42</v>
      </c>
      <c r="U12" s="1" t="str">
        <f>INDEX({"31/01/2024 @ 15:42","macro_id=DBGlobal","label_id=575","time=Q","year_from=2000","year_to=2023","direction=V","opt_font=true","fontsize=8","opt_color=true","col_desc=Calculation:10;Footnote 1:9;ID:8;Label:7;Reporter:6:s;Reporter:5:long;Indicator:4:s;Indicator:3:l;Unit:2:s;Unit:1:long;","numberformat=0.00","auto_tr=1999|2015","com=true","comp=4"},1,1)</f>
        <v>31/01/2024 @ 15:42</v>
      </c>
      <c r="V12" s="1" t="str">
        <f>INDEX({"31/01/2024 @ 15:42","macro_id=DBGlobal","label_id=967","time=Q","year_from=2000","year_to=2023","direction=V","opt_font=true","fontsize=8","opt_color=true","col_desc=Calculation:10;Footnote 1:9;ID:8;Label:7;Reporter:6:s;Reporter:5:long;Indicator:4:s;Indicator:3:l;Unit:2:s;Unit:1:long;","numberformat=0.00","auto_tr=1999|2015","com=true","comp=4"},1,1)</f>
        <v>31/01/2024 @ 15:42</v>
      </c>
      <c r="W12" s="5" t="str">
        <f>INDEX({"31/01/2024 @ 15:42","macro_id=DBGlobal","label_id=32212","calc=SubScal(L_32212,100)","time=Q","year_from=2000","year_to=2023","direction=V","opt_font=true","fontsize=8","opt_color=true","col_desc=Calculation:10;Footnote 1:9;ID:8;Label:7;Reporter:6:s;Reporter:5:long;Indicator:4:s;Indicator:3:l;Unit:2:s;Unit:1:long;","numberformat=0.00","auto_tr=1999|2015","com=true","comp=4"},1,1)</f>
        <v>31/01/2024 @ 15:42</v>
      </c>
      <c r="X12" s="6" t="str">
        <f>INDEX({"31/01/2024 @ 15:42","macro_id=DBGlobal","label_id=87279","calc=SubScal(CPPY=100(AddNull(L_87279,L_87353)),100)","time=Q","year_from=2000","year_to=2023","direction=V","opt_font=true","fontsize=8","opt_color=true","col_desc=Calculation:10;Footnote 1:9;ID:8;Label:7;Reporter:6:s;Reporter:5:long;Indicator:4:s;Indicator:3:l;Unit:2:s;Unit:1:long;","numberformat=0.00","auto_tr=1999|2015","com=true","comp=4"},1,1)</f>
        <v>31/01/2024 @ 15:42</v>
      </c>
      <c r="Y12" s="6" t="str">
        <f>INDEX({"31/01/2024 @ 15:42","macro_id=DBGlobal","label_id=87316","calc=SubScal(CPPY=100(AddNull(L_87316,L_87390)),100)","time=Q","year_from=2000","year_to=2023","direction=V","opt_font=true","fontsize=8","opt_color=true","col_desc=Calculation:10;Footnote 1:9;ID:8;Label:7;Reporter:6:s;Reporter:5:long;Indicator:4:s;Indicator:3:l;Unit:2:s;Unit:1:long;","numberformat=0.00","auto_tr=1999|2015","com=true","comp=4"},1,1)</f>
        <v>31/01/2024 @ 15:42</v>
      </c>
      <c r="Z12" s="1" t="str">
        <f>INDEX({"31/01/2024 @ 15:42","macro_id=DBGlobal","label_id=88751","time=Q","year_from=2000","year_to=2023","direction=V","opt_font=true","fontsize=8","opt_color=true","col_desc=Calculation:10;Footnote 1:9;ID:8;Label:7;Reporter:6:s;Reporter:5:long;Indicator:4:s;Indicator:3:l;Unit:2:s;Unit:1:long;","numberformat=0.00","auto_tr=1999|2015","com=true","comp=4"},1,1)</f>
        <v>31/01/2024 @ 15:42</v>
      </c>
      <c r="AA12" s="5" t="str">
        <f>INDEX({"31/01/2024 @ 15:42","macro_id=DBGlobal","label_id=90351","calc=AddNull(L_90351,L_90373)","time=Q","year_from=2000","year_to=2023","direction=V","opt_font=true","fontsize=8","opt_color=true","col_desc=Calculation:10;Footnote 1:9;ID:8;Label:7;Reporter:6:s;Reporter:5:long;Indicator:4:s;Indicator:3:l;Unit:2:s;Unit:1:long;","numberformat=0.00","auto_tr=1999|2015","com=true","comp=4"},1,1)</f>
        <v>31/01/2024 @ 15:42</v>
      </c>
      <c r="AB12" s="1" t="str">
        <f>INDEX({"31/01/2024 @ 15:42","macro_id=DBGlobal","label_id=90395","time=Q","year_from=2000","year_to=2023","direction=V","opt_font=true","fontsize=8","opt_color=true","col_desc=Calculation:10;Footnote 1:9;ID:8;Label:7;Reporter:6:s;Reporter:5:long;Indicator:4:s;Indicator:3:l;Unit:2:s;Unit:1:long;","numberformat=0.00","auto_tr=1999|2015","com=true","comp=4"},1,1)</f>
        <v>31/01/2024 @ 15:42</v>
      </c>
      <c r="AC12" s="1" t="str">
        <f>INDEX({"31/01/2024 @ 15:42","macro_id=DBGlobal","label_id=90417","time=Q","year_from=2000","year_to=2023","direction=V","opt_font=true","fontsize=8","opt_color=true","col_desc=Calculation:10;Footnote 1:9;ID:8;Label:7;Reporter:6:s;Reporter:5:long;Indicator:4:s;Indicator:3:l;Unit:2:s;Unit:1:long;","numberformat=0.00","auto_tr=1999|2015","com=true","comp=4"},1,1)</f>
        <v>31/01/2024 @ 15:42</v>
      </c>
      <c r="AD12" s="1" t="str">
        <f>INDEX({"31/01/2024 @ 15:42","macro_id=DBGlobal","label_id=90505","time=Q","year_from=2000","year_to=2023","direction=V","opt_font=true","fontsize=8","opt_color=true","col_desc=Calculation:10;Footnote 1:9;ID:8;Label:7;Reporter:6:s;Reporter:5:long;Indicator:4:s;Indicator:3:l;Unit:2:s;Unit:1:long;","numberformat=0.00","auto_tr=1999|2015","com=true","comp=4"},1,1)</f>
        <v>31/01/2024 @ 15:42</v>
      </c>
      <c r="AE12" s="1" t="str">
        <f>INDEX({"31/01/2024 @ 15:42","macro_id=DBGlobal","label_id=90527","time=Q","year_from=2000","year_to=2023","direction=V","opt_font=true","fontsize=8","opt_color=true","col_desc=Calculation:10;Footnote 1:9;ID:8;Label:7;Reporter:6:s;Reporter:5:long;Indicator:4:s;Indicator:3:l;Unit:2:s;Unit:1:long;","numberformat=0.00","auto_tr=1999|2015","com=true","comp=4"},1,1)</f>
        <v>31/01/2024 @ 15:42</v>
      </c>
      <c r="AF12" s="5" t="str">
        <f>INDEX({"31/01/2024 @ 15:42","macro_id=DBGlobal","label_id=89625","calc=SubScal(L_89625,100)","time=Q","year_from=2000","year_to=2023","direction=V","opt_font=true","fontsize=8","opt_color=true","col_desc=Calculation:10;Footnote 1:9;ID:8;Label:7;Reporter:6:s;Reporter:5:long;Indicator:4:s;Indicator:3:l;Unit:2:s;Unit:1:long;","numberformat=0.00","auto_tr=1999|2015","com=true","comp=4"},1,1)</f>
        <v>31/01/2024 @ 15:42</v>
      </c>
      <c r="AG12" s="4" t="str">
        <f>INDEX({"31/01/2024 @ 15:42","macro_id=DBGlobal","label_id=144772","time=Q","year_from=2000","year_to=2023","direction=V","opt_font=true","fontsize=8","opt_color=true","col_desc=Calculation:10;Footnote 1:9;ID:8;Label:7;Reporter:6:s;Reporter:5:long;Indicator:4:s;Indicator:3:l;Unit:2:s;Unit:1:long;","numberformat=0.00","auto_tr=1999|2015","com=true","comp=4"},1,1)</f>
        <v>31/01/2024 @ 15:42</v>
      </c>
    </row>
    <row r="13" spans="1:33" s="11" customFormat="1" x14ac:dyDescent="0.3">
      <c r="A13" s="11" t="s">
        <v>19</v>
      </c>
      <c r="B13" s="12">
        <v>4.8214176000000002</v>
      </c>
      <c r="C13" s="12">
        <v>73.989999999999995</v>
      </c>
      <c r="D13" s="12">
        <v>1.7557532</v>
      </c>
      <c r="E13" s="12">
        <v>3.25</v>
      </c>
      <c r="F13" s="13">
        <v>26.926666699999998</v>
      </c>
      <c r="G13" s="12">
        <v>11.5002443</v>
      </c>
      <c r="H13" s="12">
        <v>5.6548974999999997</v>
      </c>
      <c r="I13" s="12">
        <v>-4.6264092999999997</v>
      </c>
      <c r="J13" s="12">
        <v>5.9444774999999996</v>
      </c>
      <c r="K13" s="12">
        <v>2.0028223999999999</v>
      </c>
      <c r="L13" s="12">
        <v>4.8393138000000002</v>
      </c>
      <c r="M13" s="12">
        <v>12.2200503</v>
      </c>
      <c r="N13" s="12">
        <v>13.264286999999999</v>
      </c>
      <c r="O13" s="12">
        <v>11.4854156</v>
      </c>
      <c r="P13" s="7">
        <v>882</v>
      </c>
      <c r="Q13" s="7">
        <v>71</v>
      </c>
      <c r="R13" s="7">
        <v>7.1</v>
      </c>
      <c r="S13" s="12">
        <v>8.6795089000000001</v>
      </c>
      <c r="T13" s="12">
        <v>8</v>
      </c>
      <c r="U13" s="12">
        <v>60.07</v>
      </c>
      <c r="V13" s="12">
        <v>0.83989049999999998</v>
      </c>
      <c r="W13" s="7" t="s">
        <v>107</v>
      </c>
      <c r="X13" s="7" t="s">
        <v>107</v>
      </c>
      <c r="Y13" s="7" t="s">
        <v>107</v>
      </c>
      <c r="Z13" s="12">
        <v>-3.6425773000000001</v>
      </c>
      <c r="AA13" s="12">
        <v>57.795102800000002</v>
      </c>
      <c r="AB13" s="12">
        <v>18.6223478</v>
      </c>
      <c r="AC13" s="12">
        <v>27.961532200000001</v>
      </c>
      <c r="AD13" s="12">
        <v>48.932097800000001</v>
      </c>
      <c r="AE13" s="12">
        <v>53.306412100000003</v>
      </c>
      <c r="AF13" s="7" t="s">
        <v>107</v>
      </c>
      <c r="AG13" s="12">
        <v>23.544668999999999</v>
      </c>
    </row>
    <row r="14" spans="1:33" s="11" customFormat="1" hidden="1" outlineLevel="1" x14ac:dyDescent="0.3">
      <c r="A14" s="11" t="s">
        <v>20</v>
      </c>
      <c r="B14" s="12">
        <v>4.3154814000000004</v>
      </c>
      <c r="C14" s="12">
        <v>74.493333300000003</v>
      </c>
      <c r="D14" s="12">
        <v>1.6742492</v>
      </c>
      <c r="E14" s="12">
        <v>3.9166666999999999</v>
      </c>
      <c r="F14" s="13">
        <v>26.766666699999998</v>
      </c>
      <c r="G14" s="12">
        <v>9.0909090999999993</v>
      </c>
      <c r="H14" s="12">
        <v>10.342125899999999</v>
      </c>
      <c r="I14" s="12">
        <v>-3.1985125000000001</v>
      </c>
      <c r="J14" s="12">
        <v>0.93866479999999997</v>
      </c>
      <c r="K14" s="12">
        <v>-3.7630796000000002</v>
      </c>
      <c r="L14" s="12">
        <v>3.8530658999999998</v>
      </c>
      <c r="M14" s="12">
        <v>-14.025963600000001</v>
      </c>
      <c r="N14" s="12">
        <v>13.6910905</v>
      </c>
      <c r="O14" s="12">
        <v>-2.5463534999999999</v>
      </c>
      <c r="P14" s="7">
        <v>894</v>
      </c>
      <c r="Q14" s="7">
        <v>69</v>
      </c>
      <c r="R14" s="7">
        <v>6.9</v>
      </c>
      <c r="S14" s="12">
        <v>9.7380487999999996</v>
      </c>
      <c r="T14" s="12">
        <v>9</v>
      </c>
      <c r="U14" s="12">
        <v>61.27</v>
      </c>
      <c r="V14" s="12">
        <v>0.85634880000000002</v>
      </c>
      <c r="W14" s="7" t="s">
        <v>107</v>
      </c>
      <c r="X14" s="7" t="s">
        <v>107</v>
      </c>
      <c r="Y14" s="7" t="s">
        <v>107</v>
      </c>
      <c r="Z14" s="12">
        <v>-2.1915917</v>
      </c>
      <c r="AA14" s="12">
        <v>55.392136399999998</v>
      </c>
      <c r="AB14" s="12">
        <v>18.541344599999999</v>
      </c>
      <c r="AC14" s="12">
        <v>28.826306800000001</v>
      </c>
      <c r="AD14" s="12">
        <v>49.389963600000002</v>
      </c>
      <c r="AE14" s="12">
        <v>52.147662199999999</v>
      </c>
      <c r="AF14" s="7" t="s">
        <v>107</v>
      </c>
      <c r="AG14" s="12">
        <v>23.629535700000002</v>
      </c>
    </row>
    <row r="15" spans="1:33" s="11" customFormat="1" hidden="1" outlineLevel="1" x14ac:dyDescent="0.3">
      <c r="A15" s="11" t="s">
        <v>21</v>
      </c>
      <c r="B15" s="12">
        <v>3.5071058000000002</v>
      </c>
      <c r="C15" s="12">
        <v>74.819999999999993</v>
      </c>
      <c r="D15" s="12">
        <v>1.9670194000000001</v>
      </c>
      <c r="E15" s="17">
        <v>4.3333332999999996</v>
      </c>
      <c r="F15" s="13">
        <v>30.673333299999999</v>
      </c>
      <c r="G15" s="12">
        <v>11.257376300000001</v>
      </c>
      <c r="H15" s="12">
        <v>10.4887601</v>
      </c>
      <c r="I15" s="12">
        <v>-3.0640843000000002</v>
      </c>
      <c r="J15" s="12">
        <v>4.8688707999999998</v>
      </c>
      <c r="K15" s="12">
        <v>1.4285365000000001</v>
      </c>
      <c r="L15" s="12">
        <v>3.0398016999999999</v>
      </c>
      <c r="M15" s="12">
        <v>20.659979799999999</v>
      </c>
      <c r="N15" s="12">
        <v>13.027491400000001</v>
      </c>
      <c r="O15" s="12">
        <v>15.8290972</v>
      </c>
      <c r="P15" s="7">
        <v>922</v>
      </c>
      <c r="Q15" s="7">
        <v>66</v>
      </c>
      <c r="R15" s="7">
        <v>6.6</v>
      </c>
      <c r="S15" s="12">
        <v>11.3340186</v>
      </c>
      <c r="T15" s="12">
        <v>9</v>
      </c>
      <c r="U15" s="12">
        <v>62.54</v>
      </c>
      <c r="V15" s="12">
        <v>0.8701643</v>
      </c>
      <c r="W15" s="7" t="s">
        <v>107</v>
      </c>
      <c r="X15" s="7" t="s">
        <v>107</v>
      </c>
      <c r="Y15" s="7" t="s">
        <v>107</v>
      </c>
      <c r="Z15" s="12">
        <v>-2.7845548999999998</v>
      </c>
      <c r="AA15" s="12">
        <v>57.213670200000003</v>
      </c>
      <c r="AB15" s="12">
        <v>18.0770518</v>
      </c>
      <c r="AC15" s="12">
        <v>29.038734999999999</v>
      </c>
      <c r="AD15" s="12">
        <v>50.794779599999998</v>
      </c>
      <c r="AE15" s="12">
        <v>55.122145099999997</v>
      </c>
      <c r="AF15" s="7" t="s">
        <v>107</v>
      </c>
      <c r="AG15" s="12">
        <v>24.249062500000001</v>
      </c>
    </row>
    <row r="16" spans="1:33" s="11" customFormat="1" hidden="1" outlineLevel="1" x14ac:dyDescent="0.3">
      <c r="A16" s="11" t="s">
        <v>22</v>
      </c>
      <c r="B16" s="12">
        <v>2.8994336000000001</v>
      </c>
      <c r="C16" s="12">
        <v>75.3</v>
      </c>
      <c r="D16" s="12">
        <v>2.2218200000000001</v>
      </c>
      <c r="E16" s="17">
        <v>4.75</v>
      </c>
      <c r="F16" s="13">
        <v>29.7233333</v>
      </c>
      <c r="G16" s="12">
        <v>10.8301114</v>
      </c>
      <c r="H16" s="12">
        <v>9.4380053000000004</v>
      </c>
      <c r="I16" s="12">
        <v>-3.7871668000000001</v>
      </c>
      <c r="J16" s="12">
        <v>3.2216795999999999</v>
      </c>
      <c r="K16" s="12">
        <v>0.16418779999999999</v>
      </c>
      <c r="L16" s="12">
        <v>3.4643996000000001</v>
      </c>
      <c r="M16" s="12">
        <v>-0.96260820000000002</v>
      </c>
      <c r="N16" s="12">
        <v>10.5592682</v>
      </c>
      <c r="O16" s="12">
        <v>3.8085285</v>
      </c>
      <c r="P16" s="7">
        <v>905</v>
      </c>
      <c r="Q16" s="7">
        <v>64</v>
      </c>
      <c r="R16" s="7">
        <v>6.4</v>
      </c>
      <c r="S16" s="12">
        <v>12.5866206</v>
      </c>
      <c r="T16" s="12">
        <v>10</v>
      </c>
      <c r="U16" s="12">
        <v>64.053333300000006</v>
      </c>
      <c r="V16" s="12">
        <v>0.88243700000000003</v>
      </c>
      <c r="W16" s="7" t="s">
        <v>107</v>
      </c>
      <c r="X16" s="7" t="s">
        <v>107</v>
      </c>
      <c r="Y16" s="7" t="s">
        <v>107</v>
      </c>
      <c r="Z16" s="12">
        <v>-2.1473792</v>
      </c>
      <c r="AA16" s="12">
        <v>55.073883700000003</v>
      </c>
      <c r="AB16" s="12">
        <v>18.613904900000001</v>
      </c>
      <c r="AC16" s="12">
        <v>29.6534762</v>
      </c>
      <c r="AD16" s="12">
        <v>51.252724399999998</v>
      </c>
      <c r="AE16" s="12">
        <v>54.589990200000003</v>
      </c>
      <c r="AF16" s="7" t="s">
        <v>107</v>
      </c>
      <c r="AG16" s="12">
        <v>25.917753600000001</v>
      </c>
    </row>
    <row r="17" spans="1:33" s="11" customFormat="1" hidden="1" outlineLevel="1" x14ac:dyDescent="0.3">
      <c r="A17" s="11" t="s">
        <v>23</v>
      </c>
      <c r="B17" s="12">
        <v>3.0047543999999999</v>
      </c>
      <c r="C17" s="12">
        <v>75.393333299999995</v>
      </c>
      <c r="D17" s="12">
        <v>1.8966527</v>
      </c>
      <c r="E17" s="17">
        <v>4.75</v>
      </c>
      <c r="F17" s="13">
        <v>25.873333299999999</v>
      </c>
      <c r="G17" s="12">
        <v>20.598977399999999</v>
      </c>
      <c r="H17" s="12">
        <v>13.361720500000001</v>
      </c>
      <c r="I17" s="12">
        <v>-7.7910423</v>
      </c>
      <c r="J17" s="12">
        <v>3.6906854</v>
      </c>
      <c r="K17" s="12">
        <v>1.4473474</v>
      </c>
      <c r="L17" s="12">
        <v>2.3579850000000002</v>
      </c>
      <c r="M17" s="12">
        <v>-3.4191012000000001</v>
      </c>
      <c r="N17" s="12">
        <v>11.5280363</v>
      </c>
      <c r="O17" s="12">
        <v>3.7566921999999998</v>
      </c>
      <c r="P17" s="7">
        <v>907</v>
      </c>
      <c r="Q17" s="7">
        <v>65</v>
      </c>
      <c r="R17" s="7">
        <v>6.4</v>
      </c>
      <c r="S17" s="12">
        <v>14.1590924</v>
      </c>
      <c r="T17" s="12">
        <v>10</v>
      </c>
      <c r="U17" s="12">
        <v>65.336666699999995</v>
      </c>
      <c r="V17" s="12">
        <v>0.89857690000000001</v>
      </c>
      <c r="W17" s="12">
        <v>4.7079336999999999</v>
      </c>
      <c r="X17" s="7" t="s">
        <v>107</v>
      </c>
      <c r="Y17" s="12">
        <v>7.2105480000000002</v>
      </c>
      <c r="Z17" s="12">
        <v>1.1327388</v>
      </c>
      <c r="AA17" s="12">
        <v>55.4910882</v>
      </c>
      <c r="AB17" s="12">
        <v>19.3095964</v>
      </c>
      <c r="AC17" s="12">
        <v>25.7419543</v>
      </c>
      <c r="AD17" s="12">
        <v>54.205451400000001</v>
      </c>
      <c r="AE17" s="12">
        <v>54.746003299999998</v>
      </c>
      <c r="AF17" s="7" t="s">
        <v>107</v>
      </c>
      <c r="AG17" s="12">
        <v>24.483986399999999</v>
      </c>
    </row>
    <row r="18" spans="1:33" s="11" customFormat="1" hidden="1" outlineLevel="1" x14ac:dyDescent="0.3">
      <c r="A18" s="11" t="s">
        <v>24</v>
      </c>
      <c r="B18" s="12">
        <v>2.2522867999999998</v>
      </c>
      <c r="C18" s="12">
        <v>76.483333299999998</v>
      </c>
      <c r="D18" s="12">
        <v>2.6713800000000001</v>
      </c>
      <c r="E18" s="17">
        <v>4.5833332999999996</v>
      </c>
      <c r="F18" s="13">
        <v>27.273333300000001</v>
      </c>
      <c r="G18" s="12">
        <v>14.4156073</v>
      </c>
      <c r="H18" s="12">
        <v>12.918343200000001</v>
      </c>
      <c r="I18" s="12">
        <v>-3.8732394000000001</v>
      </c>
      <c r="J18" s="12">
        <v>2.7382197000000001</v>
      </c>
      <c r="K18" s="12">
        <v>5.8877804999999999</v>
      </c>
      <c r="L18" s="12">
        <v>2.5610852999999998</v>
      </c>
      <c r="M18" s="12">
        <v>-5.3599062000000002</v>
      </c>
      <c r="N18" s="12">
        <v>5.8396369000000004</v>
      </c>
      <c r="O18" s="12">
        <v>3.8784599000000002</v>
      </c>
      <c r="P18" s="7">
        <v>914</v>
      </c>
      <c r="Q18" s="7">
        <v>57</v>
      </c>
      <c r="R18" s="7">
        <v>5.7</v>
      </c>
      <c r="S18" s="12">
        <v>12.286435000000001</v>
      </c>
      <c r="T18" s="12">
        <v>11</v>
      </c>
      <c r="U18" s="12">
        <v>67.16</v>
      </c>
      <c r="V18" s="12">
        <v>0.90644130000000001</v>
      </c>
      <c r="W18" s="12">
        <v>1.7864563</v>
      </c>
      <c r="X18" s="7" t="s">
        <v>107</v>
      </c>
      <c r="Y18" s="12">
        <v>7.8823528999999999</v>
      </c>
      <c r="Z18" s="12">
        <v>-1.6247084000000001</v>
      </c>
      <c r="AA18" s="12">
        <v>56.323044699999997</v>
      </c>
      <c r="AB18" s="12">
        <v>19.175157299999999</v>
      </c>
      <c r="AC18" s="12">
        <v>26.131255599999999</v>
      </c>
      <c r="AD18" s="12">
        <v>52.101438399999999</v>
      </c>
      <c r="AE18" s="12">
        <v>53.732768999999998</v>
      </c>
      <c r="AF18" s="7" t="s">
        <v>107</v>
      </c>
      <c r="AG18" s="12">
        <v>26.720163400000001</v>
      </c>
    </row>
    <row r="19" spans="1:33" s="11" customFormat="1" hidden="1" outlineLevel="1" x14ac:dyDescent="0.3">
      <c r="A19" s="11" t="s">
        <v>25</v>
      </c>
      <c r="B19" s="12">
        <v>1.8991327</v>
      </c>
      <c r="C19" s="12">
        <v>76.516666700000002</v>
      </c>
      <c r="D19" s="12">
        <v>2.2676647000000001</v>
      </c>
      <c r="E19" s="17">
        <v>4.1666667000000004</v>
      </c>
      <c r="F19" s="13">
        <v>25.303333299999998</v>
      </c>
      <c r="G19" s="12">
        <v>13.332426699999999</v>
      </c>
      <c r="H19" s="12">
        <v>12.3094105</v>
      </c>
      <c r="I19" s="12">
        <v>-3.4739499999999999</v>
      </c>
      <c r="J19" s="12">
        <v>2.8897775999999999</v>
      </c>
      <c r="K19" s="12">
        <v>1.9790061999999999</v>
      </c>
      <c r="L19" s="12">
        <v>3.4170498999999999</v>
      </c>
      <c r="M19" s="12">
        <v>-2.4938514999999999</v>
      </c>
      <c r="N19" s="12">
        <v>7.2269009999999998</v>
      </c>
      <c r="O19" s="12">
        <v>2.8915060000000001</v>
      </c>
      <c r="P19" s="7">
        <v>935</v>
      </c>
      <c r="Q19" s="7">
        <v>59</v>
      </c>
      <c r="R19" s="7">
        <v>5.8</v>
      </c>
      <c r="S19" s="12">
        <v>11.0639808</v>
      </c>
      <c r="T19" s="12">
        <v>11</v>
      </c>
      <c r="U19" s="12">
        <v>68</v>
      </c>
      <c r="V19" s="12">
        <v>0.91545719999999997</v>
      </c>
      <c r="W19" s="12">
        <v>2.6695842000000001</v>
      </c>
      <c r="X19" s="7" t="s">
        <v>107</v>
      </c>
      <c r="Y19" s="12">
        <v>1.167942</v>
      </c>
      <c r="Z19" s="12">
        <v>1.5739784999999999</v>
      </c>
      <c r="AA19" s="12">
        <v>55.891418199999997</v>
      </c>
      <c r="AB19" s="12">
        <v>18.251698900000001</v>
      </c>
      <c r="AC19" s="12">
        <v>26.389765700000002</v>
      </c>
      <c r="AD19" s="12">
        <v>51.905009499999998</v>
      </c>
      <c r="AE19" s="12">
        <v>52.436035500000003</v>
      </c>
      <c r="AF19" s="7" t="s">
        <v>107</v>
      </c>
      <c r="AG19" s="12">
        <v>25.4264057</v>
      </c>
    </row>
    <row r="20" spans="1:33" s="11" customFormat="1" hidden="1" outlineLevel="1" x14ac:dyDescent="0.3">
      <c r="A20" s="11" t="s">
        <v>26</v>
      </c>
      <c r="B20" s="12">
        <v>1.4300580000000001</v>
      </c>
      <c r="C20" s="12">
        <v>76.746666700000006</v>
      </c>
      <c r="D20" s="12">
        <v>1.9212041</v>
      </c>
      <c r="E20" s="17">
        <v>3.4166666999999999</v>
      </c>
      <c r="F20" s="13">
        <v>19.350000000000001</v>
      </c>
      <c r="G20" s="12">
        <v>12.1521793</v>
      </c>
      <c r="H20" s="12">
        <v>13.8616946</v>
      </c>
      <c r="I20" s="12">
        <v>-3.0898726999999999</v>
      </c>
      <c r="J20" s="12">
        <v>3.5662406999999998</v>
      </c>
      <c r="K20" s="12">
        <v>3.3265837</v>
      </c>
      <c r="L20" s="12">
        <v>3.1977540000000002</v>
      </c>
      <c r="M20" s="12">
        <v>3.4140861999999998</v>
      </c>
      <c r="N20" s="12">
        <v>4.5333176999999996</v>
      </c>
      <c r="O20" s="12">
        <v>3.9819916000000002</v>
      </c>
      <c r="P20" s="7">
        <v>910</v>
      </c>
      <c r="Q20" s="7">
        <v>69</v>
      </c>
      <c r="R20" s="7">
        <v>6.9</v>
      </c>
      <c r="S20" s="12">
        <v>10.508743300000001</v>
      </c>
      <c r="T20" s="12">
        <v>7.75</v>
      </c>
      <c r="U20" s="12">
        <v>68.819999999999993</v>
      </c>
      <c r="V20" s="12">
        <v>0.91773490000000002</v>
      </c>
      <c r="W20" s="12">
        <v>2.5332224999999999</v>
      </c>
      <c r="X20" s="7" t="s">
        <v>107</v>
      </c>
      <c r="Y20" s="12">
        <v>-1.5056923</v>
      </c>
      <c r="Z20" s="12">
        <v>-0.3145328</v>
      </c>
      <c r="AA20" s="12">
        <v>54.5007369</v>
      </c>
      <c r="AB20" s="12">
        <v>18.640456</v>
      </c>
      <c r="AC20" s="12">
        <v>28.2563529</v>
      </c>
      <c r="AD20" s="12">
        <v>49.166267099999999</v>
      </c>
      <c r="AE20" s="12">
        <v>50.562037199999999</v>
      </c>
      <c r="AF20" s="7" t="s">
        <v>107</v>
      </c>
      <c r="AG20" s="12">
        <v>26.062408699999999</v>
      </c>
    </row>
    <row r="21" spans="1:33" s="11" customFormat="1" hidden="1" outlineLevel="1" x14ac:dyDescent="0.3">
      <c r="A21" s="11" t="s">
        <v>27</v>
      </c>
      <c r="B21" s="12">
        <v>7.1740499999999999E-2</v>
      </c>
      <c r="C21" s="12">
        <v>77.180000000000007</v>
      </c>
      <c r="D21" s="12">
        <v>2.3697940000000002</v>
      </c>
      <c r="E21" s="17">
        <v>3.25</v>
      </c>
      <c r="F21" s="13">
        <v>21.1333333</v>
      </c>
      <c r="G21" s="12">
        <v>4.0460326999999996</v>
      </c>
      <c r="H21" s="12">
        <v>14.2687334</v>
      </c>
      <c r="I21" s="12">
        <v>-3.2437893</v>
      </c>
      <c r="J21" s="12">
        <v>2.9285912999999999</v>
      </c>
      <c r="K21" s="12">
        <v>2.3446104999999999</v>
      </c>
      <c r="L21" s="12">
        <v>2.8830716000000001</v>
      </c>
      <c r="M21" s="12">
        <v>2.8187158999999999</v>
      </c>
      <c r="N21" s="12">
        <v>4.7085005000000004</v>
      </c>
      <c r="O21" s="12">
        <v>4.14541</v>
      </c>
      <c r="P21" s="7">
        <v>919</v>
      </c>
      <c r="Q21" s="7">
        <v>68</v>
      </c>
      <c r="R21" s="7">
        <v>6.9</v>
      </c>
      <c r="S21" s="12">
        <v>9.4055253000000008</v>
      </c>
      <c r="T21" s="12">
        <v>7.75</v>
      </c>
      <c r="U21" s="12">
        <v>70.540000000000006</v>
      </c>
      <c r="V21" s="12">
        <v>0.92632709999999996</v>
      </c>
      <c r="W21" s="12">
        <v>1.7069108</v>
      </c>
      <c r="X21" s="7" t="s">
        <v>107</v>
      </c>
      <c r="Y21" s="12">
        <v>1.5372790000000001</v>
      </c>
      <c r="Z21" s="12">
        <v>0.28072619999999998</v>
      </c>
      <c r="AA21" s="12">
        <v>55.460565699999997</v>
      </c>
      <c r="AB21" s="12">
        <v>19.236381300000001</v>
      </c>
      <c r="AC21" s="12">
        <v>25.0149656</v>
      </c>
      <c r="AD21" s="12">
        <v>52.950089800000001</v>
      </c>
      <c r="AE21" s="12">
        <v>52.663873100000004</v>
      </c>
      <c r="AF21" s="7" t="s">
        <v>107</v>
      </c>
      <c r="AG21" s="12">
        <v>25.255429199999998</v>
      </c>
    </row>
    <row r="22" spans="1:33" s="11" customFormat="1" hidden="1" outlineLevel="1" x14ac:dyDescent="0.3">
      <c r="A22" s="11" t="s">
        <v>28</v>
      </c>
      <c r="B22" s="12">
        <v>1.2490021</v>
      </c>
      <c r="C22" s="12">
        <v>77.933333300000001</v>
      </c>
      <c r="D22" s="12">
        <v>1.8958379000000001</v>
      </c>
      <c r="E22" s="17">
        <v>3.25</v>
      </c>
      <c r="F22" s="13">
        <v>25.053333299999998</v>
      </c>
      <c r="G22" s="12">
        <v>10.2345498</v>
      </c>
      <c r="H22" s="12">
        <v>11.4110841</v>
      </c>
      <c r="I22" s="12">
        <v>-3.3474555000000001</v>
      </c>
      <c r="J22" s="12">
        <v>2.9321598999999998</v>
      </c>
      <c r="K22" s="12">
        <v>1.5755634999999999</v>
      </c>
      <c r="L22" s="12">
        <v>3.1922790999999999</v>
      </c>
      <c r="M22" s="12">
        <v>-1.7639480999999999</v>
      </c>
      <c r="N22" s="12">
        <v>8.7592909999999993</v>
      </c>
      <c r="O22" s="12">
        <v>5.0767895000000003</v>
      </c>
      <c r="P22" s="7">
        <v>922</v>
      </c>
      <c r="Q22" s="7">
        <v>58</v>
      </c>
      <c r="R22" s="7">
        <v>6</v>
      </c>
      <c r="S22" s="12">
        <v>9.9373263000000005</v>
      </c>
      <c r="T22" s="12">
        <v>7.75</v>
      </c>
      <c r="U22" s="12">
        <v>72.303333300000006</v>
      </c>
      <c r="V22" s="12">
        <v>0.93975529999999996</v>
      </c>
      <c r="W22" s="12">
        <v>2.4897958999999998</v>
      </c>
      <c r="X22" s="7" t="s">
        <v>107</v>
      </c>
      <c r="Y22" s="12">
        <v>-0.61795710000000004</v>
      </c>
      <c r="Z22" s="12">
        <v>0.90958779999999995</v>
      </c>
      <c r="AA22" s="12">
        <v>54.748229199999997</v>
      </c>
      <c r="AB22" s="12">
        <v>18.957750699999998</v>
      </c>
      <c r="AC22" s="12">
        <v>24.008238899999998</v>
      </c>
      <c r="AD22" s="12">
        <v>52.6265553</v>
      </c>
      <c r="AE22" s="12">
        <v>50.342448500000003</v>
      </c>
      <c r="AF22" s="7" t="s">
        <v>107</v>
      </c>
      <c r="AG22" s="12">
        <v>26.115352900000001</v>
      </c>
    </row>
    <row r="23" spans="1:33" s="11" customFormat="1" hidden="1" outlineLevel="1" x14ac:dyDescent="0.3">
      <c r="A23" s="11" t="s">
        <v>29</v>
      </c>
      <c r="B23" s="12">
        <v>1.6677649999999999</v>
      </c>
      <c r="C23" s="12">
        <v>77.973333299999993</v>
      </c>
      <c r="D23" s="12">
        <v>1.9037246000000001</v>
      </c>
      <c r="E23" s="17">
        <v>3.25</v>
      </c>
      <c r="F23" s="13">
        <v>26.93</v>
      </c>
      <c r="G23" s="12">
        <v>8.4359999999999999</v>
      </c>
      <c r="H23" s="12">
        <v>13.839768299999999</v>
      </c>
      <c r="I23" s="12">
        <v>-1.2957202999999999</v>
      </c>
      <c r="J23" s="12">
        <v>3.9506961999999999</v>
      </c>
      <c r="K23" s="12">
        <v>2.4151281999999998</v>
      </c>
      <c r="L23" s="12">
        <v>2.9689424</v>
      </c>
      <c r="M23" s="12">
        <v>0.1967412</v>
      </c>
      <c r="N23" s="12">
        <v>9.0478620999999997</v>
      </c>
      <c r="O23" s="12">
        <v>5.3748347000000001</v>
      </c>
      <c r="P23" s="7">
        <v>910</v>
      </c>
      <c r="Q23" s="7">
        <v>58</v>
      </c>
      <c r="R23" s="7">
        <v>6</v>
      </c>
      <c r="S23" s="12">
        <v>9.9673449000000005</v>
      </c>
      <c r="T23" s="12">
        <v>7.75</v>
      </c>
      <c r="U23" s="12">
        <v>73.076666700000004</v>
      </c>
      <c r="V23" s="12">
        <v>0.94840619999999998</v>
      </c>
      <c r="W23" s="12">
        <v>4.0068200999999997</v>
      </c>
      <c r="X23" s="7" t="s">
        <v>107</v>
      </c>
      <c r="Y23" s="12">
        <v>3.0652865999999999</v>
      </c>
      <c r="Z23" s="12">
        <v>3.0745391999999998</v>
      </c>
      <c r="AA23" s="12">
        <v>55.338400900000003</v>
      </c>
      <c r="AB23" s="12">
        <v>18.0186624</v>
      </c>
      <c r="AC23" s="12">
        <v>24.555479800000001</v>
      </c>
      <c r="AD23" s="12">
        <v>52.939904499999997</v>
      </c>
      <c r="AE23" s="12">
        <v>50.852447599999998</v>
      </c>
      <c r="AF23" s="7" t="s">
        <v>107</v>
      </c>
      <c r="AG23" s="12">
        <v>26.852551699999999</v>
      </c>
    </row>
    <row r="24" spans="1:33" s="11" customFormat="1" hidden="1" outlineLevel="1" x14ac:dyDescent="0.3">
      <c r="A24" s="11" t="s">
        <v>30</v>
      </c>
      <c r="B24" s="12">
        <v>1.208337</v>
      </c>
      <c r="C24" s="12">
        <v>78.4033333</v>
      </c>
      <c r="D24" s="12">
        <v>2.158617</v>
      </c>
      <c r="E24" s="17">
        <v>3.0833333000000001</v>
      </c>
      <c r="F24" s="13">
        <v>26.736666700000001</v>
      </c>
      <c r="G24" s="12">
        <v>9.2033520000000006</v>
      </c>
      <c r="H24" s="12">
        <v>12.4125532</v>
      </c>
      <c r="I24" s="12">
        <v>-1.7349219</v>
      </c>
      <c r="J24" s="12">
        <v>4.1666131000000002</v>
      </c>
      <c r="K24" s="12">
        <v>2.5405934999999999</v>
      </c>
      <c r="L24" s="12">
        <v>3.8152743999999998</v>
      </c>
      <c r="M24" s="12">
        <v>6.2438010999999998</v>
      </c>
      <c r="N24" s="12">
        <v>8.5190590999999998</v>
      </c>
      <c r="O24" s="12">
        <v>7.7853972999999996</v>
      </c>
      <c r="P24" s="7">
        <v>886</v>
      </c>
      <c r="Q24" s="7">
        <v>62</v>
      </c>
      <c r="R24" s="7">
        <v>6.5</v>
      </c>
      <c r="S24" s="12">
        <v>9.6986526000000008</v>
      </c>
      <c r="T24" s="12">
        <v>7.25</v>
      </c>
      <c r="U24" s="12">
        <v>73.573333300000002</v>
      </c>
      <c r="V24" s="12">
        <v>0.95728829999999998</v>
      </c>
      <c r="W24" s="12">
        <v>1.4985824000000001</v>
      </c>
      <c r="X24" s="7" t="s">
        <v>107</v>
      </c>
      <c r="Y24" s="12">
        <v>6.7486949999999997</v>
      </c>
      <c r="Z24" s="12">
        <v>-0.33401120000000001</v>
      </c>
      <c r="AA24" s="12">
        <v>54.173299299999996</v>
      </c>
      <c r="AB24" s="12">
        <v>18.479571700000001</v>
      </c>
      <c r="AC24" s="12">
        <v>28.0529963</v>
      </c>
      <c r="AD24" s="12">
        <v>50.888363599999998</v>
      </c>
      <c r="AE24" s="12">
        <v>51.594230899999999</v>
      </c>
      <c r="AF24" s="7" t="s">
        <v>107</v>
      </c>
      <c r="AG24" s="12">
        <v>27.3578896</v>
      </c>
    </row>
    <row r="25" spans="1:33" s="11" customFormat="1" hidden="1" outlineLevel="1" x14ac:dyDescent="0.3">
      <c r="A25" s="11" t="s">
        <v>31</v>
      </c>
      <c r="B25" s="12">
        <v>1.0748135000000001</v>
      </c>
      <c r="C25" s="12">
        <v>78.856666700000005</v>
      </c>
      <c r="D25" s="12">
        <v>2.1724109</v>
      </c>
      <c r="E25" s="17">
        <v>2.6666666999999999</v>
      </c>
      <c r="F25" s="13">
        <v>31.52</v>
      </c>
      <c r="G25" s="12">
        <v>10.1098304</v>
      </c>
      <c r="H25" s="12">
        <v>7.3565513999999999</v>
      </c>
      <c r="I25" s="12">
        <v>-4.4211720999999997</v>
      </c>
      <c r="J25" s="12">
        <v>2.8115214000000002</v>
      </c>
      <c r="K25" s="12">
        <v>1.5708282</v>
      </c>
      <c r="L25" s="12">
        <v>3.0736870999999999</v>
      </c>
      <c r="M25" s="12">
        <v>8.6703753999999993</v>
      </c>
      <c r="N25" s="12">
        <v>3.1712296000000002</v>
      </c>
      <c r="O25" s="12">
        <v>4.9825052000000003</v>
      </c>
      <c r="P25" s="7">
        <v>885</v>
      </c>
      <c r="Q25" s="7">
        <v>67</v>
      </c>
      <c r="R25" s="7">
        <v>7</v>
      </c>
      <c r="S25" s="12">
        <v>8.2184635000000004</v>
      </c>
      <c r="T25" s="12">
        <v>6.5</v>
      </c>
      <c r="U25" s="12">
        <v>75.086666699999995</v>
      </c>
      <c r="V25" s="12">
        <v>0.96516840000000004</v>
      </c>
      <c r="W25" s="12">
        <v>0.73679899999999998</v>
      </c>
      <c r="X25" s="7" t="s">
        <v>107</v>
      </c>
      <c r="Y25" s="12">
        <v>4.9583649000000003</v>
      </c>
      <c r="Z25" s="12">
        <v>-1.2829742</v>
      </c>
      <c r="AA25" s="12">
        <v>54.794332099999998</v>
      </c>
      <c r="AB25" s="12">
        <v>19.6347503</v>
      </c>
      <c r="AC25" s="12">
        <v>25.7755537</v>
      </c>
      <c r="AD25" s="12">
        <v>52.347296700000001</v>
      </c>
      <c r="AE25" s="12">
        <v>52.551932899999997</v>
      </c>
      <c r="AF25" s="7" t="s">
        <v>107</v>
      </c>
      <c r="AG25" s="12">
        <v>24.939777400000001</v>
      </c>
    </row>
    <row r="26" spans="1:33" s="11" customFormat="1" hidden="1" outlineLevel="1" x14ac:dyDescent="0.3">
      <c r="A26" s="11" t="s">
        <v>32</v>
      </c>
      <c r="B26" s="12">
        <v>0.33264589999999999</v>
      </c>
      <c r="C26" s="12">
        <v>79.37</v>
      </c>
      <c r="D26" s="12">
        <v>1.843456</v>
      </c>
      <c r="E26" s="17">
        <v>2.3333333000000001</v>
      </c>
      <c r="F26" s="13">
        <v>26.17</v>
      </c>
      <c r="G26" s="12">
        <v>8.2974627999999999</v>
      </c>
      <c r="H26" s="12">
        <v>10.7578266</v>
      </c>
      <c r="I26" s="12">
        <v>-2.3304954000000002</v>
      </c>
      <c r="J26" s="12">
        <v>3.1759887999999998</v>
      </c>
      <c r="K26" s="12">
        <v>4.3658706</v>
      </c>
      <c r="L26" s="12">
        <v>2.9627207000000002</v>
      </c>
      <c r="M26" s="12">
        <v>8.4737214000000005</v>
      </c>
      <c r="N26" s="12">
        <v>2.2342550999999999</v>
      </c>
      <c r="O26" s="12">
        <v>6.0451904000000001</v>
      </c>
      <c r="P26" s="7">
        <v>896</v>
      </c>
      <c r="Q26" s="7">
        <v>63</v>
      </c>
      <c r="R26" s="7">
        <v>6.5</v>
      </c>
      <c r="S26" s="12">
        <v>8.0399031999999995</v>
      </c>
      <c r="T26" s="12">
        <v>5.5</v>
      </c>
      <c r="U26" s="12">
        <v>76.4033333</v>
      </c>
      <c r="V26" s="12">
        <v>0.9722423</v>
      </c>
      <c r="W26" s="12">
        <v>-0.2787734</v>
      </c>
      <c r="X26" s="7" t="s">
        <v>107</v>
      </c>
      <c r="Y26" s="12">
        <v>4.8280906999999997</v>
      </c>
      <c r="Z26" s="12">
        <v>-0.90422309999999995</v>
      </c>
      <c r="AA26" s="12">
        <v>55.5262508</v>
      </c>
      <c r="AB26" s="12">
        <v>19.0758221</v>
      </c>
      <c r="AC26" s="12">
        <v>25.0370165</v>
      </c>
      <c r="AD26" s="12">
        <v>50.692516500000004</v>
      </c>
      <c r="AE26" s="12">
        <v>50.333148299999998</v>
      </c>
      <c r="AF26" s="7" t="s">
        <v>107</v>
      </c>
      <c r="AG26" s="12">
        <v>25.814713399999999</v>
      </c>
    </row>
    <row r="27" spans="1:33" s="11" customFormat="1" hidden="1" outlineLevel="1" x14ac:dyDescent="0.3">
      <c r="A27" s="11" t="s">
        <v>33</v>
      </c>
      <c r="B27" s="12">
        <v>0.71308099999999996</v>
      </c>
      <c r="C27" s="12">
        <v>79.47</v>
      </c>
      <c r="D27" s="12">
        <v>1.9194597</v>
      </c>
      <c r="E27" s="17">
        <v>2</v>
      </c>
      <c r="F27" s="13">
        <v>28.45</v>
      </c>
      <c r="G27" s="12">
        <v>8.6539526000000002</v>
      </c>
      <c r="H27" s="12">
        <v>8.1655905999999998</v>
      </c>
      <c r="I27" s="12">
        <v>-1.4816503000000001</v>
      </c>
      <c r="J27" s="12">
        <v>3.6110329000000001</v>
      </c>
      <c r="K27" s="12">
        <v>4.3290841999999996</v>
      </c>
      <c r="L27" s="12">
        <v>2.7836832</v>
      </c>
      <c r="M27" s="12">
        <v>11.942402599999999</v>
      </c>
      <c r="N27" s="12">
        <v>3.1800098999999999</v>
      </c>
      <c r="O27" s="12">
        <v>7.6471793999999997</v>
      </c>
      <c r="P27" s="7">
        <v>895</v>
      </c>
      <c r="Q27" s="7">
        <v>63</v>
      </c>
      <c r="R27" s="7">
        <v>6.6</v>
      </c>
      <c r="S27" s="12">
        <v>7.3452684000000001</v>
      </c>
      <c r="T27" s="12">
        <v>5.5</v>
      </c>
      <c r="U27" s="12">
        <v>77.133333300000004</v>
      </c>
      <c r="V27" s="12">
        <v>0.98015660000000004</v>
      </c>
      <c r="W27" s="12">
        <v>0.20491809999999999</v>
      </c>
      <c r="X27" s="7" t="s">
        <v>107</v>
      </c>
      <c r="Y27" s="12">
        <v>5.9868674999999998</v>
      </c>
      <c r="Z27" s="12">
        <v>0.58238920000000005</v>
      </c>
      <c r="AA27" s="12">
        <v>55.579363299999997</v>
      </c>
      <c r="AB27" s="12">
        <v>18.006230500000001</v>
      </c>
      <c r="AC27" s="12">
        <v>26.277638499999998</v>
      </c>
      <c r="AD27" s="12">
        <v>51.041714200000001</v>
      </c>
      <c r="AE27" s="12">
        <v>50.903426799999998</v>
      </c>
      <c r="AF27" s="7" t="s">
        <v>107</v>
      </c>
      <c r="AG27" s="12">
        <v>26.308207100000001</v>
      </c>
    </row>
    <row r="28" spans="1:33" s="11" customFormat="1" hidden="1" outlineLevel="1" x14ac:dyDescent="0.3">
      <c r="A28" s="11" t="s">
        <v>34</v>
      </c>
      <c r="B28" s="12">
        <v>1.3127310999999999</v>
      </c>
      <c r="C28" s="12">
        <v>79.913333300000005</v>
      </c>
      <c r="D28" s="12">
        <v>1.9259385</v>
      </c>
      <c r="E28" s="17">
        <v>2</v>
      </c>
      <c r="F28" s="13">
        <v>29.39</v>
      </c>
      <c r="G28" s="12">
        <v>7.2515247</v>
      </c>
      <c r="H28" s="12">
        <v>5.7504432999999997</v>
      </c>
      <c r="I28" s="12">
        <v>-2.3596674000000002</v>
      </c>
      <c r="J28" s="12">
        <v>2.2618621000000001</v>
      </c>
      <c r="K28" s="12">
        <v>3.378609</v>
      </c>
      <c r="L28" s="12">
        <v>1.8726830999999999</v>
      </c>
      <c r="M28" s="12">
        <v>5.9168703999999996</v>
      </c>
      <c r="N28" s="12">
        <v>4.0402472999999999</v>
      </c>
      <c r="O28" s="12">
        <v>7.0384232000000004</v>
      </c>
      <c r="P28" s="7">
        <v>912</v>
      </c>
      <c r="Q28" s="7">
        <v>66</v>
      </c>
      <c r="R28" s="7">
        <v>6.7</v>
      </c>
      <c r="S28" s="12">
        <v>6.6439459999999997</v>
      </c>
      <c r="T28" s="12">
        <v>5</v>
      </c>
      <c r="U28" s="12">
        <v>77.22</v>
      </c>
      <c r="V28" s="12">
        <v>0.98546009999999995</v>
      </c>
      <c r="W28" s="12">
        <v>4.9082203</v>
      </c>
      <c r="X28" s="7" t="s">
        <v>107</v>
      </c>
      <c r="Y28" s="12">
        <v>5.5536151</v>
      </c>
      <c r="Z28" s="12">
        <v>-1.4238976000000001</v>
      </c>
      <c r="AA28" s="12">
        <v>54.036234</v>
      </c>
      <c r="AB28" s="12">
        <v>18.4882685</v>
      </c>
      <c r="AC28" s="12">
        <v>28.987228999999999</v>
      </c>
      <c r="AD28" s="12">
        <v>50.105435100000001</v>
      </c>
      <c r="AE28" s="12">
        <v>51.6186516</v>
      </c>
      <c r="AF28" s="7" t="s">
        <v>107</v>
      </c>
      <c r="AG28" s="12">
        <v>26.7774945</v>
      </c>
    </row>
    <row r="29" spans="1:33" s="11" customFormat="1" hidden="1" outlineLevel="1" x14ac:dyDescent="0.3">
      <c r="A29" s="11" t="s">
        <v>35</v>
      </c>
      <c r="B29" s="12">
        <v>2.4350660999999998</v>
      </c>
      <c r="C29" s="12">
        <v>80.113333299999994</v>
      </c>
      <c r="D29" s="12">
        <v>1.5936086</v>
      </c>
      <c r="E29" s="17">
        <v>2</v>
      </c>
      <c r="F29" s="13">
        <v>31.923333299999999</v>
      </c>
      <c r="G29" s="12">
        <v>6.1751022000000004</v>
      </c>
      <c r="H29" s="12">
        <v>8.0074415999999999</v>
      </c>
      <c r="I29" s="12">
        <v>-3.5977874000000001</v>
      </c>
      <c r="J29" s="12">
        <v>3.800659</v>
      </c>
      <c r="K29" s="12">
        <v>2.9719706000000001</v>
      </c>
      <c r="L29" s="12">
        <v>3.0149431</v>
      </c>
      <c r="M29" s="12">
        <v>9.3252778999999997</v>
      </c>
      <c r="N29" s="12">
        <v>7.0094598000000001</v>
      </c>
      <c r="O29" s="12">
        <v>8.9161444999999997</v>
      </c>
      <c r="P29" s="7">
        <v>922.1</v>
      </c>
      <c r="Q29" s="7">
        <v>68</v>
      </c>
      <c r="R29" s="7">
        <v>6.8</v>
      </c>
      <c r="S29" s="12">
        <v>5.7448733000000001</v>
      </c>
      <c r="T29" s="12">
        <v>4.5</v>
      </c>
      <c r="U29" s="12">
        <v>77.876666700000001</v>
      </c>
      <c r="V29" s="12">
        <v>0.99162240000000001</v>
      </c>
      <c r="W29" s="12">
        <v>5.8919138999999996</v>
      </c>
      <c r="X29" s="7" t="s">
        <v>107</v>
      </c>
      <c r="Y29" s="12">
        <v>7.6451497000000002</v>
      </c>
      <c r="Z29" s="12">
        <v>-1.0511675</v>
      </c>
      <c r="AA29" s="12">
        <v>53.869574200000002</v>
      </c>
      <c r="AB29" s="12">
        <v>19.3980839</v>
      </c>
      <c r="AC29" s="12">
        <v>27.3364896</v>
      </c>
      <c r="AD29" s="12">
        <v>53.310060100000001</v>
      </c>
      <c r="AE29" s="12">
        <v>53.9142078</v>
      </c>
      <c r="AF29" s="7" t="s">
        <v>107</v>
      </c>
      <c r="AG29" s="12">
        <v>25.6781115</v>
      </c>
    </row>
    <row r="30" spans="1:33" s="11" customFormat="1" hidden="1" outlineLevel="1" x14ac:dyDescent="0.3">
      <c r="A30" s="11" t="s">
        <v>36</v>
      </c>
      <c r="B30" s="12">
        <v>2.9592486</v>
      </c>
      <c r="C30" s="12">
        <v>81.069999999999993</v>
      </c>
      <c r="D30" s="12">
        <v>2.1418672000000001</v>
      </c>
      <c r="E30" s="17">
        <v>2</v>
      </c>
      <c r="F30" s="13">
        <v>35.446666700000002</v>
      </c>
      <c r="G30" s="12">
        <v>6.1268015</v>
      </c>
      <c r="H30" s="12">
        <v>5.4119245999999999</v>
      </c>
      <c r="I30" s="12">
        <v>-2.5994869999999999</v>
      </c>
      <c r="J30" s="12">
        <v>5.1660424999999996</v>
      </c>
      <c r="K30" s="12">
        <v>2.5437096000000001</v>
      </c>
      <c r="L30" s="12">
        <v>2.8203011</v>
      </c>
      <c r="M30" s="12">
        <v>16.9673579</v>
      </c>
      <c r="N30" s="12">
        <v>15.010027300000001</v>
      </c>
      <c r="O30" s="12">
        <v>17.165051399999999</v>
      </c>
      <c r="P30" s="7">
        <v>945.8</v>
      </c>
      <c r="Q30" s="7">
        <v>61</v>
      </c>
      <c r="R30" s="7">
        <v>6</v>
      </c>
      <c r="S30" s="12">
        <v>5.1091667000000003</v>
      </c>
      <c r="T30" s="12">
        <v>3.5</v>
      </c>
      <c r="U30" s="12">
        <v>79.303333300000006</v>
      </c>
      <c r="V30" s="12">
        <v>0.9967049</v>
      </c>
      <c r="W30" s="12">
        <v>5.7907348000000001</v>
      </c>
      <c r="X30" s="7" t="s">
        <v>107</v>
      </c>
      <c r="Y30" s="12">
        <v>21.109560399999999</v>
      </c>
      <c r="Z30" s="12">
        <v>-3.3322048999999998</v>
      </c>
      <c r="AA30" s="12">
        <v>54.471719499999999</v>
      </c>
      <c r="AB30" s="12">
        <v>19.069114299999999</v>
      </c>
      <c r="AC30" s="12">
        <v>28.518407100000001</v>
      </c>
      <c r="AD30" s="12">
        <v>54.852901099999997</v>
      </c>
      <c r="AE30" s="12">
        <v>56.912141900000002</v>
      </c>
      <c r="AF30" s="7" t="s">
        <v>107</v>
      </c>
      <c r="AG30" s="12">
        <v>26.2543343</v>
      </c>
    </row>
    <row r="31" spans="1:33" s="11" customFormat="1" hidden="1" outlineLevel="1" x14ac:dyDescent="0.3">
      <c r="A31" s="11" t="s">
        <v>37</v>
      </c>
      <c r="B31" s="12">
        <v>2.4141233999999998</v>
      </c>
      <c r="C31" s="12">
        <v>81.156666700000002</v>
      </c>
      <c r="D31" s="12">
        <v>2.1223942</v>
      </c>
      <c r="E31" s="17">
        <v>2</v>
      </c>
      <c r="F31" s="13">
        <v>41.386666699999999</v>
      </c>
      <c r="G31" s="12">
        <v>8.5588184999999992</v>
      </c>
      <c r="H31" s="12">
        <v>9.0976123999999992</v>
      </c>
      <c r="I31" s="12">
        <v>-1.2726761</v>
      </c>
      <c r="J31" s="12">
        <v>4.4924241</v>
      </c>
      <c r="K31" s="12">
        <v>1.9730882000000001</v>
      </c>
      <c r="L31" s="12">
        <v>3.2447805999999999</v>
      </c>
      <c r="M31" s="12">
        <v>9.2246109999999994</v>
      </c>
      <c r="N31" s="12">
        <v>14.928682999999999</v>
      </c>
      <c r="O31" s="12">
        <v>14.1555011</v>
      </c>
      <c r="P31" s="7">
        <v>967.8</v>
      </c>
      <c r="Q31" s="7">
        <v>62</v>
      </c>
      <c r="R31" s="7">
        <v>5.9</v>
      </c>
      <c r="S31" s="12">
        <v>5.8776570000000001</v>
      </c>
      <c r="T31" s="12">
        <v>3</v>
      </c>
      <c r="U31" s="12">
        <v>79.933333300000001</v>
      </c>
      <c r="V31" s="12">
        <v>1.0013075</v>
      </c>
      <c r="W31" s="12">
        <v>5.3169734000000002</v>
      </c>
      <c r="X31" s="7" t="s">
        <v>107</v>
      </c>
      <c r="Y31" s="12">
        <v>20.2259475</v>
      </c>
      <c r="Z31" s="12">
        <v>-2.0825957000000002</v>
      </c>
      <c r="AA31" s="12">
        <v>54.034594300000002</v>
      </c>
      <c r="AB31" s="12">
        <v>18.150752399999998</v>
      </c>
      <c r="AC31" s="12">
        <v>28.216847099999999</v>
      </c>
      <c r="AD31" s="12">
        <v>56.151033599999998</v>
      </c>
      <c r="AE31" s="12">
        <v>56.551821099999998</v>
      </c>
      <c r="AF31" s="7" t="s">
        <v>107</v>
      </c>
      <c r="AG31" s="12">
        <v>26.480552500000002</v>
      </c>
    </row>
    <row r="32" spans="1:33" s="11" customFormat="1" hidden="1" outlineLevel="1" x14ac:dyDescent="0.3">
      <c r="A32" s="11" t="s">
        <v>38</v>
      </c>
      <c r="B32" s="12">
        <v>2.308249</v>
      </c>
      <c r="C32" s="12">
        <v>81.663333300000005</v>
      </c>
      <c r="D32" s="12">
        <v>2.1898724000000001</v>
      </c>
      <c r="E32" s="17">
        <v>2</v>
      </c>
      <c r="F32" s="13">
        <v>44.163333299999998</v>
      </c>
      <c r="G32" s="12">
        <v>5.8551522</v>
      </c>
      <c r="H32" s="12">
        <v>10.1160535</v>
      </c>
      <c r="I32" s="12">
        <v>-0.53127060000000004</v>
      </c>
      <c r="J32" s="12">
        <v>3.9597980000000002</v>
      </c>
      <c r="K32" s="12">
        <v>2.4979092000000001</v>
      </c>
      <c r="L32" s="12">
        <v>5.2387226</v>
      </c>
      <c r="M32" s="12">
        <v>7.1728363999999996</v>
      </c>
      <c r="N32" s="12">
        <v>14.8149069</v>
      </c>
      <c r="O32" s="12">
        <v>15.1418382</v>
      </c>
      <c r="P32" s="7">
        <v>938.1</v>
      </c>
      <c r="Q32" s="7">
        <v>65</v>
      </c>
      <c r="R32" s="7">
        <v>6.5</v>
      </c>
      <c r="S32" s="12">
        <v>5.9339354000000002</v>
      </c>
      <c r="T32" s="12">
        <v>3.25</v>
      </c>
      <c r="U32" s="12">
        <v>79.92</v>
      </c>
      <c r="V32" s="12">
        <v>1.0007991000000001</v>
      </c>
      <c r="W32" s="12">
        <v>2.7006467000000001</v>
      </c>
      <c r="X32" s="7" t="s">
        <v>107</v>
      </c>
      <c r="Y32" s="12">
        <v>21.839841199999999</v>
      </c>
      <c r="Z32" s="12">
        <v>-3.7480378000000001</v>
      </c>
      <c r="AA32" s="12">
        <v>52.955020900000001</v>
      </c>
      <c r="AB32" s="12">
        <v>18.756881700000001</v>
      </c>
      <c r="AC32" s="12">
        <v>30.894901999999998</v>
      </c>
      <c r="AD32" s="12">
        <v>55.682944300000003</v>
      </c>
      <c r="AE32" s="12">
        <v>58.291125299999997</v>
      </c>
      <c r="AF32" s="7" t="s">
        <v>107</v>
      </c>
      <c r="AG32" s="12">
        <v>26.8971558</v>
      </c>
    </row>
    <row r="33" spans="1:33" s="11" customFormat="1" hidden="1" outlineLevel="1" x14ac:dyDescent="0.3">
      <c r="A33" s="11" t="s">
        <v>39</v>
      </c>
      <c r="B33" s="12">
        <v>1.1277817999999999</v>
      </c>
      <c r="C33" s="12">
        <v>81.773333300000004</v>
      </c>
      <c r="D33" s="12">
        <v>2.0720646</v>
      </c>
      <c r="E33" s="17">
        <v>2</v>
      </c>
      <c r="F33" s="13">
        <v>47.696666700000002</v>
      </c>
      <c r="G33" s="12">
        <v>5.3312973000000001</v>
      </c>
      <c r="H33" s="12">
        <v>7.0585279999999999</v>
      </c>
      <c r="I33" s="12">
        <v>-2.9019667999999998</v>
      </c>
      <c r="J33" s="12">
        <v>2.5118255999999999</v>
      </c>
      <c r="K33" s="12">
        <v>3.6530686999999999</v>
      </c>
      <c r="L33" s="12">
        <v>2.6071952999999999</v>
      </c>
      <c r="M33" s="12">
        <v>-2.4636152999999998</v>
      </c>
      <c r="N33" s="12">
        <v>11.628967299999999</v>
      </c>
      <c r="O33" s="12">
        <v>9.9121153999999994</v>
      </c>
      <c r="P33" s="7">
        <v>934.4</v>
      </c>
      <c r="Q33" s="7">
        <v>68.099999999999994</v>
      </c>
      <c r="R33" s="7">
        <v>6.8</v>
      </c>
      <c r="S33" s="12">
        <v>4.8</v>
      </c>
      <c r="T33" s="12">
        <v>3.25</v>
      </c>
      <c r="U33" s="12">
        <v>80.036666699999998</v>
      </c>
      <c r="V33" s="12">
        <v>1.0004010999999999</v>
      </c>
      <c r="W33" s="12">
        <v>-0.38372990000000001</v>
      </c>
      <c r="X33" s="7" t="s">
        <v>107</v>
      </c>
      <c r="Y33" s="12">
        <v>15.0753769</v>
      </c>
      <c r="Z33" s="12">
        <v>-2.1314125000000002</v>
      </c>
      <c r="AA33" s="12">
        <v>54.1700467</v>
      </c>
      <c r="AB33" s="12">
        <v>19.804086600000002</v>
      </c>
      <c r="AC33" s="12">
        <v>26.7039106</v>
      </c>
      <c r="AD33" s="12">
        <v>59.407668200000003</v>
      </c>
      <c r="AE33" s="12">
        <v>60.085712100000002</v>
      </c>
      <c r="AF33" s="7" t="s">
        <v>107</v>
      </c>
      <c r="AG33" s="12">
        <v>26.8850297</v>
      </c>
    </row>
    <row r="34" spans="1:33" s="11" customFormat="1" hidden="1" outlineLevel="1" x14ac:dyDescent="0.3">
      <c r="A34" s="11" t="s">
        <v>40</v>
      </c>
      <c r="B34" s="12">
        <v>2.2042253999999999</v>
      </c>
      <c r="C34" s="12">
        <v>82.71</v>
      </c>
      <c r="D34" s="12">
        <v>2.0229431</v>
      </c>
      <c r="E34" s="17">
        <v>2</v>
      </c>
      <c r="F34" s="13">
        <v>51.626666700000001</v>
      </c>
      <c r="G34" s="12">
        <v>6.0380000999999996</v>
      </c>
      <c r="H34" s="12">
        <v>5.3564521999999997</v>
      </c>
      <c r="I34" s="12">
        <v>-2.8400777000000001</v>
      </c>
      <c r="J34" s="12">
        <v>4.7549187999999996</v>
      </c>
      <c r="K34" s="12">
        <v>3.7588284000000001</v>
      </c>
      <c r="L34" s="12">
        <v>3.2927658000000002</v>
      </c>
      <c r="M34" s="12">
        <v>-7.9785330999999999</v>
      </c>
      <c r="N34" s="12">
        <v>10.6165609</v>
      </c>
      <c r="O34" s="12">
        <v>2.3173645999999999</v>
      </c>
      <c r="P34" s="7">
        <v>947</v>
      </c>
      <c r="Q34" s="7">
        <v>57.7</v>
      </c>
      <c r="R34" s="7">
        <v>5.8</v>
      </c>
      <c r="S34" s="12">
        <v>5.2</v>
      </c>
      <c r="T34" s="12">
        <v>3.5</v>
      </c>
      <c r="U34" s="12">
        <v>81.016666700000002</v>
      </c>
      <c r="V34" s="12">
        <v>0.99959940000000003</v>
      </c>
      <c r="W34" s="12">
        <v>5.3982634999999997</v>
      </c>
      <c r="X34" s="7" t="s">
        <v>107</v>
      </c>
      <c r="Y34" s="12">
        <v>7.4906366999999996</v>
      </c>
      <c r="Z34" s="12">
        <v>0.74862910000000005</v>
      </c>
      <c r="AA34" s="12">
        <v>53.825790900000001</v>
      </c>
      <c r="AB34" s="12">
        <v>18.7538245</v>
      </c>
      <c r="AC34" s="12">
        <v>25.5287732</v>
      </c>
      <c r="AD34" s="12">
        <v>58.7397238</v>
      </c>
      <c r="AE34" s="12">
        <v>56.848112399999998</v>
      </c>
      <c r="AF34" s="7" t="s">
        <v>107</v>
      </c>
      <c r="AG34" s="12">
        <v>25.307416499999999</v>
      </c>
    </row>
    <row r="35" spans="1:33" s="11" customFormat="1" hidden="1" outlineLevel="1" x14ac:dyDescent="0.3">
      <c r="A35" s="11" t="s">
        <v>41</v>
      </c>
      <c r="B35" s="12">
        <v>2.0830310000000001</v>
      </c>
      <c r="C35" s="12">
        <v>83.016666700000002</v>
      </c>
      <c r="D35" s="12">
        <v>2.2918634999999998</v>
      </c>
      <c r="E35" s="17">
        <v>2</v>
      </c>
      <c r="F35" s="13">
        <v>61.47</v>
      </c>
      <c r="G35" s="12">
        <v>3.8966725000000002</v>
      </c>
      <c r="H35" s="12">
        <v>6.9743491000000004</v>
      </c>
      <c r="I35" s="12">
        <v>2.1455499999999999E-2</v>
      </c>
      <c r="J35" s="12">
        <v>3.7161881999999999</v>
      </c>
      <c r="K35" s="12">
        <v>-0.53518810000000006</v>
      </c>
      <c r="L35" s="12">
        <v>3.4933950999999999</v>
      </c>
      <c r="M35" s="12">
        <v>1.6471099999999999E-2</v>
      </c>
      <c r="N35" s="12">
        <v>12.202341799999999</v>
      </c>
      <c r="O35" s="12">
        <v>5.8998894999999996</v>
      </c>
      <c r="P35" s="7">
        <v>961.9</v>
      </c>
      <c r="Q35" s="7">
        <v>64.8</v>
      </c>
      <c r="R35" s="7">
        <v>6.3</v>
      </c>
      <c r="S35" s="12">
        <v>4.5999999999999996</v>
      </c>
      <c r="T35" s="12">
        <v>3.5</v>
      </c>
      <c r="U35" s="12">
        <v>81.753333299999994</v>
      </c>
      <c r="V35" s="12">
        <v>0.99936720000000001</v>
      </c>
      <c r="W35" s="12">
        <v>3.1067961999999998</v>
      </c>
      <c r="X35" s="7" t="s">
        <v>107</v>
      </c>
      <c r="Y35" s="12">
        <v>12.973628400000001</v>
      </c>
      <c r="Z35" s="12">
        <v>0.50254480000000001</v>
      </c>
      <c r="AA35" s="12">
        <v>52.687970200000002</v>
      </c>
      <c r="AB35" s="12">
        <v>18.30153</v>
      </c>
      <c r="AC35" s="12">
        <v>28.260898699999998</v>
      </c>
      <c r="AD35" s="12">
        <v>60.767301799999998</v>
      </c>
      <c r="AE35" s="12">
        <v>60.0177008</v>
      </c>
      <c r="AF35" s="7" t="s">
        <v>107</v>
      </c>
      <c r="AG35" s="12">
        <v>25.860766099999999</v>
      </c>
    </row>
    <row r="36" spans="1:33" s="11" customFormat="1" hidden="1" outlineLevel="1" x14ac:dyDescent="0.3">
      <c r="A36" s="11" t="s">
        <v>42</v>
      </c>
      <c r="B36" s="12">
        <v>2.0666498999999998</v>
      </c>
      <c r="C36" s="12">
        <v>83.51</v>
      </c>
      <c r="D36" s="12">
        <v>2.2613167999999999</v>
      </c>
      <c r="E36" s="17">
        <v>2.0833333000000001</v>
      </c>
      <c r="F36" s="13">
        <v>56.88</v>
      </c>
      <c r="G36" s="12">
        <v>4.1646989000000003</v>
      </c>
      <c r="H36" s="12">
        <v>5.8458230999999996</v>
      </c>
      <c r="I36" s="12">
        <v>0.21169450000000001</v>
      </c>
      <c r="J36" s="12">
        <v>4.1192190999999996</v>
      </c>
      <c r="K36" s="12">
        <v>2.2158761999999999</v>
      </c>
      <c r="L36" s="12">
        <v>1.9792536000000001</v>
      </c>
      <c r="M36" s="12">
        <v>10.687291999999999</v>
      </c>
      <c r="N36" s="12">
        <v>11.0324369</v>
      </c>
      <c r="O36" s="12">
        <v>11.4926008</v>
      </c>
      <c r="P36" s="7">
        <v>953.5</v>
      </c>
      <c r="Q36" s="7">
        <v>73.599999999999994</v>
      </c>
      <c r="R36" s="7">
        <v>7.2</v>
      </c>
      <c r="S36" s="12">
        <v>4.9000000000000004</v>
      </c>
      <c r="T36" s="12">
        <v>3.75</v>
      </c>
      <c r="U36" s="12">
        <v>81.933333300000001</v>
      </c>
      <c r="V36" s="12">
        <v>0.99947090000000005</v>
      </c>
      <c r="W36" s="12">
        <v>5.6666667000000004</v>
      </c>
      <c r="X36" s="7" t="s">
        <v>107</v>
      </c>
      <c r="Y36" s="12">
        <v>16.051059200000001</v>
      </c>
      <c r="Z36" s="12">
        <v>-5.9413933999999999</v>
      </c>
      <c r="AA36" s="12">
        <v>52.522582900000003</v>
      </c>
      <c r="AB36" s="12">
        <v>18.885514000000001</v>
      </c>
      <c r="AC36" s="12">
        <v>33.0650993</v>
      </c>
      <c r="AD36" s="12">
        <v>60.280330800000002</v>
      </c>
      <c r="AE36" s="12">
        <v>64.750897399999999</v>
      </c>
      <c r="AF36" s="12">
        <v>25.102040800000001</v>
      </c>
      <c r="AG36" s="12">
        <v>26.398658999999999</v>
      </c>
    </row>
    <row r="37" spans="1:33" s="11" customFormat="1" hidden="1" outlineLevel="1" x14ac:dyDescent="0.3">
      <c r="A37" s="11" t="s">
        <v>43</v>
      </c>
      <c r="B37" s="12">
        <v>3.8191847000000001</v>
      </c>
      <c r="C37" s="12">
        <v>83.573333300000002</v>
      </c>
      <c r="D37" s="12">
        <v>2.2012065999999999</v>
      </c>
      <c r="E37" s="17">
        <v>2.3333333000000001</v>
      </c>
      <c r="F37" s="13">
        <v>61.753333300000001</v>
      </c>
      <c r="G37" s="12">
        <v>4.9669083000000001</v>
      </c>
      <c r="H37" s="12">
        <v>4.2166655000000004</v>
      </c>
      <c r="I37" s="12">
        <v>-3.1504802999999999</v>
      </c>
      <c r="J37" s="12">
        <v>5.4927701000000004</v>
      </c>
      <c r="K37" s="12">
        <v>2.2715453999999999</v>
      </c>
      <c r="L37" s="12">
        <v>3.5685370999999999</v>
      </c>
      <c r="M37" s="12">
        <v>6.7081873999999999</v>
      </c>
      <c r="N37" s="12">
        <v>18.645337000000001</v>
      </c>
      <c r="O37" s="12">
        <v>15.5775313</v>
      </c>
      <c r="P37" s="7">
        <v>946</v>
      </c>
      <c r="Q37" s="7">
        <v>69.8</v>
      </c>
      <c r="R37" s="7">
        <v>6.9</v>
      </c>
      <c r="S37" s="12">
        <v>5.2998681999999997</v>
      </c>
      <c r="T37" s="12">
        <v>3.5</v>
      </c>
      <c r="U37" s="12">
        <v>81.8466667</v>
      </c>
      <c r="V37" s="12">
        <v>0.99944670000000002</v>
      </c>
      <c r="W37" s="12">
        <v>6.8567026999999996</v>
      </c>
      <c r="X37" s="7" t="s">
        <v>107</v>
      </c>
      <c r="Y37" s="12">
        <v>19.708879199999998</v>
      </c>
      <c r="Z37" s="12">
        <v>-1.4364157</v>
      </c>
      <c r="AA37" s="12">
        <v>52.517965099999998</v>
      </c>
      <c r="AB37" s="12">
        <v>19.617218099999999</v>
      </c>
      <c r="AC37" s="12">
        <v>27.846318</v>
      </c>
      <c r="AD37" s="12">
        <v>66.623977199999999</v>
      </c>
      <c r="AE37" s="12">
        <v>66.606901500000006</v>
      </c>
      <c r="AF37" s="12">
        <v>26.420375</v>
      </c>
      <c r="AG37" s="12">
        <v>24.9883223</v>
      </c>
    </row>
    <row r="38" spans="1:33" s="11" customFormat="1" hidden="1" outlineLevel="1" x14ac:dyDescent="0.3">
      <c r="A38" s="11" t="s">
        <v>44</v>
      </c>
      <c r="B38" s="12">
        <v>2.9723983</v>
      </c>
      <c r="C38" s="12">
        <v>84.693333300000006</v>
      </c>
      <c r="D38" s="12">
        <v>2.3979365000000001</v>
      </c>
      <c r="E38" s="17">
        <v>2.5833333000000001</v>
      </c>
      <c r="F38" s="13">
        <v>69.533333299999995</v>
      </c>
      <c r="G38" s="12">
        <v>6.7250538000000004</v>
      </c>
      <c r="H38" s="12">
        <v>9.3025389999999994</v>
      </c>
      <c r="I38" s="12">
        <v>-1.7925352999999999</v>
      </c>
      <c r="J38" s="12">
        <v>5.0845925999999997</v>
      </c>
      <c r="K38" s="12">
        <v>0.54078879999999996</v>
      </c>
      <c r="L38" s="12">
        <v>3.3133971</v>
      </c>
      <c r="M38" s="12">
        <v>8.7955763000000005</v>
      </c>
      <c r="N38" s="12">
        <v>14.080152</v>
      </c>
      <c r="O38" s="12">
        <v>11.100954700000001</v>
      </c>
      <c r="P38" s="7">
        <v>969.4</v>
      </c>
      <c r="Q38" s="7">
        <v>60.3</v>
      </c>
      <c r="R38" s="7">
        <v>5.9</v>
      </c>
      <c r="S38" s="12">
        <v>4.8111312000000002</v>
      </c>
      <c r="T38" s="12">
        <v>3.5</v>
      </c>
      <c r="U38" s="12">
        <v>83.496666700000006</v>
      </c>
      <c r="V38" s="12">
        <v>0.999946</v>
      </c>
      <c r="W38" s="12">
        <v>3.3667620999999999</v>
      </c>
      <c r="X38" s="7" t="s">
        <v>107</v>
      </c>
      <c r="Y38" s="12">
        <v>14.7145537</v>
      </c>
      <c r="Z38" s="12">
        <v>2.1094854000000001</v>
      </c>
      <c r="AA38" s="12">
        <v>52.119585600000001</v>
      </c>
      <c r="AB38" s="12">
        <v>18.8341031</v>
      </c>
      <c r="AC38" s="12">
        <v>26.161527899999999</v>
      </c>
      <c r="AD38" s="12">
        <v>63.985769599999998</v>
      </c>
      <c r="AE38" s="12">
        <v>61.1022344</v>
      </c>
      <c r="AF38" s="12">
        <v>26.107347600000001</v>
      </c>
      <c r="AG38" s="12">
        <v>25.3508864</v>
      </c>
    </row>
    <row r="39" spans="1:33" s="11" customFormat="1" hidden="1" outlineLevel="1" x14ac:dyDescent="0.3">
      <c r="A39" s="11" t="s">
        <v>45</v>
      </c>
      <c r="B39" s="12">
        <v>3.3099788999999999</v>
      </c>
      <c r="C39" s="12">
        <v>84.873333299999999</v>
      </c>
      <c r="D39" s="12">
        <v>2.2364986</v>
      </c>
      <c r="E39" s="17">
        <v>2.9166666999999999</v>
      </c>
      <c r="F39" s="13">
        <v>69.62</v>
      </c>
      <c r="G39" s="12">
        <v>5.9930167000000001</v>
      </c>
      <c r="H39" s="12">
        <v>3.7938504000000002</v>
      </c>
      <c r="I39" s="12">
        <v>-0.87880170000000002</v>
      </c>
      <c r="J39" s="12">
        <v>6.2001802000000001</v>
      </c>
      <c r="K39" s="12">
        <v>1.6359874000000001</v>
      </c>
      <c r="L39" s="12">
        <v>2.5890751000000001</v>
      </c>
      <c r="M39" s="12">
        <v>17.493515599999998</v>
      </c>
      <c r="N39" s="12">
        <v>10.1483262</v>
      </c>
      <c r="O39" s="12">
        <v>10.2584798</v>
      </c>
      <c r="P39" s="7">
        <v>973.5</v>
      </c>
      <c r="Q39" s="7">
        <v>56.9</v>
      </c>
      <c r="R39" s="7">
        <v>5.6</v>
      </c>
      <c r="S39" s="12">
        <v>3.9767814000000001</v>
      </c>
      <c r="T39" s="12">
        <v>3.75</v>
      </c>
      <c r="U39" s="12">
        <v>83.816666699999999</v>
      </c>
      <c r="V39" s="12">
        <v>0.99991450000000004</v>
      </c>
      <c r="W39" s="12">
        <v>6.2523540000000004</v>
      </c>
      <c r="X39" s="7" t="s">
        <v>107</v>
      </c>
      <c r="Y39" s="12">
        <v>15.615776800000001</v>
      </c>
      <c r="Z39" s="12">
        <v>-2.4368047000000002</v>
      </c>
      <c r="AA39" s="12">
        <v>50.334166099999997</v>
      </c>
      <c r="AB39" s="12">
        <v>17.7852721</v>
      </c>
      <c r="AC39" s="12">
        <v>30.895910000000001</v>
      </c>
      <c r="AD39" s="12">
        <v>64.135291100000003</v>
      </c>
      <c r="AE39" s="12">
        <v>63.151870199999998</v>
      </c>
      <c r="AF39" s="12">
        <v>25.747182800000001</v>
      </c>
      <c r="AG39" s="12">
        <v>25.482121200000002</v>
      </c>
    </row>
    <row r="40" spans="1:33" s="11" customFormat="1" hidden="1" outlineLevel="1" x14ac:dyDescent="0.3">
      <c r="A40" s="11" t="s">
        <v>46</v>
      </c>
      <c r="B40" s="12">
        <v>3.7478780999999999</v>
      </c>
      <c r="C40" s="12">
        <v>85.166666699999993</v>
      </c>
      <c r="D40" s="12">
        <v>1.9837944000000001</v>
      </c>
      <c r="E40" s="17">
        <v>3.3333333000000001</v>
      </c>
      <c r="F40" s="13">
        <v>59.68</v>
      </c>
      <c r="G40" s="12">
        <v>6.6220850000000002</v>
      </c>
      <c r="H40" s="12">
        <v>7.5172064000000001</v>
      </c>
      <c r="I40" s="12">
        <v>0.588646</v>
      </c>
      <c r="J40" s="12">
        <v>6.1860387000000001</v>
      </c>
      <c r="K40" s="12">
        <v>0.98729129999999998</v>
      </c>
      <c r="L40" s="12">
        <v>3.2269378999999998</v>
      </c>
      <c r="M40" s="12">
        <v>15.2879989</v>
      </c>
      <c r="N40" s="12">
        <v>14.240302700000001</v>
      </c>
      <c r="O40" s="12">
        <v>12.9062716</v>
      </c>
      <c r="P40" s="7">
        <v>955.9</v>
      </c>
      <c r="Q40" s="7">
        <v>56.3</v>
      </c>
      <c r="R40" s="7">
        <v>5.6</v>
      </c>
      <c r="S40" s="12">
        <v>5.1076959000000004</v>
      </c>
      <c r="T40" s="12">
        <v>3.75</v>
      </c>
      <c r="U40" s="12">
        <v>83.856666700000005</v>
      </c>
      <c r="V40" s="12">
        <v>0.99996450000000003</v>
      </c>
      <c r="W40" s="12">
        <v>6.3091483000000004</v>
      </c>
      <c r="X40" s="7" t="s">
        <v>107</v>
      </c>
      <c r="Y40" s="12">
        <v>16.779779999999999</v>
      </c>
      <c r="Z40" s="12">
        <v>-4.9834516999999998</v>
      </c>
      <c r="AA40" s="12">
        <v>49.677388299999997</v>
      </c>
      <c r="AB40" s="12">
        <v>18.510448799999999</v>
      </c>
      <c r="AC40" s="12">
        <v>35.750914899999998</v>
      </c>
      <c r="AD40" s="12">
        <v>64.958108600000003</v>
      </c>
      <c r="AE40" s="12">
        <v>68.896860599999997</v>
      </c>
      <c r="AF40" s="12">
        <v>25.541831699999999</v>
      </c>
      <c r="AG40" s="12">
        <v>26.061079800000002</v>
      </c>
    </row>
    <row r="41" spans="1:33" s="11" customFormat="1" hidden="1" outlineLevel="1" x14ac:dyDescent="0.3">
      <c r="A41" s="11" t="s">
        <v>47</v>
      </c>
      <c r="B41" s="12">
        <v>3.5234725999999998</v>
      </c>
      <c r="C41" s="12">
        <v>85.39</v>
      </c>
      <c r="D41" s="12">
        <v>2.1737397000000001</v>
      </c>
      <c r="E41" s="17">
        <v>3.5833333000000001</v>
      </c>
      <c r="F41" s="13">
        <v>57.763333299999999</v>
      </c>
      <c r="G41" s="12">
        <v>5.2693208</v>
      </c>
      <c r="H41" s="12">
        <v>9.4172133999999996</v>
      </c>
      <c r="I41" s="12">
        <v>-1.3233330999999999</v>
      </c>
      <c r="J41" s="12">
        <v>8.0078125</v>
      </c>
      <c r="K41" s="12">
        <v>4.2595973999999996</v>
      </c>
      <c r="L41" s="12">
        <v>0.64942869999999997</v>
      </c>
      <c r="M41" s="12">
        <v>21.238651099999998</v>
      </c>
      <c r="N41" s="12">
        <v>16.000153000000001</v>
      </c>
      <c r="O41" s="12">
        <v>16.8889231</v>
      </c>
      <c r="P41" s="7">
        <v>957.6</v>
      </c>
      <c r="Q41" s="7">
        <v>57.3</v>
      </c>
      <c r="R41" s="7">
        <v>5.7</v>
      </c>
      <c r="S41" s="12">
        <v>5.4036356999999997</v>
      </c>
      <c r="T41" s="12">
        <v>3.75</v>
      </c>
      <c r="U41" s="12">
        <v>84</v>
      </c>
      <c r="V41" s="12">
        <v>1</v>
      </c>
      <c r="W41" s="12">
        <v>8.5436192999999996</v>
      </c>
      <c r="X41" s="7" t="s">
        <v>107</v>
      </c>
      <c r="Y41" s="12">
        <v>19.066147900000001</v>
      </c>
      <c r="Z41" s="12">
        <v>-1.1822284000000001</v>
      </c>
      <c r="AA41" s="12">
        <v>50.685819600000002</v>
      </c>
      <c r="AB41" s="12">
        <v>18.0791966</v>
      </c>
      <c r="AC41" s="12">
        <v>30.7735333</v>
      </c>
      <c r="AD41" s="12">
        <v>71.154897300000002</v>
      </c>
      <c r="AE41" s="12">
        <v>70.693446899999998</v>
      </c>
      <c r="AF41" s="12">
        <v>24.883772400000002</v>
      </c>
      <c r="AG41" s="12">
        <v>25.721128499999999</v>
      </c>
    </row>
    <row r="42" spans="1:33" s="11" customFormat="1" hidden="1" outlineLevel="1" x14ac:dyDescent="0.3">
      <c r="A42" s="11" t="s">
        <v>48</v>
      </c>
      <c r="B42" s="12">
        <v>3.1678283999999999</v>
      </c>
      <c r="C42" s="12">
        <v>86.5</v>
      </c>
      <c r="D42" s="12">
        <v>2.1331864</v>
      </c>
      <c r="E42" s="17">
        <v>3.8333333000000001</v>
      </c>
      <c r="F42" s="13">
        <v>68.583333300000007</v>
      </c>
      <c r="G42" s="12">
        <v>6.4089111000000001</v>
      </c>
      <c r="H42" s="12">
        <v>7.1478548000000002</v>
      </c>
      <c r="I42" s="12">
        <v>-1.4187581</v>
      </c>
      <c r="J42" s="12">
        <v>7.0504277999999996</v>
      </c>
      <c r="K42" s="12">
        <v>5.5262501999999998</v>
      </c>
      <c r="L42" s="12">
        <v>1.2562232</v>
      </c>
      <c r="M42" s="12">
        <v>24.761753500000001</v>
      </c>
      <c r="N42" s="12">
        <v>13.779053299999999</v>
      </c>
      <c r="O42" s="12">
        <v>18.700064000000001</v>
      </c>
      <c r="P42" s="7">
        <v>993.5</v>
      </c>
      <c r="Q42" s="7">
        <v>47.3</v>
      </c>
      <c r="R42" s="7">
        <v>4.5999999999999996</v>
      </c>
      <c r="S42" s="12">
        <v>5.6329311999999998</v>
      </c>
      <c r="T42" s="12">
        <v>4</v>
      </c>
      <c r="U42" s="12">
        <v>86.263333299999999</v>
      </c>
      <c r="V42" s="12">
        <v>1</v>
      </c>
      <c r="W42" s="12">
        <v>7.5537076000000001</v>
      </c>
      <c r="X42" s="7" t="s">
        <v>107</v>
      </c>
      <c r="Y42" s="12">
        <v>22.6401869</v>
      </c>
      <c r="Z42" s="12">
        <v>-2.6040497</v>
      </c>
      <c r="AA42" s="12">
        <v>51.052844200000003</v>
      </c>
      <c r="AB42" s="12">
        <v>17.6805998</v>
      </c>
      <c r="AC42" s="12">
        <v>31.002783600000001</v>
      </c>
      <c r="AD42" s="12">
        <v>67.347236600000002</v>
      </c>
      <c r="AE42" s="12">
        <v>67.082341799999995</v>
      </c>
      <c r="AF42" s="12">
        <v>24.731404999999999</v>
      </c>
      <c r="AG42" s="12">
        <v>23.3218812</v>
      </c>
    </row>
    <row r="43" spans="1:33" s="11" customFormat="1" hidden="1" outlineLevel="1" x14ac:dyDescent="0.3">
      <c r="A43" s="11" t="s">
        <v>49</v>
      </c>
      <c r="B43" s="12">
        <v>3.1476855000000001</v>
      </c>
      <c r="C43" s="12">
        <v>86.6</v>
      </c>
      <c r="D43" s="12">
        <v>2.0344042999999998</v>
      </c>
      <c r="E43" s="17">
        <v>4</v>
      </c>
      <c r="F43" s="13">
        <v>74.953333299999997</v>
      </c>
      <c r="G43" s="12">
        <v>6.1085395</v>
      </c>
      <c r="H43" s="12">
        <v>11.1829328</v>
      </c>
      <c r="I43" s="12">
        <v>1.0860649</v>
      </c>
      <c r="J43" s="12">
        <v>7.6196203000000002</v>
      </c>
      <c r="K43" s="12">
        <v>9.6986454000000002</v>
      </c>
      <c r="L43" s="12">
        <v>1.8633173999999999</v>
      </c>
      <c r="M43" s="12">
        <v>19.055294700000001</v>
      </c>
      <c r="N43" s="12">
        <v>15.501029000000001</v>
      </c>
      <c r="O43" s="12">
        <v>20.964862199999999</v>
      </c>
      <c r="P43" s="7">
        <v>1006.1</v>
      </c>
      <c r="Q43" s="7">
        <v>46.2</v>
      </c>
      <c r="R43" s="7">
        <v>4.4000000000000004</v>
      </c>
      <c r="S43" s="12">
        <v>5.8344798999999998</v>
      </c>
      <c r="T43" s="12">
        <v>4</v>
      </c>
      <c r="U43" s="12">
        <v>86.916666699999993</v>
      </c>
      <c r="V43" s="12">
        <v>1</v>
      </c>
      <c r="W43" s="12">
        <v>7.5505139999999997</v>
      </c>
      <c r="X43" s="7" t="s">
        <v>107</v>
      </c>
      <c r="Y43" s="12">
        <v>20.677651399999998</v>
      </c>
      <c r="Z43" s="12">
        <v>-5.3154838</v>
      </c>
      <c r="AA43" s="12">
        <v>50.788026000000002</v>
      </c>
      <c r="AB43" s="12">
        <v>16.600496499999998</v>
      </c>
      <c r="AC43" s="12">
        <v>33.577233100000001</v>
      </c>
      <c r="AD43" s="12">
        <v>67.434458800000002</v>
      </c>
      <c r="AE43" s="12">
        <v>68.401308099999994</v>
      </c>
      <c r="AF43" s="12">
        <v>26.553672299999999</v>
      </c>
      <c r="AG43" s="12">
        <v>22.775599799999998</v>
      </c>
    </row>
    <row r="44" spans="1:33" s="11" customFormat="1" hidden="1" outlineLevel="1" x14ac:dyDescent="0.3">
      <c r="A44" s="11" t="s">
        <v>50</v>
      </c>
      <c r="B44" s="12">
        <v>2.7223932</v>
      </c>
      <c r="C44" s="12">
        <v>87.72</v>
      </c>
      <c r="D44" s="12">
        <v>2.998043</v>
      </c>
      <c r="E44" s="17">
        <v>4</v>
      </c>
      <c r="F44" s="13">
        <v>88.56</v>
      </c>
      <c r="G44" s="12">
        <v>7.0479430000000001</v>
      </c>
      <c r="H44" s="12">
        <v>8.6654248999999997</v>
      </c>
      <c r="I44" s="12">
        <v>1.2452620000000001</v>
      </c>
      <c r="J44" s="12">
        <v>5.3621726000000001</v>
      </c>
      <c r="K44" s="12">
        <v>6.7269890999999999</v>
      </c>
      <c r="L44" s="12">
        <v>3.4092196000000001</v>
      </c>
      <c r="M44" s="12">
        <v>8.7432867999999999</v>
      </c>
      <c r="N44" s="12">
        <v>10.440601600000001</v>
      </c>
      <c r="O44" s="12">
        <v>12.2318356</v>
      </c>
      <c r="P44" s="7">
        <v>983.4</v>
      </c>
      <c r="Q44" s="7">
        <v>48.7</v>
      </c>
      <c r="R44" s="7">
        <v>4.7</v>
      </c>
      <c r="S44" s="12">
        <v>6.7366523000000003</v>
      </c>
      <c r="T44" s="12">
        <v>4</v>
      </c>
      <c r="U44" s="12">
        <v>88.503333299999994</v>
      </c>
      <c r="V44" s="12">
        <v>1</v>
      </c>
      <c r="W44" s="12">
        <v>5.2753049000000001</v>
      </c>
      <c r="X44" s="7" t="s">
        <v>107</v>
      </c>
      <c r="Y44" s="12">
        <v>11.9238477</v>
      </c>
      <c r="Z44" s="12">
        <v>-6.8817110000000001</v>
      </c>
      <c r="AA44" s="12">
        <v>50.771734700000003</v>
      </c>
      <c r="AB44" s="12">
        <v>17.5483631</v>
      </c>
      <c r="AC44" s="12">
        <v>36.458868099999997</v>
      </c>
      <c r="AD44" s="12">
        <v>66.102657699999995</v>
      </c>
      <c r="AE44" s="12">
        <v>70.882716000000002</v>
      </c>
      <c r="AF44" s="12">
        <v>27.213662500000002</v>
      </c>
      <c r="AG44" s="12">
        <v>22.8480192</v>
      </c>
    </row>
    <row r="45" spans="1:33" s="11" customFormat="1" hidden="1" outlineLevel="1" x14ac:dyDescent="0.3">
      <c r="A45" s="11" t="s">
        <v>51</v>
      </c>
      <c r="B45" s="12">
        <v>1.9060995000000001</v>
      </c>
      <c r="C45" s="12">
        <v>88.42</v>
      </c>
      <c r="D45" s="12">
        <v>3.5484249000000001</v>
      </c>
      <c r="E45" s="17">
        <v>4</v>
      </c>
      <c r="F45" s="13">
        <v>96.936666700000004</v>
      </c>
      <c r="G45" s="12">
        <v>10.832549</v>
      </c>
      <c r="H45" s="12">
        <v>8.7184009000000007</v>
      </c>
      <c r="I45" s="12">
        <v>-2.1713425000000002</v>
      </c>
      <c r="J45" s="12">
        <v>5.5505624999999998</v>
      </c>
      <c r="K45" s="12">
        <v>3.8794059000000001</v>
      </c>
      <c r="L45" s="12">
        <v>5.9206595999999996</v>
      </c>
      <c r="M45" s="12">
        <v>9.7820272999999993</v>
      </c>
      <c r="N45" s="12">
        <v>8.6228216</v>
      </c>
      <c r="O45" s="12">
        <v>9.4747427999999996</v>
      </c>
      <c r="P45" s="7">
        <v>970.6</v>
      </c>
      <c r="Q45" s="7">
        <v>51.7</v>
      </c>
      <c r="R45" s="7">
        <v>5.0999999999999996</v>
      </c>
      <c r="S45" s="12">
        <v>7.792414</v>
      </c>
      <c r="T45" s="12">
        <v>4</v>
      </c>
      <c r="U45" s="12">
        <v>89.41</v>
      </c>
      <c r="V45" s="12">
        <v>1</v>
      </c>
      <c r="W45" s="12">
        <v>6.3766191000000001</v>
      </c>
      <c r="X45" s="7" t="s">
        <v>107</v>
      </c>
      <c r="Y45" s="12">
        <v>26.409313699999998</v>
      </c>
      <c r="Z45" s="12">
        <v>-4.185022</v>
      </c>
      <c r="AA45" s="12">
        <v>51.304196599999997</v>
      </c>
      <c r="AB45" s="12">
        <v>18.386274100000001</v>
      </c>
      <c r="AC45" s="12">
        <v>30.921632299999999</v>
      </c>
      <c r="AD45" s="12">
        <v>71.351727299999993</v>
      </c>
      <c r="AE45" s="12">
        <v>71.963830299999998</v>
      </c>
      <c r="AF45" s="12">
        <v>27.193760000000001</v>
      </c>
      <c r="AG45" s="12">
        <v>22.921396300000001</v>
      </c>
    </row>
    <row r="46" spans="1:33" s="11" customFormat="1" hidden="1" outlineLevel="1" x14ac:dyDescent="0.3">
      <c r="A46" s="11" t="s">
        <v>52</v>
      </c>
      <c r="B46" s="12">
        <v>1.9101475000000001</v>
      </c>
      <c r="C46" s="12">
        <v>89.906666700000002</v>
      </c>
      <c r="D46" s="12">
        <v>3.9383430000000001</v>
      </c>
      <c r="E46" s="17">
        <v>4</v>
      </c>
      <c r="F46" s="13">
        <v>121.3966667</v>
      </c>
      <c r="G46" s="12">
        <v>10.811904200000001</v>
      </c>
      <c r="H46" s="12">
        <v>10.544599699999999</v>
      </c>
      <c r="I46" s="12">
        <v>-1.5262137</v>
      </c>
      <c r="J46" s="12">
        <v>6.3310709999999997</v>
      </c>
      <c r="K46" s="12">
        <v>3.8533445999999998</v>
      </c>
      <c r="L46" s="12">
        <v>4.4823051999999999</v>
      </c>
      <c r="M46" s="12">
        <v>11.397199199999999</v>
      </c>
      <c r="N46" s="12">
        <v>9.6316134000000009</v>
      </c>
      <c r="O46" s="12">
        <v>9.6884001000000008</v>
      </c>
      <c r="P46" s="7">
        <v>990.2</v>
      </c>
      <c r="Q46" s="7">
        <v>42.6</v>
      </c>
      <c r="R46" s="7">
        <v>4.0999999999999996</v>
      </c>
      <c r="S46" s="12">
        <v>8.6223653999999996</v>
      </c>
      <c r="T46" s="12">
        <v>4</v>
      </c>
      <c r="U46" s="12">
        <v>91.803333300000006</v>
      </c>
      <c r="V46" s="12">
        <v>1</v>
      </c>
      <c r="W46" s="12">
        <v>8.4085052000000005</v>
      </c>
      <c r="X46" s="7" t="s">
        <v>107</v>
      </c>
      <c r="Y46" s="12">
        <v>28.348256800000001</v>
      </c>
      <c r="Z46" s="12">
        <v>-4.2953320000000001</v>
      </c>
      <c r="AA46" s="12">
        <v>50.921516199999999</v>
      </c>
      <c r="AB46" s="12">
        <v>17.725606500000001</v>
      </c>
      <c r="AC46" s="12">
        <v>32.314503600000002</v>
      </c>
      <c r="AD46" s="12">
        <v>67.673311100000006</v>
      </c>
      <c r="AE46" s="12">
        <v>68.635952799999998</v>
      </c>
      <c r="AF46" s="12">
        <v>23.670697400000002</v>
      </c>
      <c r="AG46" s="12">
        <v>21.475411099999999</v>
      </c>
    </row>
    <row r="47" spans="1:33" s="11" customFormat="1" hidden="1" outlineLevel="1" x14ac:dyDescent="0.3">
      <c r="A47" s="11" t="s">
        <v>53</v>
      </c>
      <c r="B47" s="12">
        <v>0.87131639999999999</v>
      </c>
      <c r="C47" s="12">
        <v>90.323333300000002</v>
      </c>
      <c r="D47" s="12">
        <v>4.2994611000000003</v>
      </c>
      <c r="E47" s="17">
        <v>4.25</v>
      </c>
      <c r="F47" s="13">
        <v>114.3966667</v>
      </c>
      <c r="G47" s="12">
        <v>12.3594904</v>
      </c>
      <c r="H47" s="12">
        <v>10.8063717</v>
      </c>
      <c r="I47" s="12">
        <v>0.52720160000000005</v>
      </c>
      <c r="J47" s="12">
        <v>3.2686782000000001</v>
      </c>
      <c r="K47" s="12">
        <v>1.746742</v>
      </c>
      <c r="L47" s="12">
        <v>4.5730824999999999</v>
      </c>
      <c r="M47" s="12">
        <v>6.0689899</v>
      </c>
      <c r="N47" s="12">
        <v>3.6650743000000001</v>
      </c>
      <c r="O47" s="12">
        <v>4.3217711999999997</v>
      </c>
      <c r="P47" s="7">
        <v>1022.7</v>
      </c>
      <c r="Q47" s="7">
        <v>43.3</v>
      </c>
      <c r="R47" s="7">
        <v>4.0999999999999996</v>
      </c>
      <c r="S47" s="12">
        <v>9.8976171999999991</v>
      </c>
      <c r="T47" s="12">
        <v>4.25</v>
      </c>
      <c r="U47" s="12">
        <v>92.273333300000004</v>
      </c>
      <c r="V47" s="12">
        <v>1</v>
      </c>
      <c r="W47" s="12">
        <v>3.3289387000000001</v>
      </c>
      <c r="X47" s="7" t="s">
        <v>107</v>
      </c>
      <c r="Y47" s="12">
        <v>29.615384599999999</v>
      </c>
      <c r="Z47" s="12">
        <v>-6.4886347999999998</v>
      </c>
      <c r="AA47" s="12">
        <v>51.456901199999997</v>
      </c>
      <c r="AB47" s="12">
        <v>17.3388487</v>
      </c>
      <c r="AC47" s="12">
        <v>34.789220800000002</v>
      </c>
      <c r="AD47" s="12">
        <v>65.6041527</v>
      </c>
      <c r="AE47" s="12">
        <v>69.190137300000004</v>
      </c>
      <c r="AF47" s="12">
        <v>19.4889163</v>
      </c>
      <c r="AG47" s="12">
        <v>21.5558315</v>
      </c>
    </row>
    <row r="48" spans="1:33" s="11" customFormat="1" hidden="1" outlineLevel="1" x14ac:dyDescent="0.3">
      <c r="A48" s="11" t="s">
        <v>54</v>
      </c>
      <c r="B48" s="12">
        <v>-1.9881508000000001</v>
      </c>
      <c r="C48" s="12">
        <v>90.23</v>
      </c>
      <c r="D48" s="12">
        <v>2.8613770999999999</v>
      </c>
      <c r="E48" s="17">
        <v>3.1666666999999999</v>
      </c>
      <c r="F48" s="13">
        <v>54.66</v>
      </c>
      <c r="G48" s="12">
        <v>14.697120200000001</v>
      </c>
      <c r="H48" s="12">
        <v>5.6711733000000004</v>
      </c>
      <c r="I48" s="12">
        <v>-2.5353287999999998</v>
      </c>
      <c r="J48" s="12">
        <v>-0.93266830000000001</v>
      </c>
      <c r="K48" s="12">
        <v>1.8671188000000001</v>
      </c>
      <c r="L48" s="12">
        <v>5.7064621999999998</v>
      </c>
      <c r="M48" s="12">
        <v>-11.4550996</v>
      </c>
      <c r="N48" s="12">
        <v>-4.8643635999999999</v>
      </c>
      <c r="O48" s="12">
        <v>-6.0225254000000001</v>
      </c>
      <c r="P48" s="7">
        <v>1000.9</v>
      </c>
      <c r="Q48" s="7">
        <v>44.5</v>
      </c>
      <c r="R48" s="7">
        <v>4.3</v>
      </c>
      <c r="S48" s="12">
        <v>7.0960305999999997</v>
      </c>
      <c r="T48" s="12">
        <v>2.5</v>
      </c>
      <c r="U48" s="12">
        <v>91.286666699999998</v>
      </c>
      <c r="V48" s="12">
        <v>1</v>
      </c>
      <c r="W48" s="12">
        <v>-7.6103977</v>
      </c>
      <c r="X48" s="7" t="s">
        <v>107</v>
      </c>
      <c r="Y48" s="12">
        <v>9.7045657999999992</v>
      </c>
      <c r="Z48" s="12">
        <v>-6.1949209999999999</v>
      </c>
      <c r="AA48" s="12">
        <v>50.568910700000004</v>
      </c>
      <c r="AB48" s="12">
        <v>19.248057599999999</v>
      </c>
      <c r="AC48" s="12">
        <v>33.2815352</v>
      </c>
      <c r="AD48" s="12">
        <v>61.111748400000003</v>
      </c>
      <c r="AE48" s="12">
        <v>64.210251900000003</v>
      </c>
      <c r="AF48" s="12">
        <v>15.0007296</v>
      </c>
      <c r="AG48" s="12">
        <v>21.786018500000001</v>
      </c>
    </row>
    <row r="49" spans="1:33" s="11" customFormat="1" hidden="1" outlineLevel="1" x14ac:dyDescent="0.3">
      <c r="A49" s="11" t="s">
        <v>55</v>
      </c>
      <c r="B49" s="12">
        <v>-5.4359460999999998</v>
      </c>
      <c r="C49" s="12">
        <v>89.88</v>
      </c>
      <c r="D49" s="12">
        <v>1.6512100999999999</v>
      </c>
      <c r="E49" s="17">
        <v>1.8333333000000001</v>
      </c>
      <c r="F49" s="13">
        <v>44.433333300000001</v>
      </c>
      <c r="G49" s="12">
        <v>9.8638668000000003</v>
      </c>
      <c r="H49" s="12">
        <v>-1.6060131</v>
      </c>
      <c r="I49" s="12">
        <v>-7.4347687999999996</v>
      </c>
      <c r="J49" s="12">
        <v>-6.9954964000000004</v>
      </c>
      <c r="K49" s="12">
        <v>1.9547589000000001</v>
      </c>
      <c r="L49" s="12">
        <v>2.5607761</v>
      </c>
      <c r="M49" s="12">
        <v>-29.4262744</v>
      </c>
      <c r="N49" s="12">
        <v>-19.926232899999999</v>
      </c>
      <c r="O49" s="12">
        <v>-21.877023600000001</v>
      </c>
      <c r="P49" s="7">
        <v>961.6</v>
      </c>
      <c r="Q49" s="7">
        <v>53.8</v>
      </c>
      <c r="R49" s="7">
        <v>5.3</v>
      </c>
      <c r="S49" s="12">
        <v>5.4567155999999999</v>
      </c>
      <c r="T49" s="12">
        <v>1.5</v>
      </c>
      <c r="U49" s="12">
        <v>90.91</v>
      </c>
      <c r="V49" s="12">
        <v>1</v>
      </c>
      <c r="W49" s="12">
        <v>-18.170465199999999</v>
      </c>
      <c r="X49" s="12">
        <v>-19.682462099999999</v>
      </c>
      <c r="Y49" s="12">
        <v>-23.189529799999999</v>
      </c>
      <c r="Z49" s="12">
        <v>-2.1631637000000001</v>
      </c>
      <c r="AA49" s="12">
        <v>53.864309599999999</v>
      </c>
      <c r="AB49" s="12">
        <v>20.531763000000002</v>
      </c>
      <c r="AC49" s="12">
        <v>23.447844499999999</v>
      </c>
      <c r="AD49" s="12">
        <v>58.288587</v>
      </c>
      <c r="AE49" s="12">
        <v>56.132504099999998</v>
      </c>
      <c r="AF49" s="12">
        <v>10.4111498</v>
      </c>
      <c r="AG49" s="12">
        <v>26.053581699999999</v>
      </c>
    </row>
    <row r="50" spans="1:33" s="11" customFormat="1" hidden="1" outlineLevel="1" x14ac:dyDescent="0.3">
      <c r="A50" s="11" t="s">
        <v>56</v>
      </c>
      <c r="B50" s="12">
        <v>-5.8020649999999998</v>
      </c>
      <c r="C50" s="12">
        <v>90.723333299999993</v>
      </c>
      <c r="D50" s="12">
        <v>0.90834930000000003</v>
      </c>
      <c r="E50" s="17">
        <v>1.0833333000000001</v>
      </c>
      <c r="F50" s="13">
        <v>58.696666700000002</v>
      </c>
      <c r="G50" s="12">
        <v>4.4997147999999996</v>
      </c>
      <c r="H50" s="12">
        <v>-4.0522660000000004</v>
      </c>
      <c r="I50" s="12">
        <v>-5.6028758999999999</v>
      </c>
      <c r="J50" s="12">
        <v>-9.8857520999999995</v>
      </c>
      <c r="K50" s="12">
        <v>0.56280909999999995</v>
      </c>
      <c r="L50" s="12">
        <v>3.2339261000000001</v>
      </c>
      <c r="M50" s="12">
        <v>-36.827519199999998</v>
      </c>
      <c r="N50" s="12">
        <v>-22.392489900000001</v>
      </c>
      <c r="O50" s="12">
        <v>-24.150085000000001</v>
      </c>
      <c r="P50" s="7">
        <v>980.5</v>
      </c>
      <c r="Q50" s="7">
        <v>57.7</v>
      </c>
      <c r="R50" s="7">
        <v>5.6</v>
      </c>
      <c r="S50" s="12">
        <v>4.6220413999999996</v>
      </c>
      <c r="T50" s="12">
        <v>1</v>
      </c>
      <c r="U50" s="12">
        <v>92.34</v>
      </c>
      <c r="V50" s="12">
        <v>1</v>
      </c>
      <c r="W50" s="12">
        <v>-24.606240700000001</v>
      </c>
      <c r="X50" s="12">
        <v>-22.4676692</v>
      </c>
      <c r="Y50" s="12">
        <v>-28.1089506</v>
      </c>
      <c r="Z50" s="12">
        <v>1.137848</v>
      </c>
      <c r="AA50" s="12">
        <v>54.012155800000002</v>
      </c>
      <c r="AB50" s="12">
        <v>20.435923200000001</v>
      </c>
      <c r="AC50" s="12">
        <v>22.134058799999998</v>
      </c>
      <c r="AD50" s="12">
        <v>55.7264847</v>
      </c>
      <c r="AE50" s="12">
        <v>52.3075428</v>
      </c>
      <c r="AF50" s="12">
        <v>7.2193946000000002</v>
      </c>
      <c r="AG50" s="12">
        <v>30.546215799999999</v>
      </c>
    </row>
    <row r="51" spans="1:33" s="11" customFormat="1" hidden="1" outlineLevel="1" x14ac:dyDescent="0.3">
      <c r="A51" s="11" t="s">
        <v>57</v>
      </c>
      <c r="B51" s="12">
        <v>-4.1677857999999999</v>
      </c>
      <c r="C51" s="12">
        <v>90.663333300000005</v>
      </c>
      <c r="D51" s="12">
        <v>0.37642540000000002</v>
      </c>
      <c r="E51" s="17">
        <v>1</v>
      </c>
      <c r="F51" s="13">
        <v>68.2</v>
      </c>
      <c r="G51" s="12">
        <v>4.2613500999999996</v>
      </c>
      <c r="H51" s="12">
        <v>-7.3784763</v>
      </c>
      <c r="I51" s="12">
        <v>-4.7431894000000003</v>
      </c>
      <c r="J51" s="12">
        <v>-8.3922705000000004</v>
      </c>
      <c r="K51" s="12">
        <v>2.6865098000000001</v>
      </c>
      <c r="L51" s="12">
        <v>3.1608082</v>
      </c>
      <c r="M51" s="12">
        <v>-32.7792885</v>
      </c>
      <c r="N51" s="12">
        <v>-17.133670200000001</v>
      </c>
      <c r="O51" s="12">
        <v>-17.743852400000002</v>
      </c>
      <c r="P51" s="7">
        <v>997.9</v>
      </c>
      <c r="Q51" s="7">
        <v>65.3</v>
      </c>
      <c r="R51" s="7">
        <v>6.2</v>
      </c>
      <c r="S51" s="12">
        <v>2.2876387999999999</v>
      </c>
      <c r="T51" s="12">
        <v>1</v>
      </c>
      <c r="U51" s="12">
        <v>92.11</v>
      </c>
      <c r="V51" s="12">
        <v>1</v>
      </c>
      <c r="W51" s="12">
        <v>-18.437001599999999</v>
      </c>
      <c r="X51" s="12">
        <v>-18.6145979</v>
      </c>
      <c r="Y51" s="12">
        <v>-22.140949599999999</v>
      </c>
      <c r="Z51" s="12">
        <v>-3.1915581</v>
      </c>
      <c r="AA51" s="12">
        <v>56.385269800000003</v>
      </c>
      <c r="AB51" s="12">
        <v>19.3162485</v>
      </c>
      <c r="AC51" s="12">
        <v>24.482610099999999</v>
      </c>
      <c r="AD51" s="12">
        <v>56.576935499999998</v>
      </c>
      <c r="AE51" s="12">
        <v>56.759987099999996</v>
      </c>
      <c r="AF51" s="12">
        <v>6.5575882999999999</v>
      </c>
      <c r="AG51" s="12">
        <v>34.616562199999997</v>
      </c>
    </row>
    <row r="52" spans="1:33" s="11" customFormat="1" hidden="1" outlineLevel="1" x14ac:dyDescent="0.3">
      <c r="A52" s="11" t="s">
        <v>58</v>
      </c>
      <c r="B52" s="12">
        <v>-1.8288317999999999</v>
      </c>
      <c r="C52" s="12">
        <v>91.146666699999997</v>
      </c>
      <c r="D52" s="12">
        <v>1.0159222999999999</v>
      </c>
      <c r="E52" s="17">
        <v>1</v>
      </c>
      <c r="F52" s="13">
        <v>74.63</v>
      </c>
      <c r="G52" s="12">
        <v>1.0757576</v>
      </c>
      <c r="H52" s="12">
        <v>-5.1429093999999997</v>
      </c>
      <c r="I52" s="12">
        <v>-5.6104431000000003</v>
      </c>
      <c r="J52" s="12">
        <v>-4.7193274000000001</v>
      </c>
      <c r="K52" s="12">
        <v>3.0497253999999998</v>
      </c>
      <c r="L52" s="12">
        <v>-0.59579320000000002</v>
      </c>
      <c r="M52" s="12">
        <v>-29.096414299999999</v>
      </c>
      <c r="N52" s="12">
        <v>-5.6589979000000001</v>
      </c>
      <c r="O52" s="12">
        <v>-9.2810856000000008</v>
      </c>
      <c r="P52" s="7">
        <v>982.1</v>
      </c>
      <c r="Q52" s="7">
        <v>67.099999999999994</v>
      </c>
      <c r="R52" s="7">
        <v>6.4</v>
      </c>
      <c r="S52" s="12">
        <v>1.6881655</v>
      </c>
      <c r="T52" s="12">
        <v>1</v>
      </c>
      <c r="U52" s="12">
        <v>92.513333299999999</v>
      </c>
      <c r="V52" s="12">
        <v>1</v>
      </c>
      <c r="W52" s="12">
        <v>-7.1186441</v>
      </c>
      <c r="X52" s="12">
        <v>-7.5846733000000004</v>
      </c>
      <c r="Y52" s="12">
        <v>-12.206626399999999</v>
      </c>
      <c r="Z52" s="12">
        <v>-0.19282850000000001</v>
      </c>
      <c r="AA52" s="12">
        <v>55.580110500000004</v>
      </c>
      <c r="AB52" s="12">
        <v>20.382407100000002</v>
      </c>
      <c r="AC52" s="12">
        <v>23.739573199999999</v>
      </c>
      <c r="AD52" s="12">
        <v>58.560285999999998</v>
      </c>
      <c r="AE52" s="12">
        <v>58.260210200000003</v>
      </c>
      <c r="AF52" s="12">
        <v>7.1310747000000001</v>
      </c>
      <c r="AG52" s="12">
        <v>34.526367499999999</v>
      </c>
    </row>
    <row r="53" spans="1:33" s="11" customFormat="1" hidden="1" outlineLevel="1" x14ac:dyDescent="0.3">
      <c r="A53" s="11" t="s">
        <v>59</v>
      </c>
      <c r="B53" s="12">
        <v>1.1991562</v>
      </c>
      <c r="C53" s="12">
        <v>91.416666699999993</v>
      </c>
      <c r="D53" s="12">
        <v>1.709687</v>
      </c>
      <c r="E53" s="17">
        <v>1</v>
      </c>
      <c r="F53" s="13">
        <v>76.25</v>
      </c>
      <c r="G53" s="12">
        <v>0.80577160000000003</v>
      </c>
      <c r="H53" s="12">
        <v>1.5387997</v>
      </c>
      <c r="I53" s="12">
        <v>-7.3061772999999999</v>
      </c>
      <c r="J53" s="12">
        <v>-1.1074588000000001</v>
      </c>
      <c r="K53" s="12">
        <v>2.2061286</v>
      </c>
      <c r="L53" s="12">
        <v>0.75895069999999998</v>
      </c>
      <c r="M53" s="12">
        <v>-13.764832800000001</v>
      </c>
      <c r="N53" s="12">
        <v>6.8675955000000002</v>
      </c>
      <c r="O53" s="12">
        <v>5.3068856999999996</v>
      </c>
      <c r="P53" s="7">
        <v>964.8</v>
      </c>
      <c r="Q53" s="7">
        <v>73.900000000000006</v>
      </c>
      <c r="R53" s="7">
        <v>7.1</v>
      </c>
      <c r="S53" s="12">
        <v>3.6814638999999998</v>
      </c>
      <c r="T53" s="12">
        <v>1</v>
      </c>
      <c r="U53" s="12">
        <v>92.446666699999994</v>
      </c>
      <c r="V53" s="12">
        <v>1</v>
      </c>
      <c r="W53" s="12">
        <v>0.80122090000000001</v>
      </c>
      <c r="X53" s="12">
        <v>6.7351945000000004</v>
      </c>
      <c r="Y53" s="12">
        <v>7.5897176999999996</v>
      </c>
      <c r="Z53" s="12">
        <v>7.2053000000000004E-3</v>
      </c>
      <c r="AA53" s="12">
        <v>55.832692899999998</v>
      </c>
      <c r="AB53" s="12">
        <v>21.255644199999999</v>
      </c>
      <c r="AC53" s="12">
        <v>20.807714499999999</v>
      </c>
      <c r="AD53" s="12">
        <v>63.2805745</v>
      </c>
      <c r="AE53" s="12">
        <v>61.176625999999999</v>
      </c>
      <c r="AF53" s="12">
        <v>8.9371370999999993</v>
      </c>
      <c r="AG53" s="12">
        <v>37.241880000000002</v>
      </c>
    </row>
    <row r="54" spans="1:33" s="11" customFormat="1" hidden="1" outlineLevel="1" x14ac:dyDescent="0.3">
      <c r="A54" s="11" t="s">
        <v>60</v>
      </c>
      <c r="B54" s="12">
        <v>2.6157658000000001</v>
      </c>
      <c r="C54" s="12">
        <v>92.57</v>
      </c>
      <c r="D54" s="12">
        <v>2.0354926</v>
      </c>
      <c r="E54" s="17">
        <v>1</v>
      </c>
      <c r="F54" s="13">
        <v>78.510000000000005</v>
      </c>
      <c r="G54" s="12">
        <v>4.4347883000000001</v>
      </c>
      <c r="H54" s="12">
        <v>0.7043121</v>
      </c>
      <c r="I54" s="12">
        <v>-7.3943361999999997</v>
      </c>
      <c r="J54" s="12">
        <v>1.8461860999999999</v>
      </c>
      <c r="K54" s="12">
        <v>0.97233740000000002</v>
      </c>
      <c r="L54" s="12">
        <v>-0.39223999999999998</v>
      </c>
      <c r="M54" s="12">
        <v>-0.83216500000000004</v>
      </c>
      <c r="N54" s="12">
        <v>12.090767700000001</v>
      </c>
      <c r="O54" s="12">
        <v>9.5862259999999999</v>
      </c>
      <c r="P54" s="7">
        <v>968</v>
      </c>
      <c r="Q54" s="7">
        <v>73.900000000000006</v>
      </c>
      <c r="R54" s="7">
        <v>7.1</v>
      </c>
      <c r="S54" s="12">
        <v>4.2730376000000003</v>
      </c>
      <c r="T54" s="12">
        <v>1</v>
      </c>
      <c r="U54" s="12">
        <v>94.526666700000007</v>
      </c>
      <c r="V54" s="12">
        <v>1</v>
      </c>
      <c r="W54" s="12">
        <v>11.785573400000001</v>
      </c>
      <c r="X54" s="12">
        <v>14.2206016</v>
      </c>
      <c r="Y54" s="12">
        <v>17.909276699999999</v>
      </c>
      <c r="Z54" s="12">
        <v>-0.62481339999999996</v>
      </c>
      <c r="AA54" s="12">
        <v>55.294920400000002</v>
      </c>
      <c r="AB54" s="12">
        <v>20.414125500000001</v>
      </c>
      <c r="AC54" s="12">
        <v>22.060391500000001</v>
      </c>
      <c r="AD54" s="12">
        <v>62.853456700000002</v>
      </c>
      <c r="AE54" s="12">
        <v>60.622894199999998</v>
      </c>
      <c r="AF54" s="12">
        <v>11.655215500000001</v>
      </c>
      <c r="AG54" s="12">
        <v>37.286154699999997</v>
      </c>
    </row>
    <row r="55" spans="1:33" s="11" customFormat="1" hidden="1" outlineLevel="1" x14ac:dyDescent="0.3">
      <c r="A55" s="11" t="s">
        <v>61</v>
      </c>
      <c r="B55" s="12">
        <v>2.4618717000000001</v>
      </c>
      <c r="C55" s="12">
        <v>92.583333300000007</v>
      </c>
      <c r="D55" s="12">
        <v>2.1177248999999998</v>
      </c>
      <c r="E55" s="17">
        <v>1</v>
      </c>
      <c r="F55" s="13">
        <v>76.819999999999993</v>
      </c>
      <c r="G55" s="12">
        <v>2.5359256000000001</v>
      </c>
      <c r="H55" s="12">
        <v>3.5208048000000001</v>
      </c>
      <c r="I55" s="12">
        <v>-4.4261733000000003</v>
      </c>
      <c r="J55" s="12">
        <v>1.9406417</v>
      </c>
      <c r="K55" s="12">
        <v>-0.21692790000000001</v>
      </c>
      <c r="L55" s="12">
        <v>-9.6587300000000001E-2</v>
      </c>
      <c r="M55" s="12">
        <v>-10.315789499999999</v>
      </c>
      <c r="N55" s="12">
        <v>12.4293684</v>
      </c>
      <c r="O55" s="12">
        <v>4.5702392999999999</v>
      </c>
      <c r="P55" s="7">
        <v>968</v>
      </c>
      <c r="Q55" s="7">
        <v>73</v>
      </c>
      <c r="R55" s="7">
        <v>7.1</v>
      </c>
      <c r="S55" s="12">
        <v>4.2176428000000001</v>
      </c>
      <c r="T55" s="12">
        <v>1</v>
      </c>
      <c r="U55" s="12">
        <v>94.166666699999993</v>
      </c>
      <c r="V55" s="12">
        <v>1</v>
      </c>
      <c r="W55" s="12">
        <v>7.9389909999999997</v>
      </c>
      <c r="X55" s="12">
        <v>15.6670094</v>
      </c>
      <c r="Y55" s="12">
        <v>13.179107</v>
      </c>
      <c r="Z55" s="12">
        <v>-1.2542074999999999</v>
      </c>
      <c r="AA55" s="12">
        <v>56.869197999999997</v>
      </c>
      <c r="AB55" s="12">
        <v>19.569924700000001</v>
      </c>
      <c r="AC55" s="12">
        <v>22.183392999999999</v>
      </c>
      <c r="AD55" s="12">
        <v>65.175910599999995</v>
      </c>
      <c r="AE55" s="12">
        <v>63.799498300000003</v>
      </c>
      <c r="AF55" s="12">
        <v>10.748398</v>
      </c>
      <c r="AG55" s="12">
        <v>37.737701399999999</v>
      </c>
    </row>
    <row r="56" spans="1:33" s="11" customFormat="1" hidden="1" outlineLevel="1" x14ac:dyDescent="0.3">
      <c r="A56" s="11" t="s">
        <v>62</v>
      </c>
      <c r="B56" s="12">
        <v>2.3931737000000002</v>
      </c>
      <c r="C56" s="12">
        <v>93.383333300000004</v>
      </c>
      <c r="D56" s="12">
        <v>2.4539203000000001</v>
      </c>
      <c r="E56" s="17">
        <v>1</v>
      </c>
      <c r="F56" s="13">
        <v>86.466666700000005</v>
      </c>
      <c r="G56" s="12">
        <v>3.8546400000000001E-2</v>
      </c>
      <c r="H56" s="12">
        <v>4.7714243999999999</v>
      </c>
      <c r="I56" s="12">
        <v>-3.4472040000000002</v>
      </c>
      <c r="J56" s="12">
        <v>2.5880288999999999</v>
      </c>
      <c r="K56" s="12">
        <v>0.72408609999999995</v>
      </c>
      <c r="L56" s="12">
        <v>-6.2542299999999995E-2</v>
      </c>
      <c r="M56" s="12">
        <v>3.2769936</v>
      </c>
      <c r="N56" s="12">
        <v>9.1518125999999995</v>
      </c>
      <c r="O56" s="12">
        <v>7.1212477999999999</v>
      </c>
      <c r="P56" s="7">
        <v>963.4</v>
      </c>
      <c r="Q56" s="7">
        <v>80.7</v>
      </c>
      <c r="R56" s="7">
        <v>7.8</v>
      </c>
      <c r="S56" s="12">
        <v>3.3178383999999999</v>
      </c>
      <c r="T56" s="12">
        <v>1</v>
      </c>
      <c r="U56" s="12">
        <v>94.296666700000003</v>
      </c>
      <c r="V56" s="12">
        <v>1</v>
      </c>
      <c r="W56" s="12">
        <v>8.2116787999999996</v>
      </c>
      <c r="X56" s="12">
        <v>13.330618599999999</v>
      </c>
      <c r="Y56" s="12">
        <v>16.387499800000001</v>
      </c>
      <c r="Z56" s="12">
        <v>-1.1190549999999999</v>
      </c>
      <c r="AA56" s="12">
        <v>56.616252000000003</v>
      </c>
      <c r="AB56" s="12">
        <v>20.5288714</v>
      </c>
      <c r="AC56" s="12">
        <v>24.229041800000001</v>
      </c>
      <c r="AD56" s="12">
        <v>65.689815999999993</v>
      </c>
      <c r="AE56" s="12">
        <v>67.063981200000001</v>
      </c>
      <c r="AF56" s="12">
        <v>10.280705899999999</v>
      </c>
      <c r="AG56" s="12">
        <v>38.2692725</v>
      </c>
    </row>
    <row r="57" spans="1:33" s="11" customFormat="1" hidden="1" outlineLevel="1" x14ac:dyDescent="0.3">
      <c r="A57" s="11" t="s">
        <v>63</v>
      </c>
      <c r="B57" s="12">
        <v>3.2110127999999998</v>
      </c>
      <c r="C57" s="12">
        <v>94.073333300000002</v>
      </c>
      <c r="D57" s="12">
        <v>2.9061075000000001</v>
      </c>
      <c r="E57" s="17">
        <v>1</v>
      </c>
      <c r="F57" s="13">
        <v>104.96</v>
      </c>
      <c r="G57" s="12">
        <v>8.9041733000000001</v>
      </c>
      <c r="H57" s="12">
        <v>4.8657718000000001</v>
      </c>
      <c r="I57" s="12">
        <v>-9.2391737000000003</v>
      </c>
      <c r="J57" s="12">
        <v>3.7209717000000002</v>
      </c>
      <c r="K57" s="12">
        <v>0.92361249999999995</v>
      </c>
      <c r="L57" s="12">
        <v>-0.18012120000000001</v>
      </c>
      <c r="M57" s="12">
        <v>10.878158600000001</v>
      </c>
      <c r="N57" s="12">
        <v>11.240200099999999</v>
      </c>
      <c r="O57" s="12">
        <v>10.368119500000001</v>
      </c>
      <c r="P57" s="7">
        <v>928.4</v>
      </c>
      <c r="Q57" s="7">
        <v>85.9</v>
      </c>
      <c r="R57" s="7">
        <v>8.5</v>
      </c>
      <c r="S57" s="12">
        <v>3.0846350999999999</v>
      </c>
      <c r="T57" s="12">
        <v>1</v>
      </c>
      <c r="U57" s="12">
        <v>94.513333299999999</v>
      </c>
      <c r="V57" s="12">
        <v>1</v>
      </c>
      <c r="W57" s="12">
        <v>7.6457229</v>
      </c>
      <c r="X57" s="12">
        <v>17.857346400000001</v>
      </c>
      <c r="Y57" s="12">
        <v>20.521643900000001</v>
      </c>
      <c r="Z57" s="12">
        <v>-0.2128265</v>
      </c>
      <c r="AA57" s="12">
        <v>54.224093799999999</v>
      </c>
      <c r="AB57" s="12">
        <v>20.763671500000001</v>
      </c>
      <c r="AC57" s="12">
        <v>23.908268400000001</v>
      </c>
      <c r="AD57" s="12">
        <v>70.673191799999998</v>
      </c>
      <c r="AE57" s="12">
        <v>69.568087399999996</v>
      </c>
      <c r="AF57" s="12">
        <v>7.8331401999999999</v>
      </c>
      <c r="AG57" s="12">
        <v>45.237272900000001</v>
      </c>
    </row>
    <row r="58" spans="1:33" s="11" customFormat="1" hidden="1" outlineLevel="1" x14ac:dyDescent="0.3">
      <c r="A58" s="11" t="s">
        <v>64</v>
      </c>
      <c r="B58" s="12">
        <v>2.1036085</v>
      </c>
      <c r="C58" s="12">
        <v>95.516666700000002</v>
      </c>
      <c r="D58" s="12">
        <v>3.1831767000000002</v>
      </c>
      <c r="E58" s="17">
        <v>1.25</v>
      </c>
      <c r="F58" s="13">
        <v>117.36</v>
      </c>
      <c r="G58" s="12">
        <v>2.7076190000000002</v>
      </c>
      <c r="H58" s="12">
        <v>2.3280268</v>
      </c>
      <c r="I58" s="12">
        <v>-7.6160777</v>
      </c>
      <c r="J58" s="12">
        <v>0.59052280000000001</v>
      </c>
      <c r="K58" s="12">
        <v>-0.9480442</v>
      </c>
      <c r="L58" s="12">
        <v>-0.4789272</v>
      </c>
      <c r="M58" s="12">
        <v>-0.17330229999999999</v>
      </c>
      <c r="N58" s="12">
        <v>8.8127735000000005</v>
      </c>
      <c r="O58" s="12">
        <v>7.1427364999999998</v>
      </c>
      <c r="P58" s="7">
        <v>937.9</v>
      </c>
      <c r="Q58" s="7">
        <v>78</v>
      </c>
      <c r="R58" s="7">
        <v>7.7</v>
      </c>
      <c r="S58" s="12">
        <v>2.0482916000000002</v>
      </c>
      <c r="T58" s="12">
        <v>1.25</v>
      </c>
      <c r="U58" s="12">
        <v>96.4033333</v>
      </c>
      <c r="V58" s="12">
        <v>1</v>
      </c>
      <c r="W58" s="12">
        <v>2.7503525999999998</v>
      </c>
      <c r="X58" s="12">
        <v>12.9085938</v>
      </c>
      <c r="Y58" s="12">
        <v>14.049065799999999</v>
      </c>
      <c r="Z58" s="12">
        <v>-4.2904499999999998E-2</v>
      </c>
      <c r="AA58" s="12">
        <v>55.3510323</v>
      </c>
      <c r="AB58" s="12">
        <v>20.5387135</v>
      </c>
      <c r="AC58" s="12">
        <v>21.856196600000001</v>
      </c>
      <c r="AD58" s="12">
        <v>69.630916400000004</v>
      </c>
      <c r="AE58" s="12">
        <v>67.376858799999994</v>
      </c>
      <c r="AF58" s="12">
        <v>5.7954800000000004</v>
      </c>
      <c r="AG58" s="12">
        <v>43.854597900000002</v>
      </c>
    </row>
    <row r="59" spans="1:33" s="11" customFormat="1" hidden="1" outlineLevel="1" x14ac:dyDescent="0.3">
      <c r="A59" s="11" t="s">
        <v>65</v>
      </c>
      <c r="B59" s="12">
        <v>1.8176159000000001</v>
      </c>
      <c r="C59" s="12">
        <v>95.433333300000001</v>
      </c>
      <c r="D59" s="12">
        <v>3.0783078000000001</v>
      </c>
      <c r="E59" s="17">
        <v>1.5</v>
      </c>
      <c r="F59" s="13">
        <v>113.34</v>
      </c>
      <c r="G59" s="12">
        <v>1.0583543</v>
      </c>
      <c r="H59" s="12">
        <v>-0.57665880000000003</v>
      </c>
      <c r="I59" s="12">
        <v>-5.1344899000000002</v>
      </c>
      <c r="J59" s="12">
        <v>0.25037759999999998</v>
      </c>
      <c r="K59" s="12">
        <v>3.5496083</v>
      </c>
      <c r="L59" s="12">
        <v>-0.16113440000000001</v>
      </c>
      <c r="M59" s="12">
        <v>-4.3864494000000001</v>
      </c>
      <c r="N59" s="12">
        <v>4.4485089000000002</v>
      </c>
      <c r="O59" s="12">
        <v>5.6041714999999996</v>
      </c>
      <c r="P59" s="7">
        <v>944.6</v>
      </c>
      <c r="Q59" s="7">
        <v>80.2</v>
      </c>
      <c r="R59" s="7">
        <v>7.9</v>
      </c>
      <c r="S59" s="12">
        <v>1.7449315000000001</v>
      </c>
      <c r="T59" s="12">
        <v>1.5</v>
      </c>
      <c r="U59" s="12">
        <v>95.583333300000007</v>
      </c>
      <c r="V59" s="12">
        <v>1</v>
      </c>
      <c r="W59" s="12">
        <v>-0.76086960000000003</v>
      </c>
      <c r="X59" s="12">
        <v>9.0228163000000006</v>
      </c>
      <c r="Y59" s="12">
        <v>10.3379186</v>
      </c>
      <c r="Z59" s="12">
        <v>-2.1391054999999999</v>
      </c>
      <c r="AA59" s="12">
        <v>58.339434400000002</v>
      </c>
      <c r="AB59" s="12">
        <v>19.877977600000001</v>
      </c>
      <c r="AC59" s="12">
        <v>21.0430262</v>
      </c>
      <c r="AD59" s="12">
        <v>70.309300199999996</v>
      </c>
      <c r="AE59" s="12">
        <v>69.569738400000006</v>
      </c>
      <c r="AF59" s="12">
        <v>3.6681222999999998</v>
      </c>
      <c r="AG59" s="12">
        <v>43.878883700000003</v>
      </c>
    </row>
    <row r="60" spans="1:33" s="11" customFormat="1" hidden="1" outlineLevel="1" x14ac:dyDescent="0.3">
      <c r="A60" s="11" t="s">
        <v>66</v>
      </c>
      <c r="B60" s="12">
        <v>0.47384009999999999</v>
      </c>
      <c r="C60" s="12">
        <v>96.41</v>
      </c>
      <c r="D60" s="12">
        <v>3.2411208999999999</v>
      </c>
      <c r="E60" s="17">
        <v>1.25</v>
      </c>
      <c r="F60" s="13">
        <v>109.3966667</v>
      </c>
      <c r="G60" s="12">
        <v>0.86695920000000004</v>
      </c>
      <c r="H60" s="12">
        <v>-1.6345202999999999</v>
      </c>
      <c r="I60" s="12">
        <v>-4.6623760000000001</v>
      </c>
      <c r="J60" s="12">
        <v>-0.90031620000000001</v>
      </c>
      <c r="K60" s="12">
        <v>-0.18248510000000001</v>
      </c>
      <c r="L60" s="12">
        <v>0.35462840000000001</v>
      </c>
      <c r="M60" s="12">
        <v>-15.5473341</v>
      </c>
      <c r="N60" s="12">
        <v>3.5043153</v>
      </c>
      <c r="O60" s="12">
        <v>-0.99474390000000001</v>
      </c>
      <c r="P60" s="7">
        <v>933.5</v>
      </c>
      <c r="Q60" s="7">
        <v>89</v>
      </c>
      <c r="R60" s="7">
        <v>8.6999999999999993</v>
      </c>
      <c r="S60" s="12">
        <v>1.1173915999999999</v>
      </c>
      <c r="T60" s="12">
        <v>1</v>
      </c>
      <c r="U60" s="12">
        <v>96.733333299999998</v>
      </c>
      <c r="V60" s="12">
        <v>1</v>
      </c>
      <c r="W60" s="12">
        <v>-3.8111297999999998</v>
      </c>
      <c r="X60" s="12">
        <v>6.7795779999999999</v>
      </c>
      <c r="Y60" s="12">
        <v>5.0937609999999998</v>
      </c>
      <c r="Z60" s="12">
        <v>-0.92020579999999996</v>
      </c>
      <c r="AA60" s="12">
        <v>58.089200699999999</v>
      </c>
      <c r="AB60" s="12">
        <v>21.093699600000001</v>
      </c>
      <c r="AC60" s="12">
        <v>20.078782499999999</v>
      </c>
      <c r="AD60" s="12">
        <v>70.415653199999994</v>
      </c>
      <c r="AE60" s="12">
        <v>69.677335999999997</v>
      </c>
      <c r="AF60" s="12">
        <v>1.8365374000000001</v>
      </c>
      <c r="AG60" s="12">
        <v>46.457772300000002</v>
      </c>
    </row>
    <row r="61" spans="1:33" s="11" customFormat="1" hidden="1" outlineLevel="1" x14ac:dyDescent="0.3">
      <c r="A61" s="11" t="s">
        <v>67</v>
      </c>
      <c r="B61" s="12">
        <v>3.7986600000000002E-2</v>
      </c>
      <c r="C61" s="12">
        <v>96.803333300000006</v>
      </c>
      <c r="D61" s="12">
        <v>2.9019914</v>
      </c>
      <c r="E61" s="17">
        <v>1</v>
      </c>
      <c r="F61" s="13">
        <v>118.49</v>
      </c>
      <c r="G61" s="12">
        <v>-6.1385167000000003</v>
      </c>
      <c r="H61" s="12">
        <v>2.7303226</v>
      </c>
      <c r="I61" s="12">
        <v>-4.7656480999999999</v>
      </c>
      <c r="J61" s="12">
        <v>-0.73126139999999995</v>
      </c>
      <c r="K61" s="12">
        <v>3.0113025000000002</v>
      </c>
      <c r="L61" s="12">
        <v>-1.5419948000000001</v>
      </c>
      <c r="M61" s="12">
        <v>-13.344465</v>
      </c>
      <c r="N61" s="12">
        <v>1.2118313000000001</v>
      </c>
      <c r="O61" s="12">
        <v>-0.51083869999999998</v>
      </c>
      <c r="P61" s="7">
        <v>926.9</v>
      </c>
      <c r="Q61" s="7">
        <v>86.7</v>
      </c>
      <c r="R61" s="7">
        <v>8.6</v>
      </c>
      <c r="S61" s="12">
        <v>1.6258775999999999</v>
      </c>
      <c r="T61" s="12">
        <v>1</v>
      </c>
      <c r="U61" s="12">
        <v>96.88</v>
      </c>
      <c r="V61" s="12">
        <v>1</v>
      </c>
      <c r="W61" s="12">
        <v>-0.17580879999999999</v>
      </c>
      <c r="X61" s="12">
        <v>2.9623183000000002</v>
      </c>
      <c r="Y61" s="12">
        <v>1.8364102</v>
      </c>
      <c r="Z61" s="12">
        <v>-1.0880215</v>
      </c>
      <c r="AA61" s="12">
        <v>56.403946500000004</v>
      </c>
      <c r="AB61" s="12">
        <v>20.617722799999999</v>
      </c>
      <c r="AC61" s="12">
        <v>21.154328199999998</v>
      </c>
      <c r="AD61" s="12">
        <v>72.847312400000007</v>
      </c>
      <c r="AE61" s="12">
        <v>71.022170599999995</v>
      </c>
      <c r="AF61" s="12">
        <v>1.4399312</v>
      </c>
      <c r="AG61" s="12">
        <v>47.698278500000001</v>
      </c>
    </row>
    <row r="62" spans="1:33" s="11" customFormat="1" hidden="1" outlineLevel="1" x14ac:dyDescent="0.3">
      <c r="A62" s="11" t="s">
        <v>68</v>
      </c>
      <c r="B62" s="12">
        <v>-0.91019320000000004</v>
      </c>
      <c r="C62" s="12">
        <v>97.993333300000003</v>
      </c>
      <c r="D62" s="12">
        <v>2.5929156999999998</v>
      </c>
      <c r="E62" s="17">
        <v>1</v>
      </c>
      <c r="F62" s="13">
        <v>108.41666669999999</v>
      </c>
      <c r="G62" s="12">
        <v>-8.8695722999999997</v>
      </c>
      <c r="H62" s="12">
        <v>-1.4290835</v>
      </c>
      <c r="I62" s="12">
        <v>-3.7983701000000001</v>
      </c>
      <c r="J62" s="12">
        <v>-3.2942643999999999</v>
      </c>
      <c r="K62" s="12">
        <v>-2.8185997</v>
      </c>
      <c r="L62" s="12">
        <v>-1.7538231</v>
      </c>
      <c r="M62" s="12">
        <v>-18.6120883</v>
      </c>
      <c r="N62" s="12">
        <v>-0.1470368</v>
      </c>
      <c r="O62" s="12">
        <v>-4.2383438</v>
      </c>
      <c r="P62" s="7">
        <v>920.2</v>
      </c>
      <c r="Q62" s="7">
        <v>81.8</v>
      </c>
      <c r="R62" s="7">
        <v>8.1999999999999993</v>
      </c>
      <c r="S62" s="12">
        <v>0.33581430000000001</v>
      </c>
      <c r="T62" s="12">
        <v>1</v>
      </c>
      <c r="U62" s="12">
        <v>98.86</v>
      </c>
      <c r="V62" s="12">
        <v>1</v>
      </c>
      <c r="W62" s="12">
        <v>-1.5785861000000001</v>
      </c>
      <c r="X62" s="12">
        <v>0.69481000000000004</v>
      </c>
      <c r="Y62" s="12">
        <v>-1.3818516999999999</v>
      </c>
      <c r="Z62" s="12">
        <v>0.93367149999999999</v>
      </c>
      <c r="AA62" s="12">
        <v>56.336553500000001</v>
      </c>
      <c r="AB62" s="12">
        <v>20.523503699999999</v>
      </c>
      <c r="AC62" s="12">
        <v>18.722003300000001</v>
      </c>
      <c r="AD62" s="12">
        <v>72.316908600000005</v>
      </c>
      <c r="AE62" s="12">
        <v>67.897889800000002</v>
      </c>
      <c r="AF62" s="12">
        <v>-0.69796950000000002</v>
      </c>
      <c r="AG62" s="12">
        <v>48.544822099999998</v>
      </c>
    </row>
    <row r="63" spans="1:33" s="11" customFormat="1" hidden="1" outlineLevel="1" x14ac:dyDescent="0.3">
      <c r="A63" s="11" t="s">
        <v>69</v>
      </c>
      <c r="B63" s="12">
        <v>-1.0352741000000001</v>
      </c>
      <c r="C63" s="12">
        <v>97.9566667</v>
      </c>
      <c r="D63" s="12">
        <v>2.6440796999999998</v>
      </c>
      <c r="E63" s="17">
        <v>0.75</v>
      </c>
      <c r="F63" s="13">
        <v>109.61333329999999</v>
      </c>
      <c r="G63" s="12">
        <v>-0.61733839999999995</v>
      </c>
      <c r="H63" s="12">
        <v>1.5795839</v>
      </c>
      <c r="I63" s="12">
        <v>-4.2555271000000001</v>
      </c>
      <c r="J63" s="12">
        <v>-2.3499422000000001</v>
      </c>
      <c r="K63" s="12">
        <v>-5.5853181999999997</v>
      </c>
      <c r="L63" s="12">
        <v>-3.0395954000000001</v>
      </c>
      <c r="M63" s="12">
        <v>-16.001540500000001</v>
      </c>
      <c r="N63" s="12">
        <v>0.3228164</v>
      </c>
      <c r="O63" s="12">
        <v>-6.7241942999999997</v>
      </c>
      <c r="P63" s="7">
        <v>925.2</v>
      </c>
      <c r="Q63" s="7">
        <v>93</v>
      </c>
      <c r="R63" s="7">
        <v>9.1999999999999993</v>
      </c>
      <c r="S63" s="12">
        <v>-0.68812099999999998</v>
      </c>
      <c r="T63" s="12">
        <v>0.75</v>
      </c>
      <c r="U63" s="12">
        <v>98.586666699999995</v>
      </c>
      <c r="V63" s="12">
        <v>1</v>
      </c>
      <c r="W63" s="12">
        <v>-0.43811610000000001</v>
      </c>
      <c r="X63" s="12">
        <v>1.0146919000000001</v>
      </c>
      <c r="Y63" s="12">
        <v>-4.3321684999999999</v>
      </c>
      <c r="Z63" s="12">
        <v>1.4898145</v>
      </c>
      <c r="AA63" s="12">
        <v>57.768318600000001</v>
      </c>
      <c r="AB63" s="12">
        <v>19.527211900000001</v>
      </c>
      <c r="AC63" s="12">
        <v>18.483690200000002</v>
      </c>
      <c r="AD63" s="12">
        <v>72.689267299999997</v>
      </c>
      <c r="AE63" s="12">
        <v>68.468487999999994</v>
      </c>
      <c r="AF63" s="12">
        <v>-1.3689975000000001</v>
      </c>
      <c r="AG63" s="12">
        <v>48.231747200000001</v>
      </c>
    </row>
    <row r="64" spans="1:33" s="11" customFormat="1" hidden="1" outlineLevel="1" x14ac:dyDescent="0.3">
      <c r="A64" s="11" t="s">
        <v>70</v>
      </c>
      <c r="B64" s="12">
        <v>-0.98067590000000004</v>
      </c>
      <c r="C64" s="12">
        <v>98.773333300000004</v>
      </c>
      <c r="D64" s="12">
        <v>2.4513362999999999</v>
      </c>
      <c r="E64" s="17">
        <v>0.75</v>
      </c>
      <c r="F64" s="13">
        <v>110.08666669999999</v>
      </c>
      <c r="G64" s="12">
        <v>-4.2996603999999996</v>
      </c>
      <c r="H64" s="12">
        <v>-1.2994296999999999</v>
      </c>
      <c r="I64" s="12">
        <v>-3.1792935</v>
      </c>
      <c r="J64" s="12">
        <v>-4.1100589000000003</v>
      </c>
      <c r="K64" s="12">
        <v>-2.5169891999999998</v>
      </c>
      <c r="L64" s="12">
        <v>-3.0400665</v>
      </c>
      <c r="M64" s="12">
        <v>-20.811214799999998</v>
      </c>
      <c r="N64" s="12">
        <v>0.63719510000000001</v>
      </c>
      <c r="O64" s="12">
        <v>-2.4738118</v>
      </c>
      <c r="P64" s="7">
        <v>922.3</v>
      </c>
      <c r="Q64" s="7">
        <v>96.9</v>
      </c>
      <c r="R64" s="7">
        <v>9.5</v>
      </c>
      <c r="S64" s="12">
        <v>-0.97676289999999999</v>
      </c>
      <c r="T64" s="12">
        <v>0.75</v>
      </c>
      <c r="U64" s="12">
        <v>99.673333299999996</v>
      </c>
      <c r="V64" s="12">
        <v>1</v>
      </c>
      <c r="W64" s="12">
        <v>-2.2440392999999998</v>
      </c>
      <c r="X64" s="12">
        <v>1.4622432000000001</v>
      </c>
      <c r="Y64" s="12">
        <v>-4.2632418999999997</v>
      </c>
      <c r="Z64" s="12">
        <v>3.7936014</v>
      </c>
      <c r="AA64" s="12">
        <v>59.439013500000001</v>
      </c>
      <c r="AB64" s="12">
        <v>20.774272400000001</v>
      </c>
      <c r="AC64" s="12">
        <v>16.7440569</v>
      </c>
      <c r="AD64" s="12">
        <v>73.734725600000004</v>
      </c>
      <c r="AE64" s="12">
        <v>70.692068399999997</v>
      </c>
      <c r="AF64" s="12">
        <v>-1.9299725999999999</v>
      </c>
      <c r="AG64" s="12">
        <v>53.561193099999997</v>
      </c>
    </row>
    <row r="65" spans="1:33" s="11" customFormat="1" hidden="1" outlineLevel="1" x14ac:dyDescent="0.3">
      <c r="A65" s="11" t="s">
        <v>71</v>
      </c>
      <c r="B65" s="12">
        <v>-1.6415721999999999</v>
      </c>
      <c r="C65" s="12">
        <v>98.726666699999996</v>
      </c>
      <c r="D65" s="12">
        <v>1.9868463000000001</v>
      </c>
      <c r="E65" s="17">
        <v>0.75</v>
      </c>
      <c r="F65" s="13">
        <v>112.4933333</v>
      </c>
      <c r="G65" s="12">
        <v>7.6993020999999997</v>
      </c>
      <c r="H65" s="12">
        <v>-4.8909767000000004</v>
      </c>
      <c r="I65" s="12">
        <v>-11.239975899999999</v>
      </c>
      <c r="J65" s="12">
        <v>-4.5033041000000003</v>
      </c>
      <c r="K65" s="12">
        <v>-6.6029745000000002</v>
      </c>
      <c r="L65" s="12">
        <v>-2.3103410000000002</v>
      </c>
      <c r="M65" s="12">
        <v>-12.0456202</v>
      </c>
      <c r="N65" s="12">
        <v>1.6226860999999999</v>
      </c>
      <c r="O65" s="12">
        <v>-1.5087105000000001</v>
      </c>
      <c r="P65" s="7">
        <v>887.8</v>
      </c>
      <c r="Q65" s="7">
        <v>110.7</v>
      </c>
      <c r="R65" s="7">
        <v>11.1</v>
      </c>
      <c r="S65" s="12">
        <v>-0.9990713</v>
      </c>
      <c r="T65" s="12">
        <v>0.75</v>
      </c>
      <c r="U65" s="12">
        <v>99.46</v>
      </c>
      <c r="V65" s="12">
        <v>1</v>
      </c>
      <c r="W65" s="12">
        <v>-2.6065515000000001</v>
      </c>
      <c r="X65" s="12">
        <v>1.1771335999999999</v>
      </c>
      <c r="Y65" s="12">
        <v>-5.4767897999999997</v>
      </c>
      <c r="Z65" s="12">
        <v>4.0403444000000004</v>
      </c>
      <c r="AA65" s="12">
        <v>55.871549899999998</v>
      </c>
      <c r="AB65" s="12">
        <v>20.6906733</v>
      </c>
      <c r="AC65" s="12">
        <v>19.4529414</v>
      </c>
      <c r="AD65" s="12">
        <v>76.393334199999998</v>
      </c>
      <c r="AE65" s="12">
        <v>72.407317699999993</v>
      </c>
      <c r="AF65" s="12">
        <v>-2.6483051</v>
      </c>
      <c r="AG65" s="12">
        <v>53.010207299999998</v>
      </c>
    </row>
    <row r="66" spans="1:33" s="11" customFormat="1" hidden="1" outlineLevel="1" x14ac:dyDescent="0.3">
      <c r="A66" s="11" t="s">
        <v>72</v>
      </c>
      <c r="B66" s="12">
        <v>-0.1331087</v>
      </c>
      <c r="C66" s="12">
        <v>99.533333299999995</v>
      </c>
      <c r="D66" s="12">
        <v>1.5715355</v>
      </c>
      <c r="E66" s="17">
        <v>0.58333330000000005</v>
      </c>
      <c r="F66" s="13">
        <v>102.5766667</v>
      </c>
      <c r="G66" s="12">
        <v>2.9240941999999999</v>
      </c>
      <c r="H66" s="12">
        <v>-0.91400590000000004</v>
      </c>
      <c r="I66" s="12">
        <v>-5.5846441000000002</v>
      </c>
      <c r="J66" s="12">
        <v>-0.99307279999999998</v>
      </c>
      <c r="K66" s="12">
        <v>-3.7882899999999999</v>
      </c>
      <c r="L66" s="12">
        <v>-1.8558832999999999</v>
      </c>
      <c r="M66" s="12">
        <v>5.1361211999999998</v>
      </c>
      <c r="N66" s="12">
        <v>2.4807668999999999</v>
      </c>
      <c r="O66" s="12">
        <v>1.9149392000000001</v>
      </c>
      <c r="P66" s="7">
        <v>903.7</v>
      </c>
      <c r="Q66" s="7">
        <v>104.2</v>
      </c>
      <c r="R66" s="7">
        <v>10.4</v>
      </c>
      <c r="S66" s="12">
        <v>-0.45057009999999997</v>
      </c>
      <c r="T66" s="12">
        <v>0.5</v>
      </c>
      <c r="U66" s="12">
        <v>100.64</v>
      </c>
      <c r="V66" s="12">
        <v>1</v>
      </c>
      <c r="W66" s="12">
        <v>-1.6736401999999999</v>
      </c>
      <c r="X66" s="12">
        <v>2.4195354999999998</v>
      </c>
      <c r="Y66" s="12">
        <v>-3.4407597999999999</v>
      </c>
      <c r="Z66" s="12">
        <v>4.0975516000000001</v>
      </c>
      <c r="AA66" s="12">
        <v>54.92586</v>
      </c>
      <c r="AB66" s="12">
        <v>19.6723246</v>
      </c>
      <c r="AC66" s="12">
        <v>19.687345799999999</v>
      </c>
      <c r="AD66" s="12">
        <v>73.657217700000004</v>
      </c>
      <c r="AE66" s="12">
        <v>67.942747999999995</v>
      </c>
      <c r="AF66" s="12">
        <v>-2.7582534999999999</v>
      </c>
      <c r="AG66" s="12">
        <v>60.542103400000002</v>
      </c>
    </row>
    <row r="67" spans="1:33" s="11" customFormat="1" hidden="1" outlineLevel="1" x14ac:dyDescent="0.3">
      <c r="A67" s="11" t="s">
        <v>73</v>
      </c>
      <c r="B67" s="12">
        <v>0.53477319999999995</v>
      </c>
      <c r="C67" s="12">
        <v>99.423333299999996</v>
      </c>
      <c r="D67" s="12">
        <v>1.4972605999999999</v>
      </c>
      <c r="E67" s="17">
        <v>0.5</v>
      </c>
      <c r="F67" s="13">
        <v>110.27</v>
      </c>
      <c r="G67" s="12">
        <v>1.2068506999999999</v>
      </c>
      <c r="H67" s="12">
        <v>4.7962679000000001</v>
      </c>
      <c r="I67" s="12">
        <v>-2.6623738000000001</v>
      </c>
      <c r="J67" s="12">
        <v>-1.2122301</v>
      </c>
      <c r="K67" s="12">
        <v>-4.4914312000000001</v>
      </c>
      <c r="L67" s="12">
        <v>-2.1472563</v>
      </c>
      <c r="M67" s="12">
        <v>5.2495845000000001</v>
      </c>
      <c r="N67" s="12">
        <v>4.0586485000000003</v>
      </c>
      <c r="O67" s="12">
        <v>3.2462761000000002</v>
      </c>
      <c r="P67" s="7">
        <v>922.3</v>
      </c>
      <c r="Q67" s="7">
        <v>95.5</v>
      </c>
      <c r="R67" s="7">
        <v>9.4</v>
      </c>
      <c r="S67" s="12">
        <v>0.27066669999999998</v>
      </c>
      <c r="T67" s="12">
        <v>0.5</v>
      </c>
      <c r="U67" s="12">
        <v>100.74</v>
      </c>
      <c r="V67" s="12">
        <v>1</v>
      </c>
      <c r="W67" s="12">
        <v>-1.0267693</v>
      </c>
      <c r="X67" s="12">
        <v>3.2332321999999998</v>
      </c>
      <c r="Y67" s="12">
        <v>-0.35729100000000003</v>
      </c>
      <c r="Z67" s="12">
        <v>2.7629214000000002</v>
      </c>
      <c r="AA67" s="12">
        <v>55.794326499999997</v>
      </c>
      <c r="AB67" s="12">
        <v>18.805622100000001</v>
      </c>
      <c r="AC67" s="12">
        <v>19.200325200000002</v>
      </c>
      <c r="AD67" s="12">
        <v>73.929274300000003</v>
      </c>
      <c r="AE67" s="12">
        <v>67.730617800000005</v>
      </c>
      <c r="AF67" s="12">
        <v>-3.0215673999999999</v>
      </c>
      <c r="AG67" s="12">
        <v>60.6787128</v>
      </c>
    </row>
    <row r="68" spans="1:33" s="11" customFormat="1" hidden="1" outlineLevel="1" x14ac:dyDescent="0.3">
      <c r="A68" s="11" t="s">
        <v>74</v>
      </c>
      <c r="B68" s="12">
        <v>0.83200640000000003</v>
      </c>
      <c r="C68" s="12">
        <v>99.72</v>
      </c>
      <c r="D68" s="12">
        <v>0.95842340000000004</v>
      </c>
      <c r="E68" s="17">
        <v>0.3333333</v>
      </c>
      <c r="F68" s="13">
        <v>109.21</v>
      </c>
      <c r="G68" s="12">
        <v>78.797622700000005</v>
      </c>
      <c r="H68" s="12">
        <v>5.8249668000000003</v>
      </c>
      <c r="I68" s="12">
        <v>-38.563901100000002</v>
      </c>
      <c r="J68" s="12">
        <v>2.5973180999999999</v>
      </c>
      <c r="K68" s="12">
        <v>-1.3184564999999999</v>
      </c>
      <c r="L68" s="12">
        <v>-1.5221353</v>
      </c>
      <c r="M68" s="12">
        <v>24.1522942</v>
      </c>
      <c r="N68" s="12">
        <v>4.0367778000000003</v>
      </c>
      <c r="O68" s="12">
        <v>4.7302567</v>
      </c>
      <c r="P68" s="7">
        <v>909.6</v>
      </c>
      <c r="Q68" s="7">
        <v>96.9</v>
      </c>
      <c r="R68" s="7">
        <v>9.6999999999999993</v>
      </c>
      <c r="S68" s="12">
        <v>0.55185930000000005</v>
      </c>
      <c r="T68" s="12">
        <v>0.25</v>
      </c>
      <c r="U68" s="12">
        <v>100.7633333</v>
      </c>
      <c r="V68" s="12">
        <v>1</v>
      </c>
      <c r="W68" s="12">
        <v>1.5781923</v>
      </c>
      <c r="X68" s="12">
        <v>2.4044622000000002</v>
      </c>
      <c r="Y68" s="12">
        <v>3.2147960000000002</v>
      </c>
      <c r="Z68" s="12">
        <v>2.3695309</v>
      </c>
      <c r="AA68" s="12">
        <v>57.771267299999998</v>
      </c>
      <c r="AB68" s="12">
        <v>19.4938991</v>
      </c>
      <c r="AC68" s="12">
        <v>19.995063500000001</v>
      </c>
      <c r="AD68" s="12">
        <v>73.086292599999993</v>
      </c>
      <c r="AE68" s="12">
        <v>70.347595600000005</v>
      </c>
      <c r="AF68" s="12">
        <v>-3.7745994</v>
      </c>
      <c r="AG68" s="12">
        <v>70.005733199999995</v>
      </c>
    </row>
    <row r="69" spans="1:33" s="11" customFormat="1" hidden="1" outlineLevel="1" x14ac:dyDescent="0.3">
      <c r="A69" s="11" t="s">
        <v>75</v>
      </c>
      <c r="B69" s="12">
        <v>1.8456245</v>
      </c>
      <c r="C69" s="12">
        <v>99.49</v>
      </c>
      <c r="D69" s="12">
        <v>0.77317840000000004</v>
      </c>
      <c r="E69" s="17">
        <v>0.25</v>
      </c>
      <c r="F69" s="13">
        <v>108.16666669999999</v>
      </c>
      <c r="G69" s="12">
        <v>-7.0665709999999997</v>
      </c>
      <c r="H69" s="12">
        <v>2.3797575000000002</v>
      </c>
      <c r="I69" s="12">
        <v>-5.9961755999999999</v>
      </c>
      <c r="J69" s="12">
        <v>2.5308271000000002</v>
      </c>
      <c r="K69" s="12">
        <v>2.7481914000000001</v>
      </c>
      <c r="L69" s="12">
        <v>-0.99488350000000003</v>
      </c>
      <c r="M69" s="12">
        <v>6.9453490000000002</v>
      </c>
      <c r="N69" s="12">
        <v>4.3686536</v>
      </c>
      <c r="O69" s="12">
        <v>4.8138117999999999</v>
      </c>
      <c r="P69" s="7">
        <v>896.7</v>
      </c>
      <c r="Q69" s="7">
        <v>108</v>
      </c>
      <c r="R69" s="7">
        <v>10.8</v>
      </c>
      <c r="S69" s="12">
        <v>0.88848669999999996</v>
      </c>
      <c r="T69" s="12">
        <v>0.25</v>
      </c>
      <c r="U69" s="12">
        <v>100.0233333</v>
      </c>
      <c r="V69" s="12">
        <v>1</v>
      </c>
      <c r="W69" s="12">
        <v>0.75949370000000005</v>
      </c>
      <c r="X69" s="12">
        <v>3.7935515999999998</v>
      </c>
      <c r="Y69" s="12">
        <v>3.8593771000000001</v>
      </c>
      <c r="Z69" s="12">
        <v>4.9706337999999999</v>
      </c>
      <c r="AA69" s="12">
        <v>55.367874700000002</v>
      </c>
      <c r="AB69" s="12">
        <v>19.684483700000001</v>
      </c>
      <c r="AC69" s="12">
        <v>20.031642699999999</v>
      </c>
      <c r="AD69" s="12">
        <v>76.651566200000005</v>
      </c>
      <c r="AE69" s="12">
        <v>71.7355673</v>
      </c>
      <c r="AF69" s="12">
        <v>-3.3297061999999999</v>
      </c>
      <c r="AG69" s="12">
        <v>74.8737189</v>
      </c>
    </row>
    <row r="70" spans="1:33" s="11" customFormat="1" hidden="1" outlineLevel="1" x14ac:dyDescent="0.3">
      <c r="A70" s="11" t="s">
        <v>76</v>
      </c>
      <c r="B70" s="12">
        <v>1.1953549000000001</v>
      </c>
      <c r="C70" s="12">
        <v>100.22333329999999</v>
      </c>
      <c r="D70" s="12">
        <v>0.69323509999999999</v>
      </c>
      <c r="E70" s="17">
        <v>0.21666669999999999</v>
      </c>
      <c r="F70" s="13">
        <v>109.7</v>
      </c>
      <c r="G70" s="12">
        <v>1.2783504999999999</v>
      </c>
      <c r="H70" s="12">
        <v>4.0322975000000003</v>
      </c>
      <c r="I70" s="12">
        <v>-4.2922808999999997</v>
      </c>
      <c r="J70" s="12">
        <v>3.0272603</v>
      </c>
      <c r="K70" s="12">
        <v>1.5979527</v>
      </c>
      <c r="L70" s="12">
        <v>-0.28281479999999998</v>
      </c>
      <c r="M70" s="12">
        <v>5.65937</v>
      </c>
      <c r="N70" s="12">
        <v>4.4088969999999996</v>
      </c>
      <c r="O70" s="12">
        <v>3.1762956999999998</v>
      </c>
      <c r="P70" s="7">
        <v>930.2</v>
      </c>
      <c r="Q70" s="7">
        <v>94.7</v>
      </c>
      <c r="R70" s="7">
        <v>9.3000000000000007</v>
      </c>
      <c r="S70" s="12">
        <v>1.0732112</v>
      </c>
      <c r="T70" s="12">
        <v>0.15</v>
      </c>
      <c r="U70" s="12">
        <v>101.48</v>
      </c>
      <c r="V70" s="12">
        <v>1</v>
      </c>
      <c r="W70" s="12">
        <v>2.3049645999999999</v>
      </c>
      <c r="X70" s="12">
        <v>3.8468830000000001</v>
      </c>
      <c r="Y70" s="12">
        <v>3.9906481999999999</v>
      </c>
      <c r="Z70" s="12">
        <v>5.0076611</v>
      </c>
      <c r="AA70" s="12">
        <v>54.204281999999999</v>
      </c>
      <c r="AB70" s="12">
        <v>18.726188499999999</v>
      </c>
      <c r="AC70" s="12">
        <v>20.0492794</v>
      </c>
      <c r="AD70" s="12">
        <v>73.9026006</v>
      </c>
      <c r="AE70" s="12">
        <v>66.880279900000005</v>
      </c>
      <c r="AF70" s="12">
        <v>-3.1759938999999999</v>
      </c>
      <c r="AG70" s="12">
        <v>76.615215399999997</v>
      </c>
    </row>
    <row r="71" spans="1:33" s="11" customFormat="1" hidden="1" outlineLevel="1" x14ac:dyDescent="0.3">
      <c r="A71" s="11" t="s">
        <v>77</v>
      </c>
      <c r="B71" s="12">
        <v>1.5779679</v>
      </c>
      <c r="C71" s="12">
        <v>99.91</v>
      </c>
      <c r="D71" s="12">
        <v>0.48948940000000002</v>
      </c>
      <c r="E71" s="17">
        <v>0.1166667</v>
      </c>
      <c r="F71" s="13">
        <v>101.8233333</v>
      </c>
      <c r="G71" s="12">
        <v>1.5344146999999999</v>
      </c>
      <c r="H71" s="12">
        <v>1.2798219</v>
      </c>
      <c r="I71" s="12">
        <v>-2.7219521000000002</v>
      </c>
      <c r="J71" s="12">
        <v>3.5219103</v>
      </c>
      <c r="K71" s="12">
        <v>1.1982417999999999</v>
      </c>
      <c r="L71" s="12">
        <v>-0.61805399999999999</v>
      </c>
      <c r="M71" s="12">
        <v>6.1203376</v>
      </c>
      <c r="N71" s="12">
        <v>7.1166020000000003</v>
      </c>
      <c r="O71" s="12">
        <v>5.1465356</v>
      </c>
      <c r="P71" s="7">
        <v>925.5</v>
      </c>
      <c r="Q71" s="7">
        <v>93.7</v>
      </c>
      <c r="R71" s="7">
        <v>9.3000000000000007</v>
      </c>
      <c r="S71" s="12">
        <v>1.3237504</v>
      </c>
      <c r="T71" s="12">
        <v>0.05</v>
      </c>
      <c r="U71" s="12">
        <v>100.80666669999999</v>
      </c>
      <c r="V71" s="12">
        <v>1</v>
      </c>
      <c r="W71" s="12">
        <v>3.1493145</v>
      </c>
      <c r="X71" s="12">
        <v>6.5506357</v>
      </c>
      <c r="Y71" s="12">
        <v>5.1672802999999998</v>
      </c>
      <c r="Z71" s="12">
        <v>5.4562907999999997</v>
      </c>
      <c r="AA71" s="12">
        <v>54.153118800000001</v>
      </c>
      <c r="AB71" s="12">
        <v>17.9399044</v>
      </c>
      <c r="AC71" s="12">
        <v>19.7277016</v>
      </c>
      <c r="AD71" s="12">
        <v>76.196079600000004</v>
      </c>
      <c r="AE71" s="12">
        <v>68.016804500000006</v>
      </c>
      <c r="AF71" s="12">
        <v>-2.6202795999999999</v>
      </c>
      <c r="AG71" s="12">
        <v>76.855687500000002</v>
      </c>
    </row>
    <row r="72" spans="1:33" s="11" customFormat="1" hidden="1" outlineLevel="1" x14ac:dyDescent="0.3">
      <c r="A72" s="11" t="s">
        <v>78</v>
      </c>
      <c r="B72" s="12">
        <v>1.7505474000000001</v>
      </c>
      <c r="C72" s="12">
        <v>99.97</v>
      </c>
      <c r="D72" s="12">
        <v>0.25070199999999998</v>
      </c>
      <c r="E72" s="17">
        <v>0.05</v>
      </c>
      <c r="F72" s="13">
        <v>76.4033333</v>
      </c>
      <c r="G72" s="12">
        <v>-32.619345899999999</v>
      </c>
      <c r="H72" s="12">
        <v>2.1480353999999999</v>
      </c>
      <c r="I72" s="12">
        <v>-9.1301372999999995</v>
      </c>
      <c r="J72" s="12">
        <v>1.9884833</v>
      </c>
      <c r="K72" s="12">
        <v>0.92142900000000005</v>
      </c>
      <c r="L72" s="12">
        <v>0.85991070000000003</v>
      </c>
      <c r="M72" s="12">
        <v>-11.040050300000001</v>
      </c>
      <c r="N72" s="12">
        <v>8.0383791999999996</v>
      </c>
      <c r="O72" s="12">
        <v>3.5468806000000002</v>
      </c>
      <c r="P72" s="7">
        <v>914.2</v>
      </c>
      <c r="Q72" s="7">
        <v>96.1</v>
      </c>
      <c r="R72" s="7">
        <v>9.6</v>
      </c>
      <c r="S72" s="12">
        <v>1.1693312</v>
      </c>
      <c r="T72" s="12">
        <v>0.05</v>
      </c>
      <c r="U72" s="12">
        <v>100.7633333</v>
      </c>
      <c r="V72" s="12">
        <v>1</v>
      </c>
      <c r="W72" s="12">
        <v>2.6129943999999998</v>
      </c>
      <c r="X72" s="12">
        <v>8.6574414999999991</v>
      </c>
      <c r="Y72" s="12">
        <v>3.7868184</v>
      </c>
      <c r="Z72" s="12">
        <v>4.9392201</v>
      </c>
      <c r="AA72" s="12">
        <v>56.272167600000003</v>
      </c>
      <c r="AB72" s="12">
        <v>19.2832711</v>
      </c>
      <c r="AC72" s="12">
        <v>17.719307499999999</v>
      </c>
      <c r="AD72" s="12">
        <v>77.930852999999999</v>
      </c>
      <c r="AE72" s="12">
        <v>71.205599100000001</v>
      </c>
      <c r="AF72" s="12">
        <v>-1.721055</v>
      </c>
      <c r="AG72" s="12">
        <v>80.298823100000007</v>
      </c>
    </row>
    <row r="73" spans="1:33" s="11" customFormat="1" hidden="1" outlineLevel="1" x14ac:dyDescent="0.3">
      <c r="A73" s="11" t="s">
        <v>79</v>
      </c>
      <c r="B73" s="12">
        <v>2.0633189000000001</v>
      </c>
      <c r="C73" s="12">
        <v>99.203333299999997</v>
      </c>
      <c r="D73" s="12">
        <v>-0.28813620000000001</v>
      </c>
      <c r="E73" s="17">
        <v>0.05</v>
      </c>
      <c r="F73" s="13">
        <v>53.9166667</v>
      </c>
      <c r="G73" s="12">
        <v>1.2082671</v>
      </c>
      <c r="H73" s="12">
        <v>3.8362314</v>
      </c>
      <c r="I73" s="12">
        <v>-4.7678004999999999</v>
      </c>
      <c r="J73" s="12">
        <v>1.9738007</v>
      </c>
      <c r="K73" s="12">
        <v>0.44338620000000001</v>
      </c>
      <c r="L73" s="12">
        <v>2.1418317999999998</v>
      </c>
      <c r="M73" s="12">
        <v>-4.0914627000000001</v>
      </c>
      <c r="N73" s="12">
        <v>6.3306744999999998</v>
      </c>
      <c r="O73" s="12">
        <v>3.7546024</v>
      </c>
      <c r="P73" s="7">
        <v>897.5</v>
      </c>
      <c r="Q73" s="7">
        <v>96.8</v>
      </c>
      <c r="R73" s="7">
        <v>9.8000000000000007</v>
      </c>
      <c r="S73" s="12">
        <v>0.5</v>
      </c>
      <c r="T73" s="12">
        <v>0.05</v>
      </c>
      <c r="U73" s="12">
        <v>99.473333299999993</v>
      </c>
      <c r="V73" s="12">
        <v>1</v>
      </c>
      <c r="W73" s="12">
        <v>6.6403445000000003</v>
      </c>
      <c r="X73" s="12">
        <v>6.0204507999999999</v>
      </c>
      <c r="Y73" s="12">
        <v>4.2985103999999996</v>
      </c>
      <c r="Z73" s="12">
        <v>4.1023202999999997</v>
      </c>
      <c r="AA73" s="12">
        <v>53.950321199999998</v>
      </c>
      <c r="AB73" s="12">
        <v>19.3973093</v>
      </c>
      <c r="AC73" s="12">
        <v>19.0059805</v>
      </c>
      <c r="AD73" s="12">
        <v>78.885928699999994</v>
      </c>
      <c r="AE73" s="12">
        <v>71.239539699999995</v>
      </c>
      <c r="AF73" s="12">
        <v>-0.2026114</v>
      </c>
      <c r="AG73" s="12">
        <v>79.366631799999993</v>
      </c>
    </row>
    <row r="74" spans="1:33" s="11" customFormat="1" hidden="1" outlineLevel="1" x14ac:dyDescent="0.3">
      <c r="A74" s="11" t="s">
        <v>80</v>
      </c>
      <c r="B74" s="12">
        <v>2.2703967</v>
      </c>
      <c r="C74" s="12">
        <v>100.5233333</v>
      </c>
      <c r="D74" s="12">
        <v>0.29933149999999997</v>
      </c>
      <c r="E74" s="17">
        <v>0.05</v>
      </c>
      <c r="F74" s="13">
        <v>61.693333299999999</v>
      </c>
      <c r="G74" s="12">
        <v>1.5579461999999999</v>
      </c>
      <c r="H74" s="12">
        <v>4.2476127999999997</v>
      </c>
      <c r="I74" s="12">
        <v>-3.1128523000000001</v>
      </c>
      <c r="J74" s="12">
        <v>1.9554172999999999</v>
      </c>
      <c r="K74" s="12">
        <v>2.0884984000000002</v>
      </c>
      <c r="L74" s="12">
        <v>2.4302079999999999</v>
      </c>
      <c r="M74" s="12">
        <v>-2.9560384000000002</v>
      </c>
      <c r="N74" s="12">
        <v>5.4233956000000001</v>
      </c>
      <c r="O74" s="12">
        <v>4.4924995000000001</v>
      </c>
      <c r="P74" s="7">
        <v>923.9</v>
      </c>
      <c r="Q74" s="7">
        <v>93.2</v>
      </c>
      <c r="R74" s="7">
        <v>9.1999999999999993</v>
      </c>
      <c r="S74" s="12">
        <v>0.6</v>
      </c>
      <c r="T74" s="12">
        <v>0.05</v>
      </c>
      <c r="U74" s="12">
        <v>100.62</v>
      </c>
      <c r="V74" s="12">
        <v>1</v>
      </c>
      <c r="W74" s="12">
        <v>5.2686308000000004</v>
      </c>
      <c r="X74" s="12">
        <v>5.1830423999999997</v>
      </c>
      <c r="Y74" s="12">
        <v>4.1352042999999998</v>
      </c>
      <c r="Z74" s="12">
        <v>3.0367310000000001</v>
      </c>
      <c r="AA74" s="12">
        <v>54.032904700000003</v>
      </c>
      <c r="AB74" s="12">
        <v>18.7674445</v>
      </c>
      <c r="AC74" s="12">
        <v>19.4931339</v>
      </c>
      <c r="AD74" s="12">
        <v>76.176073599999995</v>
      </c>
      <c r="AE74" s="12">
        <v>68.470571500000005</v>
      </c>
      <c r="AF74" s="12">
        <v>0.2714625</v>
      </c>
      <c r="AG74" s="12">
        <v>78.975667000000001</v>
      </c>
    </row>
    <row r="75" spans="1:33" s="11" customFormat="1" hidden="1" outlineLevel="1" x14ac:dyDescent="0.3">
      <c r="A75" s="11" t="s">
        <v>81</v>
      </c>
      <c r="B75" s="12">
        <v>2.2457793000000001</v>
      </c>
      <c r="C75" s="12">
        <v>100.1533333</v>
      </c>
      <c r="D75" s="12">
        <v>0.24355250000000001</v>
      </c>
      <c r="E75" s="17">
        <v>0.05</v>
      </c>
      <c r="F75" s="13">
        <v>50.233333299999998</v>
      </c>
      <c r="G75" s="12">
        <v>2.2582038</v>
      </c>
      <c r="H75" s="12">
        <v>3.6078108000000002</v>
      </c>
      <c r="I75" s="12">
        <v>-2.1121536999999999</v>
      </c>
      <c r="J75" s="12">
        <v>2.2777066000000001</v>
      </c>
      <c r="K75" s="12">
        <v>3.6830623</v>
      </c>
      <c r="L75" s="12">
        <v>3.6686255000000001</v>
      </c>
      <c r="M75" s="12">
        <v>-4.6179900000000003E-2</v>
      </c>
      <c r="N75" s="12">
        <v>3.7310892</v>
      </c>
      <c r="O75" s="12">
        <v>4.5962160000000001</v>
      </c>
      <c r="P75" s="7">
        <v>934.4</v>
      </c>
      <c r="Q75" s="7">
        <v>87.2</v>
      </c>
      <c r="R75" s="7">
        <v>8.6</v>
      </c>
      <c r="S75" s="12">
        <v>0.3</v>
      </c>
      <c r="T75" s="12">
        <v>0.05</v>
      </c>
      <c r="U75" s="12">
        <v>100.0333333</v>
      </c>
      <c r="V75" s="12">
        <v>1</v>
      </c>
      <c r="W75" s="12">
        <v>5.4597702000000004</v>
      </c>
      <c r="X75" s="12">
        <v>3.7724567000000002</v>
      </c>
      <c r="Y75" s="12">
        <v>2.5495448999999999</v>
      </c>
      <c r="Z75" s="12">
        <v>4.6493444000000004</v>
      </c>
      <c r="AA75" s="12">
        <v>53.629856799999999</v>
      </c>
      <c r="AB75" s="12">
        <v>18.004932</v>
      </c>
      <c r="AC75" s="12">
        <v>19.4634909</v>
      </c>
      <c r="AD75" s="12">
        <v>76.748265799999999</v>
      </c>
      <c r="AE75" s="12">
        <v>67.844540699999996</v>
      </c>
      <c r="AF75" s="12">
        <v>7.9140799999999997E-2</v>
      </c>
      <c r="AG75" s="12">
        <v>82.868328000000005</v>
      </c>
    </row>
    <row r="76" spans="1:33" s="11" customFormat="1" hidden="1" outlineLevel="1" x14ac:dyDescent="0.3">
      <c r="A76" s="11" t="s">
        <v>82</v>
      </c>
      <c r="B76" s="12">
        <v>2.5478125</v>
      </c>
      <c r="C76" s="12">
        <v>100.1233333</v>
      </c>
      <c r="D76" s="12">
        <v>0.1533793</v>
      </c>
      <c r="E76" s="17">
        <v>0.05</v>
      </c>
      <c r="F76" s="13">
        <v>43.57</v>
      </c>
      <c r="G76" s="12">
        <v>-8.0862186000000005</v>
      </c>
      <c r="H76" s="12">
        <v>5.9274512000000001</v>
      </c>
      <c r="I76" s="12">
        <v>-1.5794589999999999</v>
      </c>
      <c r="J76" s="12">
        <v>2.6179204</v>
      </c>
      <c r="K76" s="12">
        <v>2.1836304000000002</v>
      </c>
      <c r="L76" s="12">
        <v>1.2033240000000001</v>
      </c>
      <c r="M76" s="12">
        <v>8.7094872999999993</v>
      </c>
      <c r="N76" s="12">
        <v>3.6440084000000001</v>
      </c>
      <c r="O76" s="12">
        <v>4.4053523999999999</v>
      </c>
      <c r="P76" s="7">
        <v>914</v>
      </c>
      <c r="Q76" s="7">
        <v>84</v>
      </c>
      <c r="R76" s="7">
        <v>8.5</v>
      </c>
      <c r="S76" s="12">
        <v>1.3</v>
      </c>
      <c r="T76" s="12">
        <v>0.05</v>
      </c>
      <c r="U76" s="12">
        <v>99.87</v>
      </c>
      <c r="V76" s="12">
        <v>1</v>
      </c>
      <c r="W76" s="12">
        <v>5.1273226999999997</v>
      </c>
      <c r="X76" s="12">
        <v>3.7853436</v>
      </c>
      <c r="Y76" s="12">
        <v>2.2066778</v>
      </c>
      <c r="Z76" s="12">
        <v>3.4976598999999999</v>
      </c>
      <c r="AA76" s="12">
        <v>54.427195500000003</v>
      </c>
      <c r="AB76" s="12">
        <v>19.174993199999999</v>
      </c>
      <c r="AC76" s="12">
        <v>18.681913399999999</v>
      </c>
      <c r="AD76" s="12">
        <v>76.936490899999995</v>
      </c>
      <c r="AE76" s="12">
        <v>69.220593100000002</v>
      </c>
      <c r="AF76" s="12">
        <v>1.0234251000000001</v>
      </c>
      <c r="AG76" s="12">
        <v>82.587523099999999</v>
      </c>
    </row>
    <row r="77" spans="1:33" s="11" customFormat="1" hidden="1" outlineLevel="1" x14ac:dyDescent="0.3">
      <c r="A77" s="11" t="s">
        <v>83</v>
      </c>
      <c r="B77" s="12">
        <v>1.9366078</v>
      </c>
      <c r="C77" s="12">
        <v>99.246666700000006</v>
      </c>
      <c r="D77" s="12">
        <v>4.3681400000000002E-2</v>
      </c>
      <c r="E77" s="17">
        <v>3.3333300000000003E-2</v>
      </c>
      <c r="F77" s="13">
        <v>33.696666700000002</v>
      </c>
      <c r="G77" s="12">
        <v>0.6418024</v>
      </c>
      <c r="H77" s="12">
        <v>2.6336058000000002</v>
      </c>
      <c r="I77" s="12">
        <v>-3.7679399999999998</v>
      </c>
      <c r="J77" s="12">
        <v>2.7146081</v>
      </c>
      <c r="K77" s="12">
        <v>3.1492684</v>
      </c>
      <c r="L77" s="12">
        <v>3.0807286</v>
      </c>
      <c r="M77" s="12">
        <v>-5.2762224</v>
      </c>
      <c r="N77" s="12">
        <v>5.8853112000000003</v>
      </c>
      <c r="O77" s="12">
        <v>4.5276968999999996</v>
      </c>
      <c r="P77" s="7">
        <v>894.1</v>
      </c>
      <c r="Q77" s="7">
        <v>87.1</v>
      </c>
      <c r="R77" s="7">
        <v>8.9</v>
      </c>
      <c r="S77" s="12">
        <v>2.3156555000000001</v>
      </c>
      <c r="T77" s="12">
        <v>0</v>
      </c>
      <c r="U77" s="12">
        <v>98.613333299999994</v>
      </c>
      <c r="V77" s="12">
        <v>1</v>
      </c>
      <c r="W77" s="12">
        <v>5.5200269999999998</v>
      </c>
      <c r="X77" s="12">
        <v>4.3851139999999997</v>
      </c>
      <c r="Y77" s="12">
        <v>1.5122519999999999</v>
      </c>
      <c r="Z77" s="12">
        <v>6.9588178000000003</v>
      </c>
      <c r="AA77" s="12">
        <v>53.051403200000003</v>
      </c>
      <c r="AB77" s="12">
        <v>19.7744985</v>
      </c>
      <c r="AC77" s="12">
        <v>17.5588774</v>
      </c>
      <c r="AD77" s="12">
        <v>79.009624799999997</v>
      </c>
      <c r="AE77" s="12">
        <v>69.394403999999994</v>
      </c>
      <c r="AF77" s="12">
        <v>-0.1015114</v>
      </c>
      <c r="AG77" s="12">
        <v>80.415001799999999</v>
      </c>
    </row>
    <row r="78" spans="1:33" s="11" customFormat="1" hidden="1" outlineLevel="1" x14ac:dyDescent="0.3">
      <c r="A78" s="11" t="s">
        <v>84</v>
      </c>
      <c r="B78" s="12">
        <v>2.4666936000000002</v>
      </c>
      <c r="C78" s="12">
        <v>100.42</v>
      </c>
      <c r="D78" s="12">
        <v>-0.10279530000000001</v>
      </c>
      <c r="E78" s="17">
        <v>0</v>
      </c>
      <c r="F78" s="13">
        <v>45.523333299999997</v>
      </c>
      <c r="G78" s="12">
        <v>-0.94321710000000003</v>
      </c>
      <c r="H78" s="12">
        <v>4.4445446999999998</v>
      </c>
      <c r="I78" s="12">
        <v>-0.63138669999999997</v>
      </c>
      <c r="J78" s="12">
        <v>3.6934591999999999</v>
      </c>
      <c r="K78" s="12">
        <v>4.021604</v>
      </c>
      <c r="L78" s="12">
        <v>2.8286009000000001</v>
      </c>
      <c r="M78" s="12">
        <v>1.6974746000000001</v>
      </c>
      <c r="N78" s="12">
        <v>7.8937552999999996</v>
      </c>
      <c r="O78" s="12">
        <v>7.8374369000000002</v>
      </c>
      <c r="P78" s="7">
        <v>919.5</v>
      </c>
      <c r="Q78" s="7">
        <v>77.400000000000006</v>
      </c>
      <c r="R78" s="7">
        <v>7.8</v>
      </c>
      <c r="S78" s="12">
        <v>1.5126824000000001</v>
      </c>
      <c r="T78" s="12">
        <v>0</v>
      </c>
      <c r="U78" s="12">
        <v>100.22333329999999</v>
      </c>
      <c r="V78" s="12">
        <v>1</v>
      </c>
      <c r="W78" s="12">
        <v>8.1659533</v>
      </c>
      <c r="X78" s="12">
        <v>5.7366763000000001</v>
      </c>
      <c r="Y78" s="12">
        <v>4.2390042000000001</v>
      </c>
      <c r="Z78" s="12">
        <v>4.8655632000000004</v>
      </c>
      <c r="AA78" s="12">
        <v>53.0704821</v>
      </c>
      <c r="AB78" s="12">
        <v>18.987255699999999</v>
      </c>
      <c r="AC78" s="12">
        <v>19.021253399999999</v>
      </c>
      <c r="AD78" s="12">
        <v>76.874732899999998</v>
      </c>
      <c r="AE78" s="12">
        <v>67.952752799999999</v>
      </c>
      <c r="AF78" s="12">
        <v>0.92498590000000003</v>
      </c>
      <c r="AG78" s="12">
        <v>79.967955099999998</v>
      </c>
    </row>
    <row r="79" spans="1:33" s="11" customFormat="1" hidden="1" outlineLevel="1" x14ac:dyDescent="0.3">
      <c r="A79" s="11" t="s">
        <v>85</v>
      </c>
      <c r="B79" s="12">
        <v>1.6225508</v>
      </c>
      <c r="C79" s="12">
        <v>100.42</v>
      </c>
      <c r="D79" s="12">
        <v>0.26625840000000001</v>
      </c>
      <c r="E79" s="17">
        <v>0</v>
      </c>
      <c r="F79" s="13">
        <v>45.786666699999998</v>
      </c>
      <c r="G79" s="12">
        <v>-1.9254317000000001</v>
      </c>
      <c r="H79" s="12">
        <v>-0.87275460000000005</v>
      </c>
      <c r="I79" s="12">
        <v>-1.5331212000000001</v>
      </c>
      <c r="J79" s="12">
        <v>2.9635842000000001</v>
      </c>
      <c r="K79" s="12">
        <v>3.9711536999999999</v>
      </c>
      <c r="L79" s="12">
        <v>2.5976884999999998</v>
      </c>
      <c r="M79" s="12">
        <v>-0.93942510000000001</v>
      </c>
      <c r="N79" s="12">
        <v>5.5961772999999999</v>
      </c>
      <c r="O79" s="12">
        <v>5.4736903999999997</v>
      </c>
      <c r="P79" s="7">
        <v>922.5</v>
      </c>
      <c r="Q79" s="7">
        <v>73.2</v>
      </c>
      <c r="R79" s="7">
        <v>7.4</v>
      </c>
      <c r="S79" s="12">
        <v>1.6840980000000001</v>
      </c>
      <c r="T79" s="12">
        <v>0</v>
      </c>
      <c r="U79" s="12">
        <v>100.0166667</v>
      </c>
      <c r="V79" s="12">
        <v>1</v>
      </c>
      <c r="W79" s="12">
        <v>6.4032697000000001</v>
      </c>
      <c r="X79" s="12">
        <v>4.4472382000000001</v>
      </c>
      <c r="Y79" s="12">
        <v>4.1099550000000002</v>
      </c>
      <c r="Z79" s="12">
        <v>4.7700317999999999</v>
      </c>
      <c r="AA79" s="12">
        <v>53.985150900000001</v>
      </c>
      <c r="AB79" s="12">
        <v>18.223893499999999</v>
      </c>
      <c r="AC79" s="12">
        <v>18.647189300000001</v>
      </c>
      <c r="AD79" s="12">
        <v>76.865297499999997</v>
      </c>
      <c r="AE79" s="12">
        <v>67.720567000000003</v>
      </c>
      <c r="AF79" s="12">
        <v>1.6945323000000001</v>
      </c>
      <c r="AG79" s="12">
        <v>80.744847100000001</v>
      </c>
    </row>
    <row r="80" spans="1:33" s="11" customFormat="1" hidden="1" outlineLevel="1" x14ac:dyDescent="0.3">
      <c r="A80" s="11" t="s">
        <v>86</v>
      </c>
      <c r="B80" s="12">
        <v>1.866331</v>
      </c>
      <c r="C80" s="12">
        <v>100.89333329999999</v>
      </c>
      <c r="D80" s="12">
        <v>0.7690515</v>
      </c>
      <c r="E80" s="17">
        <v>0</v>
      </c>
      <c r="F80" s="13">
        <v>49.186666700000004</v>
      </c>
      <c r="G80" s="12">
        <v>-2.9719229</v>
      </c>
      <c r="H80" s="12">
        <v>-3.9062823</v>
      </c>
      <c r="I80" s="12">
        <v>-1.9075773</v>
      </c>
      <c r="J80" s="12">
        <v>3.3668504000000001</v>
      </c>
      <c r="K80" s="12">
        <v>6.5318962999999997</v>
      </c>
      <c r="L80" s="12">
        <v>1.2316716000000001</v>
      </c>
      <c r="M80" s="12">
        <v>2.6452732000000001</v>
      </c>
      <c r="N80" s="12">
        <v>5.2972383000000001</v>
      </c>
      <c r="O80" s="12">
        <v>7.2247656999999998</v>
      </c>
      <c r="P80" s="7">
        <v>923.9</v>
      </c>
      <c r="Q80" s="7">
        <v>80.7</v>
      </c>
      <c r="R80" s="7">
        <v>8.1</v>
      </c>
      <c r="S80" s="12">
        <v>1.8628411</v>
      </c>
      <c r="T80" s="12">
        <v>0</v>
      </c>
      <c r="U80" s="12">
        <v>100.53</v>
      </c>
      <c r="V80" s="12">
        <v>1</v>
      </c>
      <c r="W80" s="12">
        <v>6.3829786999999998</v>
      </c>
      <c r="X80" s="12">
        <v>5.4709222999999998</v>
      </c>
      <c r="Y80" s="12">
        <v>7.2339994000000001</v>
      </c>
      <c r="Z80" s="12">
        <v>2.7212588000000002</v>
      </c>
      <c r="AA80" s="12">
        <v>55.791581999999998</v>
      </c>
      <c r="AB80" s="12">
        <v>19.2259916</v>
      </c>
      <c r="AC80" s="12">
        <v>18.402680799999999</v>
      </c>
      <c r="AD80" s="12">
        <v>77.772535099999999</v>
      </c>
      <c r="AE80" s="12">
        <v>71.191826599999999</v>
      </c>
      <c r="AF80" s="12">
        <v>3.3543449000000001</v>
      </c>
      <c r="AG80" s="12">
        <v>78.519998400000006</v>
      </c>
    </row>
    <row r="81" spans="1:33" s="11" customFormat="1" hidden="1" outlineLevel="1" x14ac:dyDescent="0.3">
      <c r="A81" s="11" t="s">
        <v>87</v>
      </c>
      <c r="B81" s="12">
        <v>3.0351661999999999</v>
      </c>
      <c r="C81" s="12">
        <v>101</v>
      </c>
      <c r="D81" s="12">
        <v>1.766642</v>
      </c>
      <c r="E81" s="17">
        <v>0</v>
      </c>
      <c r="F81" s="13">
        <v>53.68</v>
      </c>
      <c r="G81" s="12">
        <v>1.6143418</v>
      </c>
      <c r="H81" s="12">
        <v>5.4443342000000001</v>
      </c>
      <c r="I81" s="12">
        <v>-2.0377809</v>
      </c>
      <c r="J81" s="12">
        <v>4.9392626999999996</v>
      </c>
      <c r="K81" s="12">
        <v>2.7420600999999998</v>
      </c>
      <c r="L81" s="12">
        <v>0.6708115</v>
      </c>
      <c r="M81" s="12">
        <v>16.7347188</v>
      </c>
      <c r="N81" s="12">
        <v>10.196839000000001</v>
      </c>
      <c r="O81" s="12">
        <v>10.989011</v>
      </c>
      <c r="P81" s="7">
        <v>935.2</v>
      </c>
      <c r="Q81" s="7">
        <v>79</v>
      </c>
      <c r="R81" s="7">
        <v>7.8</v>
      </c>
      <c r="S81" s="12">
        <v>1.4767477</v>
      </c>
      <c r="T81" s="12">
        <v>0</v>
      </c>
      <c r="U81" s="12">
        <v>100.59</v>
      </c>
      <c r="V81" s="12">
        <v>1</v>
      </c>
      <c r="W81" s="12">
        <v>8.0382774999999995</v>
      </c>
      <c r="X81" s="12">
        <v>13.1885893</v>
      </c>
      <c r="Y81" s="12">
        <v>16.043649500000001</v>
      </c>
      <c r="Z81" s="12">
        <v>6.3531411999999996</v>
      </c>
      <c r="AA81" s="12">
        <v>52.434915500000002</v>
      </c>
      <c r="AB81" s="12">
        <v>19.364989399999999</v>
      </c>
      <c r="AC81" s="12">
        <v>19.7292402</v>
      </c>
      <c r="AD81" s="12">
        <v>84.986795900000004</v>
      </c>
      <c r="AE81" s="12">
        <v>76.514929199999997</v>
      </c>
      <c r="AF81" s="12">
        <v>5.3855706999999997</v>
      </c>
      <c r="AG81" s="12">
        <v>76.643579700000004</v>
      </c>
    </row>
    <row r="82" spans="1:33" s="11" customFormat="1" hidden="1" outlineLevel="1" x14ac:dyDescent="0.3">
      <c r="A82" s="11" t="s">
        <v>88</v>
      </c>
      <c r="B82" s="12">
        <v>2.3084487</v>
      </c>
      <c r="C82" s="12">
        <v>102.11333329999999</v>
      </c>
      <c r="D82" s="12">
        <v>1.6862509999999999</v>
      </c>
      <c r="E82" s="17">
        <v>0</v>
      </c>
      <c r="F82" s="13">
        <v>49.67</v>
      </c>
      <c r="G82" s="12">
        <v>1.1055725999999999</v>
      </c>
      <c r="H82" s="12">
        <v>5.4348295999999996</v>
      </c>
      <c r="I82" s="12">
        <v>1.2395324999999999</v>
      </c>
      <c r="J82" s="12">
        <v>3.8561117</v>
      </c>
      <c r="K82" s="12">
        <v>1.2887078999999999</v>
      </c>
      <c r="L82" s="12">
        <v>-0.24815209999999999</v>
      </c>
      <c r="M82" s="12">
        <v>12.6670421</v>
      </c>
      <c r="N82" s="12">
        <v>8.5644089999999995</v>
      </c>
      <c r="O82" s="12">
        <v>8.5268408999999998</v>
      </c>
      <c r="P82" s="7">
        <v>955.1</v>
      </c>
      <c r="Q82" s="7">
        <v>65.599999999999994</v>
      </c>
      <c r="R82" s="7">
        <v>6.4</v>
      </c>
      <c r="S82" s="12">
        <v>2.3436884999999998</v>
      </c>
      <c r="T82" s="12">
        <v>0</v>
      </c>
      <c r="U82" s="12">
        <v>101.6</v>
      </c>
      <c r="V82" s="12">
        <v>1</v>
      </c>
      <c r="W82" s="12">
        <v>5.9665144000000003</v>
      </c>
      <c r="X82" s="12">
        <v>12.198078300000001</v>
      </c>
      <c r="Y82" s="12">
        <v>12.645517</v>
      </c>
      <c r="Z82" s="12">
        <v>4.9581301</v>
      </c>
      <c r="AA82" s="12">
        <v>51.541363799999999</v>
      </c>
      <c r="AB82" s="12">
        <v>18.515689699999999</v>
      </c>
      <c r="AC82" s="12">
        <v>20.7334131</v>
      </c>
      <c r="AD82" s="12">
        <v>81.746572200000003</v>
      </c>
      <c r="AE82" s="12">
        <v>72.537038699999997</v>
      </c>
      <c r="AF82" s="12">
        <v>5.9237732999999997</v>
      </c>
      <c r="AG82" s="12">
        <v>77.493356399999996</v>
      </c>
    </row>
    <row r="83" spans="1:33" s="11" customFormat="1" hidden="1" outlineLevel="1" x14ac:dyDescent="0.3">
      <c r="A83" s="11" t="s">
        <v>89</v>
      </c>
      <c r="B83" s="12">
        <v>3.0333996999999999</v>
      </c>
      <c r="C83" s="12">
        <v>102.1166667</v>
      </c>
      <c r="D83" s="12">
        <v>1.6895705000000001</v>
      </c>
      <c r="E83" s="17">
        <v>0</v>
      </c>
      <c r="F83" s="13">
        <v>52.11</v>
      </c>
      <c r="G83" s="12">
        <v>2.2882851999999998</v>
      </c>
      <c r="H83" s="12">
        <v>5.8554743</v>
      </c>
      <c r="I83" s="12">
        <v>-2.3587500000000001E-2</v>
      </c>
      <c r="J83" s="12">
        <v>4.2600170999999998</v>
      </c>
      <c r="K83" s="12">
        <v>0.85735839999999996</v>
      </c>
      <c r="L83" s="12">
        <v>-0.49350929999999998</v>
      </c>
      <c r="M83" s="12">
        <v>9.4729750999999993</v>
      </c>
      <c r="N83" s="12">
        <v>12.3197414</v>
      </c>
      <c r="O83" s="12">
        <v>10.8505298</v>
      </c>
      <c r="P83" s="7">
        <v>973.6</v>
      </c>
      <c r="Q83" s="7">
        <v>65.400000000000006</v>
      </c>
      <c r="R83" s="7">
        <v>6.3</v>
      </c>
      <c r="S83" s="12">
        <v>2.8151225000000002</v>
      </c>
      <c r="T83" s="12">
        <v>0</v>
      </c>
      <c r="U83" s="12">
        <v>101.33666669999999</v>
      </c>
      <c r="V83" s="12">
        <v>1</v>
      </c>
      <c r="W83" s="12">
        <v>7.7464788999999996</v>
      </c>
      <c r="X83" s="12">
        <v>14.792246499999999</v>
      </c>
      <c r="Y83" s="12">
        <v>13.4797981</v>
      </c>
      <c r="Z83" s="12">
        <v>8.3653881000000005</v>
      </c>
      <c r="AA83" s="12">
        <v>52.0775121</v>
      </c>
      <c r="AB83" s="12">
        <v>17.6461516</v>
      </c>
      <c r="AC83" s="12">
        <v>19.561273</v>
      </c>
      <c r="AD83" s="12">
        <v>83.0306274</v>
      </c>
      <c r="AE83" s="12">
        <v>72.315564100000003</v>
      </c>
      <c r="AF83" s="12">
        <v>7.0428794000000003</v>
      </c>
      <c r="AG83" s="12">
        <v>77.534508400000007</v>
      </c>
    </row>
    <row r="84" spans="1:33" s="11" customFormat="1" hidden="1" outlineLevel="1" x14ac:dyDescent="0.3">
      <c r="A84" s="11" t="s">
        <v>90</v>
      </c>
      <c r="B84" s="12">
        <v>2.9900169999999999</v>
      </c>
      <c r="C84" s="12">
        <v>102.6233333</v>
      </c>
      <c r="D84" s="12">
        <v>1.7146821999999999</v>
      </c>
      <c r="E84" s="17">
        <v>0</v>
      </c>
      <c r="F84" s="13">
        <v>61.53</v>
      </c>
      <c r="G84" s="12">
        <v>1.1331268999999999</v>
      </c>
      <c r="H84" s="12">
        <v>6.445157</v>
      </c>
      <c r="I84" s="12">
        <v>0.4137673</v>
      </c>
      <c r="J84" s="12">
        <v>6.2086747999999998</v>
      </c>
      <c r="K84" s="12">
        <v>2.6961384000000002</v>
      </c>
      <c r="L84" s="12">
        <v>1.7065205999999999</v>
      </c>
      <c r="M84" s="12">
        <v>15.663286899999999</v>
      </c>
      <c r="N84" s="12">
        <v>13.15601</v>
      </c>
      <c r="O84" s="12">
        <v>12.280654800000001</v>
      </c>
      <c r="P84" s="7">
        <v>972.4</v>
      </c>
      <c r="Q84" s="7">
        <v>59.5</v>
      </c>
      <c r="R84" s="7">
        <v>5.8</v>
      </c>
      <c r="S84" s="12">
        <v>3.9158331999999998</v>
      </c>
      <c r="T84" s="12">
        <v>0</v>
      </c>
      <c r="U84" s="12">
        <v>102.0733333</v>
      </c>
      <c r="V84" s="12">
        <v>1</v>
      </c>
      <c r="W84" s="12">
        <v>9.1384615</v>
      </c>
      <c r="X84" s="12">
        <v>15.3559582</v>
      </c>
      <c r="Y84" s="12">
        <v>14.6413359</v>
      </c>
      <c r="Z84" s="12">
        <v>5.2099091</v>
      </c>
      <c r="AA84" s="12">
        <v>54.054919900000002</v>
      </c>
      <c r="AB84" s="12">
        <v>18.3801676</v>
      </c>
      <c r="AC84" s="12">
        <v>20.074389100000001</v>
      </c>
      <c r="AD84" s="12">
        <v>82.9154135</v>
      </c>
      <c r="AE84" s="12">
        <v>75.425779899999995</v>
      </c>
      <c r="AF84" s="12">
        <v>6.4256152999999996</v>
      </c>
      <c r="AG84" s="12">
        <v>74.150281399999997</v>
      </c>
    </row>
    <row r="85" spans="1:33" s="11" customFormat="1" hidden="1" outlineLevel="1" x14ac:dyDescent="0.3">
      <c r="A85" s="11" t="s">
        <v>91</v>
      </c>
      <c r="B85" s="12">
        <v>2.2828298</v>
      </c>
      <c r="C85" s="12">
        <v>102.5466667</v>
      </c>
      <c r="D85" s="12">
        <v>1.5313532000000001</v>
      </c>
      <c r="E85" s="17">
        <v>0</v>
      </c>
      <c r="F85" s="13">
        <v>66.806666699999994</v>
      </c>
      <c r="G85" s="12">
        <v>3.9059070999999999</v>
      </c>
      <c r="H85" s="12">
        <v>6.7817622000000002</v>
      </c>
      <c r="I85" s="12">
        <v>-0.79571069999999999</v>
      </c>
      <c r="J85" s="12">
        <v>4.0927667000000003</v>
      </c>
      <c r="K85" s="12">
        <v>3.5115799000000001</v>
      </c>
      <c r="L85" s="12">
        <v>2.1398776000000002</v>
      </c>
      <c r="M85" s="12">
        <v>13.8867137</v>
      </c>
      <c r="N85" s="12">
        <v>7.0564008999999999</v>
      </c>
      <c r="O85" s="12">
        <v>9.1013979000000003</v>
      </c>
      <c r="P85" s="7">
        <v>963.8</v>
      </c>
      <c r="Q85" s="7">
        <v>60.8</v>
      </c>
      <c r="R85" s="7">
        <v>6</v>
      </c>
      <c r="S85" s="12">
        <v>3.5619510999999999</v>
      </c>
      <c r="T85" s="12">
        <v>0</v>
      </c>
      <c r="U85" s="12">
        <v>102.13</v>
      </c>
      <c r="V85" s="12">
        <v>1</v>
      </c>
      <c r="W85" s="12">
        <v>8.4440507999999994</v>
      </c>
      <c r="X85" s="12">
        <v>8.9983103</v>
      </c>
      <c r="Y85" s="12">
        <v>9.7655682000000006</v>
      </c>
      <c r="Z85" s="12">
        <v>6.4130497000000002</v>
      </c>
      <c r="AA85" s="12">
        <v>51.474906699999998</v>
      </c>
      <c r="AB85" s="12">
        <v>19.008013900000002</v>
      </c>
      <c r="AC85" s="12">
        <v>21.441562600000001</v>
      </c>
      <c r="AD85" s="12">
        <v>86.683212400000002</v>
      </c>
      <c r="AE85" s="12">
        <v>78.607695699999994</v>
      </c>
      <c r="AF85" s="12">
        <v>6.0531391000000001</v>
      </c>
      <c r="AG85" s="12">
        <v>71.989458600000006</v>
      </c>
    </row>
    <row r="86" spans="1:33" s="11" customFormat="1" hidden="1" outlineLevel="1" x14ac:dyDescent="0.3">
      <c r="A86" s="11" t="s">
        <v>92</v>
      </c>
      <c r="B86" s="12">
        <v>2.5023559999999998</v>
      </c>
      <c r="C86" s="12">
        <v>104.0133333</v>
      </c>
      <c r="D86" s="12">
        <v>1.8606777000000001</v>
      </c>
      <c r="E86" s="17">
        <v>0</v>
      </c>
      <c r="F86" s="13">
        <v>74.5</v>
      </c>
      <c r="G86" s="12">
        <v>4.8732696999999998</v>
      </c>
      <c r="H86" s="12">
        <v>5.6381889000000003</v>
      </c>
      <c r="I86" s="12">
        <v>1.5492176</v>
      </c>
      <c r="J86" s="12">
        <v>4.0509915000000003</v>
      </c>
      <c r="K86" s="12">
        <v>3.0517037999999999</v>
      </c>
      <c r="L86" s="12">
        <v>2.8582014999999998</v>
      </c>
      <c r="M86" s="12">
        <v>6.7575551000000003</v>
      </c>
      <c r="N86" s="12">
        <v>7.8899187</v>
      </c>
      <c r="O86" s="12">
        <v>8.1616450999999994</v>
      </c>
      <c r="P86" s="7">
        <v>984</v>
      </c>
      <c r="Q86" s="7">
        <v>53.9</v>
      </c>
      <c r="R86" s="7">
        <v>5.2</v>
      </c>
      <c r="S86" s="12">
        <v>3.6295364000000001</v>
      </c>
      <c r="T86" s="12">
        <v>0</v>
      </c>
      <c r="U86" s="12">
        <v>103.78</v>
      </c>
      <c r="V86" s="12">
        <v>1</v>
      </c>
      <c r="W86" s="12">
        <v>5.5156564000000001</v>
      </c>
      <c r="X86" s="12">
        <v>10.418401599999999</v>
      </c>
      <c r="Y86" s="12">
        <v>11.030661200000001</v>
      </c>
      <c r="Z86" s="12">
        <v>5.9435827999999997</v>
      </c>
      <c r="AA86" s="12">
        <v>51.041775100000002</v>
      </c>
      <c r="AB86" s="12">
        <v>18.492592200000001</v>
      </c>
      <c r="AC86" s="12">
        <v>21.347281500000001</v>
      </c>
      <c r="AD86" s="12">
        <v>85.056903000000005</v>
      </c>
      <c r="AE86" s="12">
        <v>75.937684300000001</v>
      </c>
      <c r="AF86" s="12">
        <v>6.2678063000000002</v>
      </c>
      <c r="AG86" s="12">
        <v>70.492171299999995</v>
      </c>
    </row>
    <row r="87" spans="1:33" s="11" customFormat="1" hidden="1" outlineLevel="1" x14ac:dyDescent="0.3">
      <c r="A87" s="11" t="s">
        <v>93</v>
      </c>
      <c r="B87" s="12">
        <v>1.7229988000000001</v>
      </c>
      <c r="C87" s="12">
        <v>104.3666667</v>
      </c>
      <c r="D87" s="12">
        <v>2.2033621999999999</v>
      </c>
      <c r="E87" s="17">
        <v>0</v>
      </c>
      <c r="F87" s="13">
        <v>75.223333299999993</v>
      </c>
      <c r="G87" s="12">
        <v>5.4990845000000004</v>
      </c>
      <c r="H87" s="12">
        <v>6.7170622</v>
      </c>
      <c r="I87" s="12">
        <v>0.4652577</v>
      </c>
      <c r="J87" s="12">
        <v>5.1025017999999998</v>
      </c>
      <c r="K87" s="12">
        <v>3.0664551000000002</v>
      </c>
      <c r="L87" s="12">
        <v>2.9487871000000001</v>
      </c>
      <c r="M87" s="12">
        <v>16.284023699999999</v>
      </c>
      <c r="N87" s="12">
        <v>4.1671278000000003</v>
      </c>
      <c r="O87" s="12">
        <v>5.1357198999999998</v>
      </c>
      <c r="P87" s="7">
        <v>990.2</v>
      </c>
      <c r="Q87" s="7">
        <v>51.9</v>
      </c>
      <c r="R87" s="7">
        <v>5</v>
      </c>
      <c r="S87" s="12">
        <v>2.9542101000000001</v>
      </c>
      <c r="T87" s="12">
        <v>0</v>
      </c>
      <c r="U87" s="12">
        <v>103.4666667</v>
      </c>
      <c r="V87" s="12">
        <v>1</v>
      </c>
      <c r="W87" s="12">
        <v>3.4165180999999998</v>
      </c>
      <c r="X87" s="12">
        <v>7.8334571000000004</v>
      </c>
      <c r="Y87" s="12">
        <v>9.3382915999999998</v>
      </c>
      <c r="Z87" s="12">
        <v>6.7466583</v>
      </c>
      <c r="AA87" s="12">
        <v>51.169899200000003</v>
      </c>
      <c r="AB87" s="12">
        <v>17.361457099999999</v>
      </c>
      <c r="AC87" s="12">
        <v>21.753962300000001</v>
      </c>
      <c r="AD87" s="12">
        <v>83.294632199999995</v>
      </c>
      <c r="AE87" s="12">
        <v>73.5799509</v>
      </c>
      <c r="AF87" s="12">
        <v>6.5898713000000004</v>
      </c>
      <c r="AG87" s="12">
        <v>70.289670299999997</v>
      </c>
    </row>
    <row r="88" spans="1:33" s="11" customFormat="1" hidden="1" outlineLevel="1" x14ac:dyDescent="0.3">
      <c r="A88" s="11" t="s">
        <v>94</v>
      </c>
      <c r="B88" s="12">
        <v>1.7730376000000001</v>
      </c>
      <c r="C88" s="12">
        <v>104.64</v>
      </c>
      <c r="D88" s="12">
        <v>1.9651152000000001</v>
      </c>
      <c r="E88" s="17">
        <v>0</v>
      </c>
      <c r="F88" s="13">
        <v>67.713333300000002</v>
      </c>
      <c r="G88" s="12">
        <v>6.4572745999999999</v>
      </c>
      <c r="H88" s="12">
        <v>9.3259743999999998</v>
      </c>
      <c r="I88" s="12">
        <v>1.6018881</v>
      </c>
      <c r="J88" s="12">
        <v>4.5436154000000002</v>
      </c>
      <c r="K88" s="12">
        <v>4.2961904000000004</v>
      </c>
      <c r="L88" s="12">
        <v>3.4489901999999999</v>
      </c>
      <c r="M88" s="12">
        <v>7.8759930999999996</v>
      </c>
      <c r="N88" s="12">
        <v>5.6287922000000004</v>
      </c>
      <c r="O88" s="12">
        <v>6.1464368</v>
      </c>
      <c r="P88" s="7">
        <v>984.4</v>
      </c>
      <c r="Q88" s="7">
        <v>44.6</v>
      </c>
      <c r="R88" s="7">
        <v>4.3</v>
      </c>
      <c r="S88" s="12">
        <v>3.3262505</v>
      </c>
      <c r="T88" s="12">
        <v>0</v>
      </c>
      <c r="U88" s="12">
        <v>104.0666667</v>
      </c>
      <c r="V88" s="12">
        <v>1</v>
      </c>
      <c r="W88" s="12">
        <v>3.0448265999999999</v>
      </c>
      <c r="X88" s="12">
        <v>8.2218383999999993</v>
      </c>
      <c r="Y88" s="12">
        <v>9.2848801999999999</v>
      </c>
      <c r="Z88" s="12">
        <v>4.4667067999999999</v>
      </c>
      <c r="AA88" s="12">
        <v>54.2173011</v>
      </c>
      <c r="AB88" s="12">
        <v>18.2158281</v>
      </c>
      <c r="AC88" s="12">
        <v>20.713233599999999</v>
      </c>
      <c r="AD88" s="12">
        <v>84.351879699999998</v>
      </c>
      <c r="AE88" s="12">
        <v>77.498242399999995</v>
      </c>
      <c r="AF88" s="12">
        <v>6.5493246000000003</v>
      </c>
      <c r="AG88" s="12">
        <v>70.289670299999997</v>
      </c>
    </row>
    <row r="89" spans="1:33" s="11" customFormat="1" hidden="1" outlineLevel="1" x14ac:dyDescent="0.3">
      <c r="A89" s="11" t="s">
        <v>95</v>
      </c>
      <c r="B89" s="12">
        <v>1.9308453999999999</v>
      </c>
      <c r="C89" s="12">
        <v>104.17</v>
      </c>
      <c r="D89" s="12">
        <v>1.5830191</v>
      </c>
      <c r="E89" s="17">
        <v>0</v>
      </c>
      <c r="F89" s="13">
        <v>63.17</v>
      </c>
      <c r="G89" s="12">
        <v>6.2024834999999996</v>
      </c>
      <c r="H89" s="12">
        <v>7.2669419</v>
      </c>
      <c r="I89" s="12">
        <v>-0.35308349999999999</v>
      </c>
      <c r="J89" s="12">
        <v>4.5139829000000002</v>
      </c>
      <c r="K89" s="12">
        <v>5.0784305999999999</v>
      </c>
      <c r="L89" s="12">
        <v>2.2117323</v>
      </c>
      <c r="M89" s="12">
        <v>3.7038734999999998</v>
      </c>
      <c r="N89" s="12">
        <v>5.446148</v>
      </c>
      <c r="O89" s="12">
        <v>5.1166966</v>
      </c>
      <c r="P89" s="7">
        <v>977.9</v>
      </c>
      <c r="Q89" s="7">
        <v>49.5</v>
      </c>
      <c r="R89" s="7">
        <v>4.8</v>
      </c>
      <c r="S89" s="12">
        <v>4.5898114999999997</v>
      </c>
      <c r="T89" s="12">
        <v>0</v>
      </c>
      <c r="U89" s="12">
        <v>103.50333329999999</v>
      </c>
      <c r="V89" s="12">
        <v>1</v>
      </c>
      <c r="W89" s="12">
        <v>2.4503130999999998</v>
      </c>
      <c r="X89" s="12">
        <v>6.7772926</v>
      </c>
      <c r="Y89" s="12">
        <v>6.2640628999999999</v>
      </c>
      <c r="Z89" s="12">
        <v>6.4444404999999998</v>
      </c>
      <c r="AA89" s="12">
        <v>51.347409200000001</v>
      </c>
      <c r="AB89" s="12">
        <v>18.9464416</v>
      </c>
      <c r="AC89" s="12">
        <v>21.2730572</v>
      </c>
      <c r="AD89" s="12">
        <v>86.905672499999994</v>
      </c>
      <c r="AE89" s="12">
        <v>78.472580399999998</v>
      </c>
      <c r="AF89" s="12">
        <v>6.5663197999999996</v>
      </c>
      <c r="AG89" s="12">
        <v>64.996511100000006</v>
      </c>
    </row>
    <row r="90" spans="1:33" s="11" customFormat="1" hidden="1" outlineLevel="1" x14ac:dyDescent="0.3">
      <c r="A90" s="11" t="s">
        <v>96</v>
      </c>
      <c r="B90" s="12">
        <v>1.5959346999999999</v>
      </c>
      <c r="C90" s="12">
        <v>105.7566667</v>
      </c>
      <c r="D90" s="12">
        <v>1.6760672000000001</v>
      </c>
      <c r="E90" s="17">
        <v>0</v>
      </c>
      <c r="F90" s="13">
        <v>68.923333299999996</v>
      </c>
      <c r="G90" s="12">
        <v>5.1550947999999996</v>
      </c>
      <c r="H90" s="12">
        <v>3.8419766000000002</v>
      </c>
      <c r="I90" s="12">
        <v>0.98457150000000004</v>
      </c>
      <c r="J90" s="12">
        <v>3.2825120000000001</v>
      </c>
      <c r="K90" s="12">
        <v>5.8994042000000002</v>
      </c>
      <c r="L90" s="12">
        <v>2.0480626000000002</v>
      </c>
      <c r="M90" s="12">
        <v>-3.4309552000000001</v>
      </c>
      <c r="N90" s="12">
        <v>6.3326763000000001</v>
      </c>
      <c r="O90" s="12">
        <v>6.2660558000000002</v>
      </c>
      <c r="P90" s="7">
        <v>990.8</v>
      </c>
      <c r="Q90" s="7">
        <v>43.5</v>
      </c>
      <c r="R90" s="7">
        <v>4.2</v>
      </c>
      <c r="S90" s="12">
        <v>3.9181599</v>
      </c>
      <c r="T90" s="12">
        <v>0</v>
      </c>
      <c r="U90" s="12">
        <v>105.5933333</v>
      </c>
      <c r="V90" s="12">
        <v>1</v>
      </c>
      <c r="W90" s="12">
        <v>4.3833378999999999</v>
      </c>
      <c r="X90" s="12">
        <v>6.7009784000000003</v>
      </c>
      <c r="Y90" s="12">
        <v>5.8473521000000002</v>
      </c>
      <c r="Z90" s="12">
        <v>6.3451985000000004</v>
      </c>
      <c r="AA90" s="12">
        <v>51.660080999999998</v>
      </c>
      <c r="AB90" s="12">
        <v>18.536341400000001</v>
      </c>
      <c r="AC90" s="12">
        <v>20.022626299999999</v>
      </c>
      <c r="AD90" s="12">
        <v>85.762653499999999</v>
      </c>
      <c r="AE90" s="12">
        <v>75.981702200000001</v>
      </c>
      <c r="AF90" s="12">
        <v>6.1066428000000004</v>
      </c>
      <c r="AG90" s="12">
        <v>65.490929800000004</v>
      </c>
    </row>
    <row r="91" spans="1:33" s="11" customFormat="1" hidden="1" outlineLevel="1" x14ac:dyDescent="0.3">
      <c r="A91" s="11" t="s">
        <v>97</v>
      </c>
      <c r="B91" s="12">
        <v>2.3612953000000001</v>
      </c>
      <c r="C91" s="12">
        <v>105.74</v>
      </c>
      <c r="D91" s="12">
        <v>1.3158734999999999</v>
      </c>
      <c r="E91" s="17">
        <v>0</v>
      </c>
      <c r="F91" s="13">
        <v>61.93</v>
      </c>
      <c r="G91" s="12">
        <v>4.9750648000000002</v>
      </c>
      <c r="H91" s="12">
        <v>6.6060258999999997</v>
      </c>
      <c r="I91" s="12">
        <v>1.1191740999999999</v>
      </c>
      <c r="J91" s="12">
        <v>3.3744391999999999</v>
      </c>
      <c r="K91" s="12">
        <v>7.1097345000000001</v>
      </c>
      <c r="L91" s="12">
        <v>2.0160235000000002</v>
      </c>
      <c r="M91" s="12">
        <v>4.8646447999999998</v>
      </c>
      <c r="N91" s="12">
        <v>4.9917654000000002</v>
      </c>
      <c r="O91" s="12">
        <v>7.8291558999999999</v>
      </c>
      <c r="P91" s="7">
        <v>981.5</v>
      </c>
      <c r="Q91" s="7">
        <v>49.1</v>
      </c>
      <c r="R91" s="7">
        <v>4.8</v>
      </c>
      <c r="S91" s="12">
        <v>4.4861636000000003</v>
      </c>
      <c r="T91" s="12">
        <v>0</v>
      </c>
      <c r="U91" s="12">
        <v>105.6033333</v>
      </c>
      <c r="V91" s="12">
        <v>1</v>
      </c>
      <c r="W91" s="12">
        <v>4.0792875999999998</v>
      </c>
      <c r="X91" s="12">
        <v>3.9259379000000001</v>
      </c>
      <c r="Y91" s="12">
        <v>6.0645753999999998</v>
      </c>
      <c r="Z91" s="12">
        <v>5.2915827000000002</v>
      </c>
      <c r="AA91" s="12">
        <v>52.6465879</v>
      </c>
      <c r="AB91" s="12">
        <v>17.401763599999999</v>
      </c>
      <c r="AC91" s="12">
        <v>21.882442900000001</v>
      </c>
      <c r="AD91" s="12">
        <v>81.659882600000003</v>
      </c>
      <c r="AE91" s="12">
        <v>73.590676999999999</v>
      </c>
      <c r="AF91" s="12">
        <v>5.9293155000000004</v>
      </c>
      <c r="AG91" s="12">
        <v>66.701247199999997</v>
      </c>
    </row>
    <row r="92" spans="1:33" s="11" customFormat="1" hidden="1" outlineLevel="1" x14ac:dyDescent="0.3">
      <c r="A92" s="11" t="s">
        <v>98</v>
      </c>
      <c r="B92" s="12">
        <v>1.3592039</v>
      </c>
      <c r="C92" s="12">
        <v>106.0066667</v>
      </c>
      <c r="D92" s="12">
        <v>1.3060653</v>
      </c>
      <c r="E92" s="17">
        <v>0</v>
      </c>
      <c r="F92" s="13">
        <v>63.41</v>
      </c>
      <c r="G92" s="12">
        <v>6.3416598000000004</v>
      </c>
      <c r="H92" s="12">
        <v>4.9207611</v>
      </c>
      <c r="I92" s="12">
        <v>1.0066341000000001</v>
      </c>
      <c r="J92" s="12">
        <v>2.9994633999999998</v>
      </c>
      <c r="K92" s="12">
        <v>4.0604914000000001</v>
      </c>
      <c r="L92" s="12">
        <v>1.0562674999999999</v>
      </c>
      <c r="M92" s="12">
        <v>-2.9457824000000001</v>
      </c>
      <c r="N92" s="12">
        <v>1.2821043000000001</v>
      </c>
      <c r="O92" s="12">
        <v>-0.22236700000000001</v>
      </c>
      <c r="P92" s="7">
        <v>979.9</v>
      </c>
      <c r="Q92" s="7">
        <v>40.700000000000003</v>
      </c>
      <c r="R92" s="7">
        <v>4</v>
      </c>
      <c r="S92" s="12">
        <v>4.2422735999999999</v>
      </c>
      <c r="T92" s="12">
        <v>0</v>
      </c>
      <c r="U92" s="12">
        <v>105.74</v>
      </c>
      <c r="V92" s="12">
        <v>1</v>
      </c>
      <c r="W92" s="12">
        <v>1.6415869000000001</v>
      </c>
      <c r="X92" s="12">
        <v>0.59683140000000001</v>
      </c>
      <c r="Y92" s="12">
        <v>-1.5455182999999999</v>
      </c>
      <c r="Z92" s="12">
        <v>5.4097644000000003</v>
      </c>
      <c r="AA92" s="12">
        <v>54.077781700000003</v>
      </c>
      <c r="AB92" s="12">
        <v>18.418940899999999</v>
      </c>
      <c r="AC92" s="12">
        <v>19.404123500000001</v>
      </c>
      <c r="AD92" s="12">
        <v>80.541850400000001</v>
      </c>
      <c r="AE92" s="12">
        <v>72.442696499999997</v>
      </c>
      <c r="AF92" s="12">
        <v>5.9162505000000003</v>
      </c>
      <c r="AG92" s="12">
        <v>65.357959600000001</v>
      </c>
    </row>
    <row r="93" spans="1:33" s="11" customFormat="1" hidden="1" outlineLevel="1" x14ac:dyDescent="0.3">
      <c r="A93" s="11" t="s">
        <v>99</v>
      </c>
      <c r="B93" s="12">
        <v>-2.2061226999999999</v>
      </c>
      <c r="C93" s="12">
        <v>105.74666670000001</v>
      </c>
      <c r="D93" s="12">
        <v>1.5135516</v>
      </c>
      <c r="E93" s="17">
        <v>0</v>
      </c>
      <c r="F93" s="13">
        <v>50.44</v>
      </c>
      <c r="G93" s="12">
        <v>8.2363935999999995</v>
      </c>
      <c r="H93" s="12">
        <v>-3.6017798000000001</v>
      </c>
      <c r="I93" s="12">
        <v>-5.5704037</v>
      </c>
      <c r="J93" s="12">
        <v>-1.1898594</v>
      </c>
      <c r="K93" s="12">
        <v>-2.6930714</v>
      </c>
      <c r="L93" s="12">
        <v>5.1839551999999998</v>
      </c>
      <c r="M93" s="12">
        <v>-3.3328913</v>
      </c>
      <c r="N93" s="12">
        <v>-0.62572249999999996</v>
      </c>
      <c r="O93" s="12">
        <v>-0.58725130000000003</v>
      </c>
      <c r="P93" s="7">
        <v>981.9</v>
      </c>
      <c r="Q93" s="7">
        <v>46.8</v>
      </c>
      <c r="R93" s="7">
        <v>4.5999999999999996</v>
      </c>
      <c r="S93" s="12">
        <v>3.2419292999999998</v>
      </c>
      <c r="T93" s="12">
        <v>0</v>
      </c>
      <c r="U93" s="12">
        <v>105.2066667</v>
      </c>
      <c r="V93" s="12">
        <v>1</v>
      </c>
      <c r="W93" s="12">
        <v>-1.5944725</v>
      </c>
      <c r="X93" s="12">
        <v>-1.2882381999999999</v>
      </c>
      <c r="Y93" s="12">
        <v>-2.6258279999999998</v>
      </c>
      <c r="Z93" s="12">
        <v>8.5041848000000009</v>
      </c>
      <c r="AA93" s="12">
        <v>49.752954000000003</v>
      </c>
      <c r="AB93" s="12">
        <v>20.356238600000001</v>
      </c>
      <c r="AC93" s="12">
        <v>20.753622199999999</v>
      </c>
      <c r="AD93" s="12">
        <v>84.822935700000002</v>
      </c>
      <c r="AE93" s="12">
        <v>75.686629600000003</v>
      </c>
      <c r="AF93" s="12">
        <v>4.2752867999999999</v>
      </c>
      <c r="AG93" s="12">
        <v>70.977725500000005</v>
      </c>
    </row>
    <row r="94" spans="1:33" s="11" customFormat="1" hidden="1" outlineLevel="1" x14ac:dyDescent="0.3">
      <c r="A94" s="11" t="s">
        <v>100</v>
      </c>
      <c r="B94" s="12">
        <v>-13.380244299999999</v>
      </c>
      <c r="C94" s="12">
        <v>106.50333329999999</v>
      </c>
      <c r="D94" s="12">
        <v>0.70602319999999996</v>
      </c>
      <c r="E94" s="17">
        <v>0</v>
      </c>
      <c r="F94" s="13">
        <v>29.343333300000001</v>
      </c>
      <c r="G94" s="12">
        <v>24.6704367</v>
      </c>
      <c r="H94" s="12">
        <v>-6.5031844000000003</v>
      </c>
      <c r="I94" s="12">
        <v>-13.7809059</v>
      </c>
      <c r="J94" s="12">
        <v>-11.3420088</v>
      </c>
      <c r="K94" s="12">
        <v>-12.989997300000001</v>
      </c>
      <c r="L94" s="12">
        <v>2.9499268999999999</v>
      </c>
      <c r="M94" s="12">
        <v>-12.46143</v>
      </c>
      <c r="N94" s="12">
        <v>-23.5197906</v>
      </c>
      <c r="O94" s="12">
        <v>-23.0103382</v>
      </c>
      <c r="P94" s="7">
        <v>967.7</v>
      </c>
      <c r="Q94" s="7">
        <v>52.5</v>
      </c>
      <c r="R94" s="7">
        <v>5.2</v>
      </c>
      <c r="S94" s="12">
        <v>8.9950933000000006</v>
      </c>
      <c r="T94" s="12">
        <v>0</v>
      </c>
      <c r="U94" s="12">
        <v>104.35666670000001</v>
      </c>
      <c r="V94" s="12">
        <v>1</v>
      </c>
      <c r="W94" s="12">
        <v>-17.475221699999999</v>
      </c>
      <c r="X94" s="12">
        <v>-24.722288599999999</v>
      </c>
      <c r="Y94" s="12">
        <v>-25.121653800000001</v>
      </c>
      <c r="Z94" s="12">
        <v>6.4197217000000002</v>
      </c>
      <c r="AA94" s="12">
        <v>49.718831000000002</v>
      </c>
      <c r="AB94" s="12">
        <v>22.3746984</v>
      </c>
      <c r="AC94" s="12">
        <v>19.409726599999999</v>
      </c>
      <c r="AD94" s="12">
        <v>71.414189100000002</v>
      </c>
      <c r="AE94" s="12">
        <v>62.919259199999999</v>
      </c>
      <c r="AF94" s="12">
        <v>1.7405952</v>
      </c>
      <c r="AG94" s="12">
        <v>78.416789100000003</v>
      </c>
    </row>
    <row r="95" spans="1:33" s="11" customFormat="1" hidden="1" outlineLevel="1" x14ac:dyDescent="0.3">
      <c r="A95" s="11" t="s">
        <v>101</v>
      </c>
      <c r="B95" s="12">
        <v>-3.6984297000000002</v>
      </c>
      <c r="C95" s="12">
        <v>106.27</v>
      </c>
      <c r="D95" s="12">
        <v>0.50122940000000005</v>
      </c>
      <c r="E95" s="17">
        <v>0</v>
      </c>
      <c r="F95" s="13">
        <v>42.963333300000002</v>
      </c>
      <c r="G95" s="12">
        <v>6.1074795000000002</v>
      </c>
      <c r="H95" s="12">
        <v>-1.5806325999999999</v>
      </c>
      <c r="I95" s="12">
        <v>-2.1621929</v>
      </c>
      <c r="J95" s="12">
        <v>-1.4502170000000001</v>
      </c>
      <c r="K95" s="12">
        <v>1.0377249</v>
      </c>
      <c r="L95" s="12">
        <v>4.7223078000000003</v>
      </c>
      <c r="M95" s="12">
        <v>-20.5240683</v>
      </c>
      <c r="N95" s="12">
        <v>-8.4806655000000006</v>
      </c>
      <c r="O95" s="12">
        <v>-11.6544065</v>
      </c>
      <c r="P95" s="7">
        <v>978.9</v>
      </c>
      <c r="Q95" s="7">
        <v>52.7</v>
      </c>
      <c r="R95" s="7">
        <v>5.0999999999999996</v>
      </c>
      <c r="S95" s="12">
        <v>4.7835546000000004</v>
      </c>
      <c r="T95" s="12">
        <v>0</v>
      </c>
      <c r="U95" s="12">
        <v>104.97333329999999</v>
      </c>
      <c r="V95" s="12">
        <v>1</v>
      </c>
      <c r="W95" s="12">
        <v>-2.8705493</v>
      </c>
      <c r="X95" s="12">
        <v>-10.251062299999999</v>
      </c>
      <c r="Y95" s="12">
        <v>-13.5275382</v>
      </c>
      <c r="Z95" s="12">
        <v>6.2835939999999999</v>
      </c>
      <c r="AA95" s="12">
        <v>53.2331401</v>
      </c>
      <c r="AB95" s="12">
        <v>19.1576947</v>
      </c>
      <c r="AC95" s="12">
        <v>17.835858500000001</v>
      </c>
      <c r="AD95" s="12">
        <v>74.719475200000005</v>
      </c>
      <c r="AE95" s="12">
        <v>64.945356500000003</v>
      </c>
      <c r="AF95" s="12">
        <v>1.2591912000000001</v>
      </c>
      <c r="AG95" s="12">
        <v>78.048842699999994</v>
      </c>
    </row>
    <row r="96" spans="1:33" s="11" customFormat="1" hidden="1" outlineLevel="1" x14ac:dyDescent="0.3">
      <c r="A96" s="11" t="s">
        <v>102</v>
      </c>
      <c r="B96" s="12">
        <v>-3.2236577</v>
      </c>
      <c r="C96" s="12">
        <v>106.2833333</v>
      </c>
      <c r="D96" s="12">
        <v>0.26098979999999999</v>
      </c>
      <c r="E96" s="17">
        <v>0</v>
      </c>
      <c r="F96" s="13">
        <v>44.29</v>
      </c>
      <c r="G96" s="12">
        <v>19.145138899999999</v>
      </c>
      <c r="H96" s="12">
        <v>-4.2757940000000003</v>
      </c>
      <c r="I96" s="12">
        <v>-9.5539748000000007</v>
      </c>
      <c r="J96" s="12">
        <v>-2.9061376000000001</v>
      </c>
      <c r="K96" s="12">
        <v>-11.1715553</v>
      </c>
      <c r="L96" s="12">
        <v>3.8539653999999999</v>
      </c>
      <c r="M96" s="12">
        <v>12.6466356</v>
      </c>
      <c r="N96" s="12">
        <v>-0.75381240000000005</v>
      </c>
      <c r="O96" s="12">
        <v>-0.71698709999999999</v>
      </c>
      <c r="P96" s="7">
        <v>983.7</v>
      </c>
      <c r="Q96" s="7">
        <v>52.6</v>
      </c>
      <c r="R96" s="7">
        <v>5.0999999999999996</v>
      </c>
      <c r="S96" s="12">
        <v>6.8247540999999998</v>
      </c>
      <c r="T96" s="12">
        <v>0</v>
      </c>
      <c r="U96" s="12">
        <v>104.74666670000001</v>
      </c>
      <c r="V96" s="12">
        <v>1</v>
      </c>
      <c r="W96" s="12">
        <v>1.3728129</v>
      </c>
      <c r="X96" s="12">
        <v>-2.8028540999999998</v>
      </c>
      <c r="Y96" s="12">
        <v>-3.1055763999999999</v>
      </c>
      <c r="Z96" s="12">
        <v>7.6941170999999997</v>
      </c>
      <c r="AA96" s="12">
        <v>48.7529301</v>
      </c>
      <c r="AB96" s="12">
        <v>20.7155545</v>
      </c>
      <c r="AC96" s="12">
        <v>22.2274493</v>
      </c>
      <c r="AD96" s="12">
        <v>79.958471599999996</v>
      </c>
      <c r="AE96" s="12">
        <v>71.654405499999996</v>
      </c>
      <c r="AF96" s="12">
        <v>0.15415309999999999</v>
      </c>
      <c r="AG96" s="12">
        <v>79.550174400000003</v>
      </c>
    </row>
    <row r="97" spans="1:33" s="11" customFormat="1" hidden="1" outlineLevel="1" x14ac:dyDescent="0.3">
      <c r="A97" s="11" t="s">
        <v>103</v>
      </c>
      <c r="B97" s="12">
        <v>-0.1765746</v>
      </c>
      <c r="C97" s="12">
        <v>107.21</v>
      </c>
      <c r="D97" s="12">
        <v>1.3838102999999999</v>
      </c>
      <c r="E97" s="17">
        <v>0</v>
      </c>
      <c r="F97" s="13">
        <v>60.82</v>
      </c>
      <c r="G97" s="12">
        <v>13.534566699999999</v>
      </c>
      <c r="H97" s="12">
        <v>11.4731261</v>
      </c>
      <c r="I97" s="12">
        <v>-7.0117276000000004</v>
      </c>
      <c r="J97" s="12">
        <v>1.9242653999999999</v>
      </c>
      <c r="K97" s="12">
        <v>-2.9042544000000001</v>
      </c>
      <c r="L97" s="12">
        <v>3.7049827</v>
      </c>
      <c r="M97" s="12">
        <v>5.3180300999999996</v>
      </c>
      <c r="N97" s="12">
        <v>2.3980533999999998</v>
      </c>
      <c r="O97" s="12">
        <v>0.80017890000000003</v>
      </c>
      <c r="P97" s="7">
        <v>928.4</v>
      </c>
      <c r="Q97" s="7">
        <v>55.6</v>
      </c>
      <c r="R97" s="7">
        <v>5.7</v>
      </c>
      <c r="S97" s="12">
        <v>10.594601900000001</v>
      </c>
      <c r="T97" s="12">
        <v>0</v>
      </c>
      <c r="U97" s="12">
        <v>104.55</v>
      </c>
      <c r="V97" s="12">
        <v>1</v>
      </c>
      <c r="W97" s="12">
        <v>3.2946260000000001</v>
      </c>
      <c r="X97" s="12">
        <v>2.1978705000000001</v>
      </c>
      <c r="Y97" s="12">
        <v>2.4396483999999998</v>
      </c>
      <c r="Z97" s="12">
        <v>7.6987655999999998</v>
      </c>
      <c r="AA97" s="12">
        <v>46.991853200000001</v>
      </c>
      <c r="AB97" s="12">
        <v>22.297036800000001</v>
      </c>
      <c r="AC97" s="12">
        <v>21.633985200000001</v>
      </c>
      <c r="AD97" s="12">
        <v>84.413148000000007</v>
      </c>
      <c r="AE97" s="12">
        <v>75.3360232</v>
      </c>
      <c r="AF97" s="12">
        <v>0.66363640000000002</v>
      </c>
      <c r="AG97" s="12">
        <v>76.8135458</v>
      </c>
    </row>
    <row r="98" spans="1:33" s="11" customFormat="1" hidden="1" outlineLevel="1" x14ac:dyDescent="0.3">
      <c r="A98" s="11" t="s">
        <v>104</v>
      </c>
      <c r="B98" s="12">
        <v>14.630134099999999</v>
      </c>
      <c r="C98" s="12">
        <v>108.82</v>
      </c>
      <c r="D98" s="12">
        <v>2.1752058000000001</v>
      </c>
      <c r="E98" s="17">
        <v>0</v>
      </c>
      <c r="F98" s="13">
        <v>68.833333300000007</v>
      </c>
      <c r="G98" s="12">
        <v>2.7967206</v>
      </c>
      <c r="H98" s="12">
        <v>18.675216200000001</v>
      </c>
      <c r="I98" s="12">
        <v>-5.8337643000000003</v>
      </c>
      <c r="J98" s="12">
        <v>15.7494128</v>
      </c>
      <c r="K98" s="12">
        <v>13.234037600000001</v>
      </c>
      <c r="L98" s="12">
        <v>6.4312303999999996</v>
      </c>
      <c r="M98" s="12">
        <v>35.590916</v>
      </c>
      <c r="N98" s="12">
        <v>32.406615299999999</v>
      </c>
      <c r="O98" s="12">
        <v>35.6306704</v>
      </c>
      <c r="P98" s="7">
        <v>978.5</v>
      </c>
      <c r="Q98" s="7">
        <v>44.4</v>
      </c>
      <c r="R98" s="7">
        <v>4.4000000000000004</v>
      </c>
      <c r="S98" s="12">
        <v>5.5346812999999999</v>
      </c>
      <c r="T98" s="12">
        <v>0</v>
      </c>
      <c r="U98" s="12">
        <v>106.5</v>
      </c>
      <c r="V98" s="12">
        <v>1</v>
      </c>
      <c r="W98" s="12">
        <v>25.505689</v>
      </c>
      <c r="X98" s="12">
        <v>36.021164300000002</v>
      </c>
      <c r="Y98" s="12">
        <v>42.1280152</v>
      </c>
      <c r="Z98" s="12">
        <v>2.5464723999999999</v>
      </c>
      <c r="AA98" s="12">
        <v>48.927560900000003</v>
      </c>
      <c r="AB98" s="12">
        <v>21.682284200000002</v>
      </c>
      <c r="AC98" s="12">
        <v>22.9190118</v>
      </c>
      <c r="AD98" s="12">
        <v>81.408774199999996</v>
      </c>
      <c r="AE98" s="12">
        <v>74.937631199999998</v>
      </c>
      <c r="AF98" s="12">
        <v>2.897351</v>
      </c>
      <c r="AG98" s="12">
        <v>75.500967900000006</v>
      </c>
    </row>
    <row r="99" spans="1:33" s="11" customFormat="1" hidden="1" outlineLevel="1" x14ac:dyDescent="0.3">
      <c r="A99" s="11" t="s">
        <v>105</v>
      </c>
      <c r="B99" s="12">
        <v>4.8925850000000004</v>
      </c>
      <c r="C99" s="12">
        <v>109.55666669999999</v>
      </c>
      <c r="D99" s="12">
        <v>3.0927511999999999</v>
      </c>
      <c r="E99" s="17">
        <v>0</v>
      </c>
      <c r="F99" s="13">
        <v>73.47</v>
      </c>
      <c r="G99" s="12">
        <v>9.6296429000000003</v>
      </c>
      <c r="H99" s="12">
        <v>10.5199812</v>
      </c>
      <c r="I99" s="12">
        <v>-1.8056325</v>
      </c>
      <c r="J99" s="12">
        <v>5.6717389000000002</v>
      </c>
      <c r="K99" s="12">
        <v>7.6653855999999996</v>
      </c>
      <c r="L99" s="12">
        <v>5.8131556</v>
      </c>
      <c r="M99" s="12">
        <v>23.289210199999999</v>
      </c>
      <c r="N99" s="12">
        <v>12.3992348</v>
      </c>
      <c r="O99" s="12">
        <v>19.760125599999999</v>
      </c>
      <c r="P99" s="7">
        <v>998.3</v>
      </c>
      <c r="Q99" s="7">
        <v>47.2</v>
      </c>
      <c r="R99" s="7">
        <v>4.5</v>
      </c>
      <c r="S99" s="12">
        <v>5.3665769000000001</v>
      </c>
      <c r="T99" s="12">
        <v>0</v>
      </c>
      <c r="U99" s="12">
        <v>107.33666669999999</v>
      </c>
      <c r="V99" s="12">
        <v>1</v>
      </c>
      <c r="W99" s="12">
        <v>6.1665245999999998</v>
      </c>
      <c r="X99" s="12">
        <v>19.251569199999999</v>
      </c>
      <c r="Y99" s="12">
        <v>28.753084999999999</v>
      </c>
      <c r="Z99" s="12">
        <v>3.4680545</v>
      </c>
      <c r="AA99" s="12">
        <v>54.123943500000003</v>
      </c>
      <c r="AB99" s="12">
        <v>19.3540767</v>
      </c>
      <c r="AC99" s="12">
        <v>21.5398812</v>
      </c>
      <c r="AD99" s="12">
        <v>80.986970799999995</v>
      </c>
      <c r="AE99" s="12">
        <v>76.0048721</v>
      </c>
      <c r="AF99" s="12">
        <v>3.6398294</v>
      </c>
      <c r="AG99" s="12">
        <v>76.784088400000002</v>
      </c>
    </row>
    <row r="100" spans="1:33" s="11" customFormat="1" hidden="1" outlineLevel="1" x14ac:dyDescent="0.3">
      <c r="A100" s="11" t="s">
        <v>106</v>
      </c>
      <c r="B100" s="12">
        <v>5.3916862999999999</v>
      </c>
      <c r="C100" s="12">
        <v>111.5333333</v>
      </c>
      <c r="D100" s="12">
        <v>4.9396268000000001</v>
      </c>
      <c r="E100" s="17">
        <v>0</v>
      </c>
      <c r="F100" s="13">
        <v>79.586666699999995</v>
      </c>
      <c r="G100" s="12">
        <v>3.6737226000000001</v>
      </c>
      <c r="H100" s="12">
        <v>15.4128001</v>
      </c>
      <c r="I100" s="12">
        <v>-4.1951507000000001</v>
      </c>
      <c r="J100" s="12">
        <v>10.0330712</v>
      </c>
      <c r="K100" s="12">
        <v>22.8216939</v>
      </c>
      <c r="L100" s="12">
        <v>8.3663247999999992</v>
      </c>
      <c r="M100" s="12">
        <v>-3.0312415000000001</v>
      </c>
      <c r="N100" s="12">
        <v>13.8135175</v>
      </c>
      <c r="O100" s="12">
        <v>18.3930981</v>
      </c>
      <c r="P100" s="7">
        <v>981</v>
      </c>
      <c r="Q100" s="7">
        <v>46.3</v>
      </c>
      <c r="R100" s="7">
        <v>4.5</v>
      </c>
      <c r="S100" s="12">
        <v>2.8130142999999999</v>
      </c>
      <c r="T100" s="12">
        <v>0</v>
      </c>
      <c r="U100" s="12">
        <v>109.48</v>
      </c>
      <c r="V100" s="12">
        <v>1</v>
      </c>
      <c r="W100" s="12">
        <v>7.8597982000000002</v>
      </c>
      <c r="X100" s="12">
        <v>23.272225800000001</v>
      </c>
      <c r="Y100" s="12">
        <v>32.314741499999997</v>
      </c>
      <c r="Z100" s="12">
        <v>0.20343169999999999</v>
      </c>
      <c r="AA100" s="12">
        <v>55.829433600000002</v>
      </c>
      <c r="AB100" s="12">
        <v>19.923371599999999</v>
      </c>
      <c r="AC100" s="12">
        <v>20.884460799999999</v>
      </c>
      <c r="AD100" s="12">
        <v>87.393701500000006</v>
      </c>
      <c r="AE100" s="12">
        <v>84.030967599999997</v>
      </c>
      <c r="AF100" s="12">
        <v>5.1607061999999999</v>
      </c>
      <c r="AG100" s="12">
        <v>74.367621299999996</v>
      </c>
    </row>
    <row r="101" spans="1:33" hidden="1" outlineLevel="1" x14ac:dyDescent="0.3">
      <c r="A101" t="s">
        <v>108</v>
      </c>
      <c r="B101" s="12">
        <v>5.7284746999999996</v>
      </c>
      <c r="C101" s="12">
        <v>114.2266667</v>
      </c>
      <c r="D101" s="12">
        <v>6.5447875</v>
      </c>
      <c r="E101" s="17">
        <v>0</v>
      </c>
      <c r="F101" s="12">
        <v>100.2966667</v>
      </c>
      <c r="G101" s="12">
        <v>0.37379849999999998</v>
      </c>
      <c r="H101" s="12">
        <v>8.5371085000000004</v>
      </c>
      <c r="I101" s="12">
        <v>-2.9976731000000001</v>
      </c>
      <c r="J101" s="12">
        <v>5.0427657000000004</v>
      </c>
      <c r="K101" s="12">
        <v>9.0859620000000003</v>
      </c>
      <c r="L101" s="12">
        <v>2.2453737</v>
      </c>
      <c r="M101" s="12">
        <v>26.0897881</v>
      </c>
      <c r="N101" s="12">
        <v>7.8261140999999999</v>
      </c>
      <c r="O101" s="12">
        <v>16.3528327</v>
      </c>
      <c r="P101" s="7">
        <v>980.2</v>
      </c>
      <c r="Q101" s="7">
        <v>44.1</v>
      </c>
      <c r="R101" s="7">
        <v>4.3</v>
      </c>
      <c r="S101" s="12">
        <v>-1.2447811</v>
      </c>
      <c r="T101" s="12">
        <v>0</v>
      </c>
      <c r="U101" s="12">
        <v>111.17</v>
      </c>
      <c r="V101" s="12">
        <v>1</v>
      </c>
      <c r="W101" s="12">
        <v>6.3790848999999996</v>
      </c>
      <c r="X101" s="12">
        <v>23.0586804</v>
      </c>
      <c r="Y101" s="12">
        <v>36.790246799999998</v>
      </c>
      <c r="Z101" s="12">
        <v>-1.1400372000000001</v>
      </c>
      <c r="AA101" s="12">
        <v>50.634828900000002</v>
      </c>
      <c r="AB101" s="12">
        <v>20.878297100000001</v>
      </c>
      <c r="AC101" s="12">
        <v>27.733356199999999</v>
      </c>
      <c r="AD101" s="12">
        <v>94.673840100000007</v>
      </c>
      <c r="AE101" s="12">
        <v>93.921103200000005</v>
      </c>
      <c r="AF101" s="12">
        <v>6.8996658999999996</v>
      </c>
      <c r="AG101" s="12">
        <v>70.5589461</v>
      </c>
    </row>
    <row r="102" spans="1:33" hidden="1" outlineLevel="1" x14ac:dyDescent="0.3">
      <c r="A102" t="s">
        <v>109</v>
      </c>
      <c r="B102" s="12">
        <v>4.2015890999999996</v>
      </c>
      <c r="C102" s="12">
        <v>118.4333333</v>
      </c>
      <c r="D102" s="12">
        <v>8.8341604</v>
      </c>
      <c r="E102" s="17">
        <v>0</v>
      </c>
      <c r="F102" s="12">
        <v>113.5433333</v>
      </c>
      <c r="G102" s="12">
        <v>3.5152057000000001</v>
      </c>
      <c r="H102" s="12">
        <v>7.2277393999999999</v>
      </c>
      <c r="I102" s="12">
        <v>-3.9583046</v>
      </c>
      <c r="J102" s="12">
        <v>4.4310301000000001</v>
      </c>
      <c r="K102" s="12">
        <v>7.4188403999999997</v>
      </c>
      <c r="L102" s="12">
        <v>-0.58907449999999995</v>
      </c>
      <c r="M102" s="12">
        <v>3.1492553999999999</v>
      </c>
      <c r="N102" s="12">
        <v>10.2058596</v>
      </c>
      <c r="O102" s="12">
        <v>11.0782755</v>
      </c>
      <c r="P102" s="7">
        <v>986.8</v>
      </c>
      <c r="Q102" s="7">
        <v>43.6</v>
      </c>
      <c r="R102" s="7">
        <v>4.2</v>
      </c>
      <c r="S102" s="12">
        <v>0.74867499999999998</v>
      </c>
      <c r="T102" s="12">
        <v>0</v>
      </c>
      <c r="U102" s="12">
        <v>116.05</v>
      </c>
      <c r="V102" s="12">
        <v>1</v>
      </c>
      <c r="W102" s="12">
        <v>2.8204482</v>
      </c>
      <c r="X102" s="12">
        <v>28.901782600000001</v>
      </c>
      <c r="Y102" s="12">
        <v>36.129529400000003</v>
      </c>
      <c r="Z102" s="12">
        <v>-1.6015463000000001</v>
      </c>
      <c r="AA102" s="12">
        <v>52.678448099999997</v>
      </c>
      <c r="AB102" s="12">
        <v>19.332458899999999</v>
      </c>
      <c r="AC102" s="12">
        <v>25.3279028</v>
      </c>
      <c r="AD102" s="12">
        <v>95.258870599999995</v>
      </c>
      <c r="AE102" s="12">
        <v>92.598370799999998</v>
      </c>
      <c r="AF102" s="12">
        <v>8.1344417999999994</v>
      </c>
      <c r="AG102" s="12">
        <v>71.976955599999997</v>
      </c>
    </row>
    <row r="103" spans="1:33" hidden="1" outlineLevel="1" x14ac:dyDescent="0.3">
      <c r="A103" t="s">
        <v>110</v>
      </c>
      <c r="B103" s="12">
        <v>2.5907767000000002</v>
      </c>
      <c r="C103" s="12">
        <v>120.83</v>
      </c>
      <c r="D103" s="12">
        <v>10.289956500000001</v>
      </c>
      <c r="E103" s="17">
        <v>0.75</v>
      </c>
      <c r="F103" s="12">
        <v>100.7133333</v>
      </c>
      <c r="G103" s="12">
        <v>6.4918728999999997</v>
      </c>
      <c r="H103" s="12">
        <v>8.4160015999999995</v>
      </c>
      <c r="I103" s="12">
        <v>-0.98882369999999997</v>
      </c>
      <c r="J103" s="12">
        <v>0.93919759999999997</v>
      </c>
      <c r="K103" s="12">
        <v>-1.5828169000000001</v>
      </c>
      <c r="L103" s="12">
        <v>-2.0798592</v>
      </c>
      <c r="M103" s="12">
        <v>2.1750327</v>
      </c>
      <c r="N103" s="12">
        <v>12.6989749</v>
      </c>
      <c r="O103" s="12">
        <v>11.3979803</v>
      </c>
      <c r="P103" s="7">
        <v>995.5</v>
      </c>
      <c r="Q103" s="7">
        <v>41.7</v>
      </c>
      <c r="R103" s="7">
        <v>4</v>
      </c>
      <c r="S103" s="12">
        <v>4.9525379999999997</v>
      </c>
      <c r="T103" s="12">
        <v>1.25</v>
      </c>
      <c r="U103" s="12">
        <v>119.4366667</v>
      </c>
      <c r="V103" s="12">
        <v>1</v>
      </c>
      <c r="W103" s="12">
        <v>1.7398286999999999</v>
      </c>
      <c r="X103" s="12">
        <v>28.970805200000001</v>
      </c>
      <c r="Y103" s="12">
        <v>30.8498424</v>
      </c>
      <c r="Z103" s="12">
        <v>1.0277327000000001</v>
      </c>
      <c r="AA103" s="12">
        <v>54.541612499999999</v>
      </c>
      <c r="AB103" s="12">
        <v>18.232863300000002</v>
      </c>
      <c r="AC103" s="12">
        <v>22.5316303</v>
      </c>
      <c r="AD103" s="12">
        <v>94.924395899999993</v>
      </c>
      <c r="AE103" s="12">
        <v>90.229831099999998</v>
      </c>
      <c r="AF103" s="12">
        <v>8.5741811000000006</v>
      </c>
      <c r="AG103" s="12">
        <v>73.204214100000002</v>
      </c>
    </row>
    <row r="104" spans="1:33" hidden="1" outlineLevel="1" x14ac:dyDescent="0.3">
      <c r="A104" t="s">
        <v>111</v>
      </c>
      <c r="B104" s="12">
        <v>1.4006327999999999</v>
      </c>
      <c r="C104" s="12">
        <v>123.8</v>
      </c>
      <c r="D104" s="12">
        <v>10.9982068</v>
      </c>
      <c r="E104" s="17">
        <v>1.9166666999999999</v>
      </c>
      <c r="F104" s="12">
        <v>88.556666699999994</v>
      </c>
      <c r="G104" s="12">
        <v>5.5648797999999999</v>
      </c>
      <c r="H104" s="12">
        <v>5.6219390000000002</v>
      </c>
      <c r="I104" s="12">
        <v>-4.1277479000000001</v>
      </c>
      <c r="J104" s="12">
        <v>-0.1630682</v>
      </c>
      <c r="K104" s="12">
        <v>0</v>
      </c>
      <c r="L104" s="12">
        <v>-1.6285928000000001</v>
      </c>
      <c r="M104" s="12">
        <v>1.9482592999999999</v>
      </c>
      <c r="N104" s="12">
        <v>-1.3003901</v>
      </c>
      <c r="O104" s="12">
        <v>-1.1155691000000001</v>
      </c>
      <c r="P104" s="7">
        <v>982</v>
      </c>
      <c r="Q104" s="7">
        <v>35.299999999999997</v>
      </c>
      <c r="R104" s="7">
        <v>3.5</v>
      </c>
      <c r="S104" s="12">
        <v>6.5087207999999999</v>
      </c>
      <c r="T104" s="12">
        <v>2.5</v>
      </c>
      <c r="U104" s="12">
        <v>121.0933333</v>
      </c>
      <c r="V104" s="12">
        <v>1</v>
      </c>
      <c r="W104" s="12">
        <v>-5.6868537999999997</v>
      </c>
      <c r="X104" s="12">
        <v>12.1751003</v>
      </c>
      <c r="Y104" s="12">
        <v>15.6678324</v>
      </c>
      <c r="Z104" s="12">
        <v>-2.3829741000000002</v>
      </c>
      <c r="AA104" s="12">
        <v>57.562034099999998</v>
      </c>
      <c r="AB104" s="12">
        <v>19.658188800000001</v>
      </c>
      <c r="AC104" s="12">
        <v>22.034423700000001</v>
      </c>
      <c r="AD104" s="12">
        <v>91.821330900000007</v>
      </c>
      <c r="AE104" s="12">
        <v>91.076651400000003</v>
      </c>
      <c r="AF104" s="12">
        <v>7.6625053999999997</v>
      </c>
      <c r="AG104" s="12">
        <v>72.305860899999999</v>
      </c>
    </row>
    <row r="105" spans="1:33" collapsed="1" x14ac:dyDescent="0.3">
      <c r="A105" t="s">
        <v>112</v>
      </c>
      <c r="B105" s="12">
        <v>1.3448477999999999</v>
      </c>
      <c r="C105" s="12">
        <v>124.9666667</v>
      </c>
      <c r="D105" s="12">
        <v>9.4023579000000002</v>
      </c>
      <c r="E105" s="17">
        <v>3</v>
      </c>
      <c r="F105" s="12">
        <v>81.173333299999996</v>
      </c>
      <c r="G105" s="12">
        <v>10.0469135</v>
      </c>
      <c r="H105" s="12">
        <v>7.7882797999999998</v>
      </c>
      <c r="I105" s="12">
        <v>-3.8497626</v>
      </c>
      <c r="J105" s="12">
        <v>0.97692809999999997</v>
      </c>
      <c r="K105" s="12">
        <v>3.1548346</v>
      </c>
      <c r="L105" s="12">
        <v>-0.84678730000000002</v>
      </c>
      <c r="M105" s="12">
        <v>-16.938122</v>
      </c>
      <c r="N105" s="12">
        <v>2.5063553000000001</v>
      </c>
      <c r="O105" s="12">
        <v>-2.0979442000000001</v>
      </c>
      <c r="P105" s="7">
        <v>972.3</v>
      </c>
      <c r="Q105" s="7">
        <v>38</v>
      </c>
      <c r="R105" s="7">
        <v>3.8</v>
      </c>
      <c r="S105" s="12">
        <v>10.4154008</v>
      </c>
      <c r="T105" s="12">
        <v>3.5</v>
      </c>
      <c r="U105" s="12">
        <v>122.1866667</v>
      </c>
      <c r="V105" s="12">
        <v>1</v>
      </c>
      <c r="W105" s="12">
        <v>-3.4652248999999999</v>
      </c>
      <c r="X105" s="12">
        <v>10.569748499999999</v>
      </c>
      <c r="Y105" s="12">
        <v>4.0870012999999998</v>
      </c>
      <c r="Z105" s="12">
        <v>3.9025848000000001</v>
      </c>
      <c r="AA105" s="12">
        <v>50.8329916</v>
      </c>
      <c r="AB105" s="12">
        <v>19.8840693</v>
      </c>
      <c r="AC105" s="12">
        <v>23.024902900000001</v>
      </c>
      <c r="AD105" s="12">
        <v>93.265174200000004</v>
      </c>
      <c r="AE105" s="12">
        <v>87.006442899999996</v>
      </c>
      <c r="AF105" s="12">
        <v>6.1333108000000003</v>
      </c>
      <c r="AG105" s="12">
        <v>68.142326299999993</v>
      </c>
    </row>
    <row r="106" spans="1:33" x14ac:dyDescent="0.3">
      <c r="A106" t="s">
        <v>113</v>
      </c>
      <c r="B106" s="12">
        <v>0.20197219999999999</v>
      </c>
      <c r="C106" s="12">
        <v>126.9766667</v>
      </c>
      <c r="D106" s="12">
        <v>7.2136222999999999</v>
      </c>
      <c r="E106" s="17">
        <v>3.75</v>
      </c>
      <c r="F106" s="12">
        <v>78.316666699999999</v>
      </c>
      <c r="G106" s="12">
        <v>8.0604279999999999</v>
      </c>
      <c r="H106" s="12">
        <v>8.3966469999999997</v>
      </c>
      <c r="I106" s="12">
        <v>-3.723646</v>
      </c>
      <c r="J106" s="12">
        <v>1.5938999</v>
      </c>
      <c r="K106" s="12">
        <v>0.27459810000000001</v>
      </c>
      <c r="L106" s="12">
        <v>3.3748437999999998</v>
      </c>
      <c r="M106" s="12">
        <v>-14.9522952</v>
      </c>
      <c r="N106" s="12">
        <v>-1.3483385999999999</v>
      </c>
      <c r="O106" s="12">
        <v>-6.1920723999999998</v>
      </c>
      <c r="P106" s="7">
        <v>996.4</v>
      </c>
      <c r="Q106" s="7">
        <v>37.4</v>
      </c>
      <c r="R106" s="7">
        <v>3.6</v>
      </c>
      <c r="S106" s="12">
        <v>9.9441582999999998</v>
      </c>
      <c r="T106" s="12">
        <v>4</v>
      </c>
      <c r="U106" s="12">
        <v>125.2733333</v>
      </c>
      <c r="V106" s="12">
        <v>1</v>
      </c>
      <c r="W106" s="12">
        <v>-4.1636052000000001</v>
      </c>
      <c r="X106" s="12">
        <v>-0.30032419999999999</v>
      </c>
      <c r="Y106" s="12">
        <v>-8.3704476000000003</v>
      </c>
      <c r="Z106" s="12">
        <v>6.8061426000000003</v>
      </c>
      <c r="AA106" s="12">
        <v>51.028017599999998</v>
      </c>
      <c r="AB106" s="12">
        <v>19.576218999999998</v>
      </c>
      <c r="AC106" s="12">
        <v>19.968378300000001</v>
      </c>
      <c r="AD106" s="12">
        <v>85.921481</v>
      </c>
      <c r="AE106" s="12">
        <v>76.494095799999997</v>
      </c>
      <c r="AF106" s="12">
        <v>4.0919236000000003</v>
      </c>
      <c r="AG106" s="12">
        <v>68.483198700000003</v>
      </c>
    </row>
    <row r="107" spans="1:33" x14ac:dyDescent="0.3">
      <c r="A107" t="s">
        <v>114</v>
      </c>
      <c r="B107" s="12">
        <v>-0.19771859999999999</v>
      </c>
      <c r="C107" s="12">
        <v>127.6866667</v>
      </c>
      <c r="D107" s="12">
        <v>5.6746392999999999</v>
      </c>
      <c r="E107" s="17">
        <v>4.25</v>
      </c>
      <c r="F107" s="12">
        <v>86.66</v>
      </c>
      <c r="G107" s="12">
        <v>12.2351931</v>
      </c>
      <c r="H107" s="12">
        <v>8.8330848</v>
      </c>
      <c r="I107" s="12">
        <v>-2.3593321</v>
      </c>
      <c r="J107" s="12">
        <v>1.103529</v>
      </c>
      <c r="K107" s="12">
        <v>-0.81957089999999999</v>
      </c>
      <c r="L107" s="12">
        <v>2.7673968000000002</v>
      </c>
      <c r="M107" s="12">
        <v>-6.0488561000000001</v>
      </c>
      <c r="N107" s="12">
        <v>-9.1912984000000009</v>
      </c>
      <c r="O107" s="12">
        <v>-12.102270600000001</v>
      </c>
      <c r="P107" s="7">
        <v>991.4</v>
      </c>
      <c r="Q107" s="7">
        <v>39.799999999999997</v>
      </c>
      <c r="R107" s="7">
        <v>3.9</v>
      </c>
      <c r="S107" s="12">
        <v>10.0316323</v>
      </c>
      <c r="T107" s="12">
        <v>4.5</v>
      </c>
      <c r="U107" s="12">
        <v>126.94333330000001</v>
      </c>
      <c r="V107" s="12">
        <v>1</v>
      </c>
      <c r="W107" s="12">
        <v>-8.3136016999999995</v>
      </c>
      <c r="X107" s="12">
        <v>-9.8440986000000006</v>
      </c>
      <c r="Y107" s="12">
        <v>-12.9866074</v>
      </c>
      <c r="Z107" s="12">
        <v>3.7488811000000002</v>
      </c>
      <c r="AA107" s="12">
        <v>54.018333900000002</v>
      </c>
      <c r="AB107" s="12">
        <v>18.859224099999999</v>
      </c>
      <c r="AC107" s="12">
        <v>20.057409199999999</v>
      </c>
      <c r="AD107" s="12">
        <v>78.862310600000001</v>
      </c>
      <c r="AE107" s="12">
        <v>71.796660399999993</v>
      </c>
      <c r="AF107" s="12">
        <v>3.2588528999999999</v>
      </c>
      <c r="AG107" s="12">
        <v>70.948949900000002</v>
      </c>
    </row>
    <row r="108" spans="1:33" x14ac:dyDescent="0.3">
      <c r="A108" t="s">
        <v>115</v>
      </c>
      <c r="B108" s="7" t="s">
        <v>107</v>
      </c>
      <c r="C108" s="12">
        <v>127.9933333</v>
      </c>
      <c r="D108" s="12">
        <v>3.3871836000000002</v>
      </c>
      <c r="E108" s="17">
        <v>4.5</v>
      </c>
      <c r="F108" s="12">
        <v>83.723333299999993</v>
      </c>
      <c r="G108" s="7" t="s">
        <v>107</v>
      </c>
      <c r="H108" s="7" t="s">
        <v>107</v>
      </c>
      <c r="I108" s="7" t="s">
        <v>107</v>
      </c>
      <c r="J108" s="7" t="s">
        <v>107</v>
      </c>
      <c r="K108" s="7" t="s">
        <v>107</v>
      </c>
      <c r="L108" s="7" t="s">
        <v>107</v>
      </c>
      <c r="M108" s="7" t="s">
        <v>107</v>
      </c>
      <c r="N108" s="7" t="s">
        <v>107</v>
      </c>
      <c r="O108" s="7" t="s">
        <v>107</v>
      </c>
      <c r="P108" s="7" t="s">
        <v>107</v>
      </c>
      <c r="Q108" s="7" t="s">
        <v>107</v>
      </c>
      <c r="R108" s="7" t="s">
        <v>107</v>
      </c>
      <c r="S108" s="7" t="s">
        <v>107</v>
      </c>
      <c r="T108" s="12">
        <v>4.5</v>
      </c>
      <c r="U108" s="12">
        <v>127.11</v>
      </c>
      <c r="V108" s="12">
        <v>1</v>
      </c>
      <c r="W108" s="7" t="s">
        <v>107</v>
      </c>
      <c r="X108" s="7" t="s">
        <v>107</v>
      </c>
      <c r="Y108" s="7" t="s">
        <v>107</v>
      </c>
      <c r="Z108" s="7" t="s">
        <v>107</v>
      </c>
      <c r="AA108" s="7" t="s">
        <v>107</v>
      </c>
      <c r="AB108" s="7" t="s">
        <v>107</v>
      </c>
      <c r="AC108" s="7" t="s">
        <v>107</v>
      </c>
      <c r="AD108" s="7" t="s">
        <v>107</v>
      </c>
      <c r="AE108" s="7" t="s">
        <v>107</v>
      </c>
      <c r="AF108" s="7" t="s">
        <v>107</v>
      </c>
      <c r="AG108" s="7" t="s">
        <v>107</v>
      </c>
    </row>
  </sheetData>
  <pageMargins left="0.7" right="0.7" top="0.75" bottom="0.75" header="0.3" footer="0.3"/>
  <pageSetup paperSize="9" orientation="portrait" horizontalDpi="90" verticalDpi="9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0A064-89C4-41F2-8F97-6DF4811FCBBE}">
  <sheetPr codeName="Tabelle5">
    <tabColor rgb="FFFFC000"/>
  </sheetPr>
  <dimension ref="A1:AG108"/>
  <sheetViews>
    <sheetView workbookViewId="0">
      <pane xSplit="1" ySplit="12" topLeftCell="Z13" activePane="bottomRight" state="frozen"/>
      <selection activeCell="E12" sqref="E12"/>
      <selection pane="topRight" activeCell="E12" sqref="E12"/>
      <selection pane="bottomLeft" activeCell="E12" sqref="E12"/>
      <selection pane="bottomRight" activeCell="AG1" sqref="AG1"/>
    </sheetView>
  </sheetViews>
  <sheetFormatPr defaultColWidth="9.109375" defaultRowHeight="14.4" outlineLevelRow="1" x14ac:dyDescent="0.3"/>
  <cols>
    <col min="2" max="2" width="11.5546875" bestFit="1" customWidth="1"/>
    <col min="4" max="4" width="12.44140625" customWidth="1"/>
    <col min="7" max="7" width="12.44140625" bestFit="1" customWidth="1"/>
    <col min="8" max="8" width="12.33203125" customWidth="1"/>
    <col min="18" max="18" width="11.109375" bestFit="1" customWidth="1"/>
    <col min="19" max="19" width="12.44140625" bestFit="1" customWidth="1"/>
    <col min="24" max="24" width="12.5546875" bestFit="1" customWidth="1"/>
    <col min="25" max="25" width="12.6640625" bestFit="1" customWidth="1"/>
    <col min="27" max="27" width="13.6640625" customWidth="1"/>
  </cols>
  <sheetData>
    <row r="1" spans="1:33" s="8" customFormat="1" x14ac:dyDescent="0.3">
      <c r="A1" s="8" t="s">
        <v>0</v>
      </c>
      <c r="B1" s="8" t="s">
        <v>1</v>
      </c>
      <c r="C1" s="8" t="s">
        <v>2</v>
      </c>
      <c r="D1" s="8" t="s">
        <v>3</v>
      </c>
      <c r="E1" s="14" t="s">
        <v>4</v>
      </c>
      <c r="F1" s="8" t="s">
        <v>5</v>
      </c>
      <c r="G1" s="8" t="s">
        <v>6</v>
      </c>
      <c r="H1" s="8" t="s">
        <v>254</v>
      </c>
      <c r="I1" s="8" t="s">
        <v>7</v>
      </c>
      <c r="J1" s="8" t="s">
        <v>230</v>
      </c>
      <c r="K1" s="8" t="s">
        <v>231</v>
      </c>
      <c r="L1" s="8" t="s">
        <v>232</v>
      </c>
      <c r="M1" s="8" t="s">
        <v>233</v>
      </c>
      <c r="N1" s="8" t="s">
        <v>234</v>
      </c>
      <c r="O1" s="8" t="s">
        <v>235</v>
      </c>
      <c r="P1" s="8" t="s">
        <v>8</v>
      </c>
      <c r="Q1" s="8" t="s">
        <v>9</v>
      </c>
      <c r="R1" s="8" t="s">
        <v>10</v>
      </c>
      <c r="S1" s="8" t="s">
        <v>11</v>
      </c>
      <c r="T1" s="14" t="s">
        <v>12</v>
      </c>
      <c r="U1" s="8" t="s">
        <v>13</v>
      </c>
      <c r="V1" s="8" t="s">
        <v>14</v>
      </c>
      <c r="W1" s="8" t="s">
        <v>15</v>
      </c>
      <c r="X1" s="8" t="s">
        <v>16</v>
      </c>
      <c r="Y1" s="8" t="s">
        <v>17</v>
      </c>
      <c r="Z1" s="8" t="s">
        <v>18</v>
      </c>
      <c r="AA1" s="9" t="s">
        <v>248</v>
      </c>
      <c r="AB1" s="8" t="s">
        <v>236</v>
      </c>
      <c r="AC1" s="8" t="s">
        <v>237</v>
      </c>
      <c r="AD1" s="8" t="s">
        <v>238</v>
      </c>
      <c r="AE1" s="8" t="s">
        <v>239</v>
      </c>
      <c r="AF1" s="14" t="s">
        <v>255</v>
      </c>
      <c r="AG1" s="14" t="s">
        <v>1317</v>
      </c>
    </row>
    <row r="2" spans="1:33" s="10" customFormat="1" outlineLevel="1" x14ac:dyDescent="0.3">
      <c r="A2" s="16" t="s">
        <v>1292</v>
      </c>
      <c r="B2" s="26"/>
      <c r="C2" s="26"/>
      <c r="D2" s="26" t="s">
        <v>198</v>
      </c>
      <c r="E2" s="26"/>
      <c r="F2" s="26"/>
      <c r="G2" s="26" t="s">
        <v>437</v>
      </c>
      <c r="H2" s="26" t="s">
        <v>439</v>
      </c>
      <c r="I2" s="26"/>
      <c r="J2" s="26" t="s">
        <v>408</v>
      </c>
      <c r="K2" s="26" t="s">
        <v>410</v>
      </c>
      <c r="L2" s="26" t="s">
        <v>412</v>
      </c>
      <c r="M2" s="26" t="s">
        <v>414</v>
      </c>
      <c r="N2" s="26" t="s">
        <v>416</v>
      </c>
      <c r="O2" s="26" t="s">
        <v>418</v>
      </c>
      <c r="P2" s="26"/>
      <c r="Q2" s="26"/>
      <c r="R2" s="26"/>
      <c r="S2" s="26" t="s">
        <v>423</v>
      </c>
      <c r="T2" s="26"/>
      <c r="U2" s="26"/>
      <c r="V2" s="26"/>
      <c r="W2" s="26" t="s">
        <v>427</v>
      </c>
      <c r="X2" s="26" t="s">
        <v>442</v>
      </c>
      <c r="Y2" s="26" t="s">
        <v>444</v>
      </c>
      <c r="Z2" s="26"/>
      <c r="AA2" s="26" t="s">
        <v>430</v>
      </c>
      <c r="AB2" s="26"/>
      <c r="AC2" s="26"/>
      <c r="AD2" s="26"/>
      <c r="AE2" s="26"/>
      <c r="AF2" s="26" t="s">
        <v>877</v>
      </c>
      <c r="AG2" s="26"/>
    </row>
    <row r="3" spans="1:33" outlineLevel="1" x14ac:dyDescent="0.3">
      <c r="A3" s="16" t="s">
        <v>1293</v>
      </c>
      <c r="B3" s="27" t="s">
        <v>123</v>
      </c>
      <c r="C3" s="27" t="s">
        <v>195</v>
      </c>
      <c r="D3" s="27" t="s">
        <v>195</v>
      </c>
      <c r="E3" s="27" t="s">
        <v>186</v>
      </c>
      <c r="F3" s="27" t="s">
        <v>125</v>
      </c>
      <c r="G3" s="27" t="s">
        <v>277</v>
      </c>
      <c r="H3" s="27" t="s">
        <v>277</v>
      </c>
      <c r="I3" s="27" t="s">
        <v>277</v>
      </c>
      <c r="J3" s="27" t="s">
        <v>123</v>
      </c>
      <c r="K3" s="27" t="s">
        <v>125</v>
      </c>
      <c r="L3" s="27" t="s">
        <v>125</v>
      </c>
      <c r="M3" s="27" t="s">
        <v>125</v>
      </c>
      <c r="N3" s="27" t="s">
        <v>125</v>
      </c>
      <c r="O3" s="27" t="s">
        <v>125</v>
      </c>
      <c r="P3" s="27" t="s">
        <v>1277</v>
      </c>
      <c r="Q3" s="27" t="s">
        <v>1277</v>
      </c>
      <c r="R3" s="27" t="s">
        <v>1277</v>
      </c>
      <c r="S3" s="27" t="s">
        <v>425</v>
      </c>
      <c r="T3" s="27" t="s">
        <v>446</v>
      </c>
      <c r="U3" s="27" t="s">
        <v>195</v>
      </c>
      <c r="V3" s="27" t="s">
        <v>284</v>
      </c>
      <c r="W3" s="27" t="s">
        <v>1281</v>
      </c>
      <c r="X3" s="27" t="s">
        <v>207</v>
      </c>
      <c r="Y3" s="27" t="s">
        <v>207</v>
      </c>
      <c r="Z3" s="27" t="s">
        <v>203</v>
      </c>
      <c r="AA3" s="27" t="s">
        <v>125</v>
      </c>
      <c r="AB3" s="27" t="s">
        <v>125</v>
      </c>
      <c r="AC3" s="27" t="s">
        <v>125</v>
      </c>
      <c r="AD3" s="27" t="s">
        <v>125</v>
      </c>
      <c r="AE3" s="27" t="s">
        <v>125</v>
      </c>
      <c r="AF3" s="27" t="s">
        <v>436</v>
      </c>
      <c r="AG3" s="27" t="s">
        <v>125</v>
      </c>
    </row>
    <row r="4" spans="1:33" outlineLevel="1" x14ac:dyDescent="0.3">
      <c r="A4" s="16" t="s">
        <v>1288</v>
      </c>
      <c r="B4" s="2">
        <v>144396</v>
      </c>
      <c r="C4" s="2">
        <v>77811</v>
      </c>
      <c r="D4" s="2">
        <v>77812</v>
      </c>
      <c r="E4" s="2">
        <v>91417</v>
      </c>
      <c r="F4" s="27">
        <v>101874</v>
      </c>
      <c r="G4" s="2">
        <v>32785</v>
      </c>
      <c r="H4" s="2">
        <v>32784</v>
      </c>
      <c r="I4" s="2">
        <v>89162</v>
      </c>
      <c r="J4" s="2">
        <v>88624</v>
      </c>
      <c r="K4" s="27">
        <v>90864</v>
      </c>
      <c r="L4" s="27">
        <v>90908</v>
      </c>
      <c r="M4" s="27">
        <v>90930</v>
      </c>
      <c r="N4" s="27">
        <v>90974</v>
      </c>
      <c r="O4" s="27">
        <v>90996</v>
      </c>
      <c r="P4" s="2">
        <v>32643</v>
      </c>
      <c r="Q4" s="2">
        <v>32665</v>
      </c>
      <c r="R4" s="2">
        <v>32689</v>
      </c>
      <c r="S4" s="2">
        <v>311</v>
      </c>
      <c r="T4" s="2">
        <v>760</v>
      </c>
      <c r="U4" s="2">
        <v>570</v>
      </c>
      <c r="V4" s="2">
        <v>959</v>
      </c>
      <c r="W4" s="2">
        <v>32206</v>
      </c>
      <c r="X4" s="2">
        <v>87254</v>
      </c>
      <c r="Y4" s="2">
        <v>87291</v>
      </c>
      <c r="Z4" s="2">
        <v>88724</v>
      </c>
      <c r="AA4" s="27">
        <v>90336</v>
      </c>
      <c r="AB4" s="27">
        <v>90380</v>
      </c>
      <c r="AC4" s="27">
        <v>90402</v>
      </c>
      <c r="AD4" s="27">
        <v>90490</v>
      </c>
      <c r="AE4" s="27">
        <v>90512</v>
      </c>
      <c r="AF4" s="2">
        <v>89610</v>
      </c>
      <c r="AG4" s="27">
        <v>144762</v>
      </c>
    </row>
    <row r="5" spans="1:33" outlineLevel="1" x14ac:dyDescent="0.3">
      <c r="A5" t="s">
        <v>1291</v>
      </c>
      <c r="B5" s="27" t="s">
        <v>221</v>
      </c>
      <c r="C5" s="27" t="s">
        <v>194</v>
      </c>
      <c r="D5" s="27" t="s">
        <v>199</v>
      </c>
      <c r="E5" s="27" t="s">
        <v>1294</v>
      </c>
      <c r="F5" s="27" t="s">
        <v>189</v>
      </c>
      <c r="G5" s="27" t="s">
        <v>438</v>
      </c>
      <c r="H5" s="27" t="s">
        <v>440</v>
      </c>
      <c r="I5" s="27" t="s">
        <v>407</v>
      </c>
      <c r="J5" s="27" t="s">
        <v>409</v>
      </c>
      <c r="K5" s="27" t="s">
        <v>411</v>
      </c>
      <c r="L5" s="27" t="s">
        <v>413</v>
      </c>
      <c r="M5" s="27" t="s">
        <v>415</v>
      </c>
      <c r="N5" s="27" t="s">
        <v>417</v>
      </c>
      <c r="O5" s="27" t="s">
        <v>419</v>
      </c>
      <c r="P5" s="27" t="s">
        <v>420</v>
      </c>
      <c r="Q5" s="27" t="s">
        <v>421</v>
      </c>
      <c r="R5" s="27" t="s">
        <v>422</v>
      </c>
      <c r="S5" s="27" t="s">
        <v>424</v>
      </c>
      <c r="T5" s="27" t="s">
        <v>1287</v>
      </c>
      <c r="U5" s="27" t="s">
        <v>441</v>
      </c>
      <c r="V5" s="27" t="s">
        <v>426</v>
      </c>
      <c r="W5" s="27" t="s">
        <v>428</v>
      </c>
      <c r="X5" s="27" t="s">
        <v>443</v>
      </c>
      <c r="Y5" s="27" t="s">
        <v>445</v>
      </c>
      <c r="Z5" s="27" t="s">
        <v>429</v>
      </c>
      <c r="AA5" s="27" t="s">
        <v>431</v>
      </c>
      <c r="AB5" s="27" t="s">
        <v>432</v>
      </c>
      <c r="AC5" s="27" t="s">
        <v>433</v>
      </c>
      <c r="AD5" s="27" t="s">
        <v>434</v>
      </c>
      <c r="AE5" s="27" t="s">
        <v>435</v>
      </c>
      <c r="AF5" s="27" t="s">
        <v>878</v>
      </c>
      <c r="AG5" s="27" t="s">
        <v>404</v>
      </c>
    </row>
    <row r="6" spans="1:33" outlineLevel="1" x14ac:dyDescent="0.3">
      <c r="A6" t="s">
        <v>1289</v>
      </c>
      <c r="B6" s="27" t="s">
        <v>222</v>
      </c>
      <c r="C6" s="27" t="s">
        <v>196</v>
      </c>
      <c r="D6" s="27" t="s">
        <v>196</v>
      </c>
      <c r="E6" s="27" t="s">
        <v>187</v>
      </c>
      <c r="F6" s="27" t="s">
        <v>190</v>
      </c>
      <c r="G6" s="27" t="s">
        <v>405</v>
      </c>
      <c r="H6" s="27" t="s">
        <v>405</v>
      </c>
      <c r="I6" s="27" t="s">
        <v>405</v>
      </c>
      <c r="J6" s="27" t="s">
        <v>405</v>
      </c>
      <c r="K6" s="27" t="s">
        <v>405</v>
      </c>
      <c r="L6" s="27" t="s">
        <v>405</v>
      </c>
      <c r="M6" s="27" t="s">
        <v>405</v>
      </c>
      <c r="N6" s="27" t="s">
        <v>405</v>
      </c>
      <c r="O6" s="27" t="s">
        <v>405</v>
      </c>
      <c r="P6" s="27" t="s">
        <v>405</v>
      </c>
      <c r="Q6" s="27" t="s">
        <v>405</v>
      </c>
      <c r="R6" s="27" t="s">
        <v>405</v>
      </c>
      <c r="S6" s="27" t="s">
        <v>405</v>
      </c>
      <c r="T6" s="27" t="s">
        <v>405</v>
      </c>
      <c r="U6" s="27" t="s">
        <v>405</v>
      </c>
      <c r="V6" s="27" t="s">
        <v>405</v>
      </c>
      <c r="W6" s="27" t="s">
        <v>405</v>
      </c>
      <c r="X6" s="27" t="s">
        <v>405</v>
      </c>
      <c r="Y6" s="27" t="s">
        <v>405</v>
      </c>
      <c r="Z6" s="27" t="s">
        <v>405</v>
      </c>
      <c r="AA6" s="27" t="s">
        <v>405</v>
      </c>
      <c r="AB6" s="27" t="s">
        <v>405</v>
      </c>
      <c r="AC6" s="27" t="s">
        <v>405</v>
      </c>
      <c r="AD6" s="27" t="s">
        <v>405</v>
      </c>
      <c r="AE6" s="27" t="s">
        <v>405</v>
      </c>
      <c r="AF6" s="27" t="s">
        <v>405</v>
      </c>
      <c r="AG6" s="27" t="s">
        <v>405</v>
      </c>
    </row>
    <row r="7" spans="1:33" outlineLevel="1" x14ac:dyDescent="0.3">
      <c r="A7" t="s">
        <v>1290</v>
      </c>
      <c r="B7" s="27" t="s">
        <v>223</v>
      </c>
      <c r="C7" s="27" t="s">
        <v>197</v>
      </c>
      <c r="D7" s="27" t="s">
        <v>197</v>
      </c>
      <c r="E7" s="27" t="s">
        <v>188</v>
      </c>
      <c r="F7" s="27" t="s">
        <v>191</v>
      </c>
      <c r="G7" s="27" t="s">
        <v>406</v>
      </c>
      <c r="H7" s="27" t="s">
        <v>406</v>
      </c>
      <c r="I7" s="27" t="s">
        <v>406</v>
      </c>
      <c r="J7" s="27" t="s">
        <v>406</v>
      </c>
      <c r="K7" s="27" t="s">
        <v>406</v>
      </c>
      <c r="L7" s="27" t="s">
        <v>406</v>
      </c>
      <c r="M7" s="27" t="s">
        <v>406</v>
      </c>
      <c r="N7" s="27" t="s">
        <v>406</v>
      </c>
      <c r="O7" s="27" t="s">
        <v>406</v>
      </c>
      <c r="P7" s="27" t="s">
        <v>406</v>
      </c>
      <c r="Q7" s="27" t="s">
        <v>406</v>
      </c>
      <c r="R7" s="27" t="s">
        <v>406</v>
      </c>
      <c r="S7" s="27" t="s">
        <v>406</v>
      </c>
      <c r="T7" s="27" t="s">
        <v>406</v>
      </c>
      <c r="U7" s="27" t="s">
        <v>406</v>
      </c>
      <c r="V7" s="27" t="s">
        <v>406</v>
      </c>
      <c r="W7" s="27" t="s">
        <v>406</v>
      </c>
      <c r="X7" s="27" t="s">
        <v>406</v>
      </c>
      <c r="Y7" s="27" t="s">
        <v>406</v>
      </c>
      <c r="Z7" s="27" t="s">
        <v>406</v>
      </c>
      <c r="AA7" s="27" t="s">
        <v>406</v>
      </c>
      <c r="AB7" s="27" t="s">
        <v>406</v>
      </c>
      <c r="AC7" s="27" t="s">
        <v>406</v>
      </c>
      <c r="AD7" s="27" t="s">
        <v>406</v>
      </c>
      <c r="AE7" s="27" t="s">
        <v>406</v>
      </c>
      <c r="AF7" s="27" t="s">
        <v>406</v>
      </c>
      <c r="AG7" s="27" t="s">
        <v>406</v>
      </c>
    </row>
    <row r="8" spans="1:33" outlineLevel="1" x14ac:dyDescent="0.3">
      <c r="A8" s="16" t="s">
        <v>489</v>
      </c>
      <c r="B8" s="27" t="s">
        <v>120</v>
      </c>
      <c r="C8" s="27" t="s">
        <v>163</v>
      </c>
      <c r="D8" s="27" t="s">
        <v>163</v>
      </c>
      <c r="E8" s="27" t="s">
        <v>159</v>
      </c>
      <c r="F8" s="27"/>
      <c r="G8" s="27" t="s">
        <v>290</v>
      </c>
      <c r="H8" s="27" t="s">
        <v>293</v>
      </c>
      <c r="I8" s="27" t="s">
        <v>278</v>
      </c>
      <c r="J8" s="27" t="s">
        <v>120</v>
      </c>
      <c r="K8" s="27" t="s">
        <v>126</v>
      </c>
      <c r="L8" s="27" t="s">
        <v>129</v>
      </c>
      <c r="M8" s="27" t="s">
        <v>132</v>
      </c>
      <c r="N8" s="27" t="s">
        <v>135</v>
      </c>
      <c r="O8" s="27" t="s">
        <v>138</v>
      </c>
      <c r="P8" s="27" t="s">
        <v>141</v>
      </c>
      <c r="Q8" s="27" t="s">
        <v>146</v>
      </c>
      <c r="R8" s="27" t="s">
        <v>149</v>
      </c>
      <c r="S8" s="27" t="s">
        <v>154</v>
      </c>
      <c r="T8" s="27" t="s">
        <v>159</v>
      </c>
      <c r="U8" s="27" t="s">
        <v>163</v>
      </c>
      <c r="V8" s="27" t="s">
        <v>168</v>
      </c>
      <c r="W8" s="27" t="s">
        <v>217</v>
      </c>
      <c r="X8" s="27" t="s">
        <v>208</v>
      </c>
      <c r="Y8" s="27" t="s">
        <v>213</v>
      </c>
      <c r="Z8" s="27" t="s">
        <v>204</v>
      </c>
      <c r="AA8" s="27" t="s">
        <v>126</v>
      </c>
      <c r="AB8" s="27" t="s">
        <v>129</v>
      </c>
      <c r="AC8" s="27" t="s">
        <v>132</v>
      </c>
      <c r="AD8" s="27" t="s">
        <v>135</v>
      </c>
      <c r="AE8" s="27" t="s">
        <v>138</v>
      </c>
      <c r="AF8" s="27" t="s">
        <v>351</v>
      </c>
      <c r="AG8" s="27" t="s">
        <v>402</v>
      </c>
    </row>
    <row r="9" spans="1:33" outlineLevel="1" x14ac:dyDescent="0.3">
      <c r="A9" s="16" t="s">
        <v>490</v>
      </c>
      <c r="B9" s="27" t="s">
        <v>121</v>
      </c>
      <c r="C9" s="27" t="s">
        <v>164</v>
      </c>
      <c r="D9" s="27" t="s">
        <v>164</v>
      </c>
      <c r="E9" s="27" t="s">
        <v>160</v>
      </c>
      <c r="F9" s="27"/>
      <c r="G9" s="27" t="s">
        <v>291</v>
      </c>
      <c r="H9" s="27" t="s">
        <v>294</v>
      </c>
      <c r="I9" s="27" t="s">
        <v>279</v>
      </c>
      <c r="J9" s="27" t="s">
        <v>121</v>
      </c>
      <c r="K9" s="27" t="s">
        <v>127</v>
      </c>
      <c r="L9" s="27" t="s">
        <v>130</v>
      </c>
      <c r="M9" s="27" t="s">
        <v>133</v>
      </c>
      <c r="N9" s="27" t="s">
        <v>136</v>
      </c>
      <c r="O9" s="27" t="s">
        <v>139</v>
      </c>
      <c r="P9" s="27" t="s">
        <v>142</v>
      </c>
      <c r="Q9" s="27" t="s">
        <v>147</v>
      </c>
      <c r="R9" s="27" t="s">
        <v>150</v>
      </c>
      <c r="S9" s="27" t="s">
        <v>155</v>
      </c>
      <c r="T9" s="27" t="s">
        <v>160</v>
      </c>
      <c r="U9" s="27" t="s">
        <v>164</v>
      </c>
      <c r="V9" s="27" t="s">
        <v>169</v>
      </c>
      <c r="W9" s="27" t="s">
        <v>218</v>
      </c>
      <c r="X9" s="27" t="s">
        <v>209</v>
      </c>
      <c r="Y9" s="27" t="s">
        <v>214</v>
      </c>
      <c r="Z9" s="27" t="s">
        <v>205</v>
      </c>
      <c r="AA9" s="27" t="s">
        <v>127</v>
      </c>
      <c r="AB9" s="27" t="s">
        <v>130</v>
      </c>
      <c r="AC9" s="27" t="s">
        <v>133</v>
      </c>
      <c r="AD9" s="27" t="s">
        <v>136</v>
      </c>
      <c r="AE9" s="27" t="s">
        <v>139</v>
      </c>
      <c r="AF9" s="27" t="s">
        <v>352</v>
      </c>
      <c r="AG9" s="28" t="s">
        <v>403</v>
      </c>
    </row>
    <row r="10" spans="1:33" outlineLevel="1" x14ac:dyDescent="0.3">
      <c r="A10" s="16" t="s">
        <v>491</v>
      </c>
      <c r="B10" s="27" t="s">
        <v>224</v>
      </c>
      <c r="C10" s="27" t="s">
        <v>165</v>
      </c>
      <c r="D10" s="27" t="s">
        <v>200</v>
      </c>
      <c r="E10" s="27" t="s">
        <v>447</v>
      </c>
      <c r="F10" s="27"/>
      <c r="G10" s="27" t="s">
        <v>175</v>
      </c>
      <c r="H10" s="27" t="s">
        <v>175</v>
      </c>
      <c r="I10" s="27" t="s">
        <v>184</v>
      </c>
      <c r="J10" s="27" t="s">
        <v>122</v>
      </c>
      <c r="K10" s="27" t="s">
        <v>122</v>
      </c>
      <c r="L10" s="27" t="s">
        <v>122</v>
      </c>
      <c r="M10" s="27" t="s">
        <v>122</v>
      </c>
      <c r="N10" s="27" t="s">
        <v>122</v>
      </c>
      <c r="O10" s="27" t="s">
        <v>122</v>
      </c>
      <c r="P10" s="27" t="s">
        <v>143</v>
      </c>
      <c r="Q10" s="27" t="s">
        <v>143</v>
      </c>
      <c r="R10" s="27" t="s">
        <v>151</v>
      </c>
      <c r="S10" s="27" t="s">
        <v>156</v>
      </c>
      <c r="T10" s="27" t="s">
        <v>447</v>
      </c>
      <c r="U10" s="27" t="s">
        <v>165</v>
      </c>
      <c r="V10" s="27" t="s">
        <v>170</v>
      </c>
      <c r="W10" s="27" t="s">
        <v>219</v>
      </c>
      <c r="X10" s="27" t="s">
        <v>210</v>
      </c>
      <c r="Y10" s="27" t="s">
        <v>210</v>
      </c>
      <c r="Z10" s="27" t="s">
        <v>184</v>
      </c>
      <c r="AA10" s="27" t="s">
        <v>184</v>
      </c>
      <c r="AB10" s="27" t="s">
        <v>184</v>
      </c>
      <c r="AC10" s="27" t="s">
        <v>184</v>
      </c>
      <c r="AD10" s="27" t="s">
        <v>184</v>
      </c>
      <c r="AE10" s="27" t="s">
        <v>184</v>
      </c>
      <c r="AF10" s="27" t="s">
        <v>156</v>
      </c>
      <c r="AG10" s="27" t="s">
        <v>184</v>
      </c>
    </row>
    <row r="11" spans="1:33" ht="15.6" customHeight="1" outlineLevel="1" x14ac:dyDescent="0.3">
      <c r="A11" s="16" t="s">
        <v>492</v>
      </c>
      <c r="B11" s="27" t="s">
        <v>225</v>
      </c>
      <c r="C11" s="27" t="s">
        <v>166</v>
      </c>
      <c r="D11" s="27" t="s">
        <v>201</v>
      </c>
      <c r="E11" s="27" t="s">
        <v>448</v>
      </c>
      <c r="F11" s="27"/>
      <c r="G11" s="27" t="s">
        <v>176</v>
      </c>
      <c r="H11" s="27" t="s">
        <v>176</v>
      </c>
      <c r="I11" s="27" t="s">
        <v>185</v>
      </c>
      <c r="J11" s="27" t="s">
        <v>118</v>
      </c>
      <c r="K11" s="27" t="s">
        <v>118</v>
      </c>
      <c r="L11" s="27" t="s">
        <v>118</v>
      </c>
      <c r="M11" s="27" t="s">
        <v>118</v>
      </c>
      <c r="N11" s="27" t="s">
        <v>118</v>
      </c>
      <c r="O11" s="27" t="s">
        <v>118</v>
      </c>
      <c r="P11" s="27" t="s">
        <v>144</v>
      </c>
      <c r="Q11" s="27" t="s">
        <v>144</v>
      </c>
      <c r="R11" s="27" t="s">
        <v>152</v>
      </c>
      <c r="S11" s="27" t="s">
        <v>157</v>
      </c>
      <c r="T11" s="27" t="s">
        <v>448</v>
      </c>
      <c r="U11" s="27" t="s">
        <v>166</v>
      </c>
      <c r="V11" s="27" t="s">
        <v>171</v>
      </c>
      <c r="W11" s="27" t="s">
        <v>220</v>
      </c>
      <c r="X11" s="27" t="s">
        <v>211</v>
      </c>
      <c r="Y11" s="27" t="s">
        <v>211</v>
      </c>
      <c r="Z11" s="27" t="s">
        <v>185</v>
      </c>
      <c r="AA11" s="27" t="s">
        <v>185</v>
      </c>
      <c r="AB11" s="27" t="s">
        <v>185</v>
      </c>
      <c r="AC11" s="27" t="s">
        <v>185</v>
      </c>
      <c r="AD11" s="27" t="s">
        <v>185</v>
      </c>
      <c r="AE11" s="27" t="s">
        <v>185</v>
      </c>
      <c r="AF11" s="27" t="s">
        <v>157</v>
      </c>
      <c r="AG11" s="27" t="s">
        <v>185</v>
      </c>
    </row>
    <row r="12" spans="1:33" outlineLevel="1" x14ac:dyDescent="0.3">
      <c r="B12" s="4" t="str">
        <f>INDEX({"31/01/2024 @ 15:42","macro_id=DBGlobal","label_id=144396","time=Q","year_from=2000","year_to=2023","direction=V","opt_font=true","fontsize=8","opt_color=true","col_desc=Calculation:10;Footnote 1:9;ID:8;Label:7;Reporter:6:s;Reporter:5:long;Indicator:4:s;Indicator:3:l;Unit:2:s;Unit:1:long;","numberformat=0.00","auto_tr=1999|2015","com=true","comp=4"},1,1)</f>
        <v>31/01/2024 @ 15:42</v>
      </c>
      <c r="C12" s="4" t="str">
        <f>INDEX({"31/01/2024 @ 15:42","macro_id=DBGlobal","label_id=77811","time=Q","year_from=2000","year_to=2023","direction=V","opt_font=true","fontsize=8","opt_color=true","col_desc=Calculation:10;Footnote 1:9;ID:8;Label:7;Reporter:6:s;Reporter:5:long;Indicator:4:s;Indicator:3:l;Unit:2:s;Unit:1:long;","numberformat=0.00","auto_tr=1999|2015","com=true","comp=4"},1,1)</f>
        <v>31/01/2024 @ 15:42</v>
      </c>
      <c r="D12" s="6" t="str">
        <f>INDEX({"31/01/2024 @ 15:42","macro_id=DBGlobal","label_id=77812","calc=SubScal(L_77812,100)","time=Q","year_from=2000","year_to=2023","direction=V","opt_font=true","fontsize=8","opt_color=true","col_desc=Calculation:10;Footnote 1:9;ID:8;Label:7;Reporter:6:s;Reporter:5:long;Indicator:4:s;Indicator:3:l;Unit:2:s;Unit:1:long;","numberformat=0.00","auto_tr=1999|2015","com=true","comp=4"},1,1)</f>
        <v>31/01/2024 @ 15:42</v>
      </c>
      <c r="E12" s="4" t="str">
        <f>INDEX({"31/01/2024 @ 15:42","macro_id=DBGlobal","label_id=91417","time=Q","year_from=2000","year_to=2023","direction=V","opt_font=true","fontsize=8","opt_color=true","col_desc=Calculation:10;Footnote 1:9;ID:8;Label:7;Reporter:6:s;Reporter:5:long;Indicator:4:s;Indicator:3:l;Unit:2:s;Unit:1:long;","numberformat=0.00","auto_tr=1999|2015","com=true","comp=4"},1,1)</f>
        <v>31/01/2024 @ 15:42</v>
      </c>
      <c r="F12" s="4" t="str">
        <f>INDEX({"31/01/2024 @ 15:42","macro_id=DBGlobal","label_id=101874","time=Q","year_from=2000","year_to=2023","direction=V","opt_font=true","fontsize=8","opt_color=true","col_desc=Calculation:10;Footnote 1:9;ID:8;Label:7;Reporter:6:s;Reporter:5:long;Indicator:4:s;Indicator:3:l;Unit:2:s;Unit:1:long;","numberformat=0.00","auto_tr=1999|2015","com=true","comp=4"},1,1)</f>
        <v>31/01/2024 @ 15:42</v>
      </c>
      <c r="G12" s="5" t="str">
        <f>INDEX({"31/01/2024 @ 15:42","macro_id=DBGlobal","label_id=32785","calc=SubScal(CPPY=100(L_32785),100)","time=Q","year_from=2000","year_to=2023","direction=V","opt_font=true","fontsize=8","opt_color=true","col_desc=Calculation:10;Footnote 1:9;ID:8;Label:7;Reporter:6:s;Reporter:5:long;Indicator:4:s;Indicator:3:l;Unit:2:s;Unit:1:long;","numberformat=0.00","auto_tr=1999|2015","com=true","comp=4"},1,1)</f>
        <v>31/01/2024 @ 15:42</v>
      </c>
      <c r="H12" s="5" t="str">
        <f>INDEX({"31/01/2024 @ 15:42","macro_id=DBGlobal","label_id=32784","calc=SubScal(CPPY=100(L_32784),100)","time=Q","year_from=2000","year_to=2023","direction=V","opt_font=true","fontsize=8","opt_color=true","col_desc=Calculation:10;Footnote 1:9;ID:8;Label:7;Reporter:6:s;Reporter:5:long;Indicator:4:s;Indicator:3:l;Unit:2:s;Unit:1:long;","numberformat=0.00","auto_tr=1999|2015","com=true","comp=4"},1,1)</f>
        <v>31/01/2024 @ 15:42</v>
      </c>
      <c r="I12" s="1" t="str">
        <f>INDEX({"31/01/2024 @ 15:42","macro_id=DBGlobal","label_id=89162","time=Q","year_from=2000","year_to=2023","direction=V","opt_font=true","fontsize=8","opt_color=true","col_desc=Calculation:10;Footnote 1:9;ID:8;Label:7;Reporter:6:s;Reporter:5:long;Indicator:4:s;Indicator:3:l;Unit:2:s;Unit:1:long;","numberformat=0.00","auto_tr=1999|2015","com=true","comp=4"},1,1)</f>
        <v>31/01/2024 @ 15:42</v>
      </c>
      <c r="J12" s="5" t="str">
        <f>INDEX({"31/01/2024 @ 15:42","macro_id=DBGlobal","label_id=88624","calc=SubScal(CPPY=100(L_88624),100)","time=Q","year_from=2000","year_to=2023","direction=V","opt_font=true","fontsize=8","opt_color=true","col_desc=Calculation:10;Footnote 1:9;ID:8;Label:7;Reporter:6:s;Reporter:5:long;Indicator:4:s;Indicator:3:l;Unit:2:s;Unit:1:long;","numberformat=0.00","auto_tr=1999|2015","com=true","comp=4"},1,1)</f>
        <v>31/01/2024 @ 15:42</v>
      </c>
      <c r="K12" s="5" t="str">
        <f>INDEX({"31/01/2024 @ 15:42","macro_id=DBGlobal","label_id=90864","calc=SubScal(CPPY=100(L_90864),100)","time=Q","year_from=2000","year_to=2023","direction=V","opt_font=true","fontsize=8","opt_color=true","col_desc=Calculation:10;Footnote 1:9;ID:8;Label:7;Reporter:6:s;Reporter:5:long;Indicator:4:s;Indicator:3:l;Unit:2:s;Unit:1:long;","numberformat=0.00","auto_tr=1999|2015","com=true","comp=4"},1,1)</f>
        <v>31/01/2024 @ 15:42</v>
      </c>
      <c r="L12" s="5" t="str">
        <f>INDEX({"31/01/2024 @ 15:42","macro_id=DBGlobal","label_id=90908","calc=SubScal(CPPY=100(L_90908),100)","time=Q","year_from=2000","year_to=2023","direction=V","opt_font=true","fontsize=8","opt_color=true","col_desc=Calculation:10;Footnote 1:9;ID:8;Label:7;Reporter:6:s;Reporter:5:long;Indicator:4:s;Indicator:3:l;Unit:2:s;Unit:1:long;","numberformat=0.00","auto_tr=1999|2015","com=true","comp=4"},1,1)</f>
        <v>31/01/2024 @ 15:42</v>
      </c>
      <c r="M12" s="5" t="str">
        <f>INDEX({"31/01/2024 @ 15:42","macro_id=DBGlobal","label_id=90930","calc=SubScal(CPPY=100(L_90930),100)","time=Q","year_from=2000","year_to=2023","direction=V","opt_font=true","fontsize=8","opt_color=true","col_desc=Calculation:10;Footnote 1:9;ID:8;Label:7;Reporter:6:s;Reporter:5:long;Indicator:4:s;Indicator:3:l;Unit:2:s;Unit:1:long;","numberformat=0.00","auto_tr=1999|2015","com=true","comp=4"},1,1)</f>
        <v>31/01/2024 @ 15:42</v>
      </c>
      <c r="N12" s="5" t="str">
        <f>INDEX({"31/01/2024 @ 15:42","macro_id=DBGlobal","label_id=90974","calc=SubScal(CPPY=100(L_90974),100)","time=Q","year_from=2000","year_to=2023","direction=V","opt_font=true","fontsize=8","opt_color=true","col_desc=Calculation:10;Footnote 1:9;ID:8;Label:7;Reporter:6:s;Reporter:5:long;Indicator:4:s;Indicator:3:l;Unit:2:s;Unit:1:long;","numberformat=0.00","auto_tr=1999|2015","com=true","comp=4"},1,1)</f>
        <v>31/01/2024 @ 15:42</v>
      </c>
      <c r="O12" s="5" t="str">
        <f>INDEX({"31/01/2024 @ 15:42","macro_id=DBGlobal","label_id=90996","calc=SubScal(CPPY=100(L_90996),100)","time=Q","year_from=2000","year_to=2023","direction=V","opt_font=true","fontsize=8","opt_color=true","col_desc=Calculation:10;Footnote 1:9;ID:8;Label:7;Reporter:6:s;Reporter:5:long;Indicator:4:s;Indicator:3:l;Unit:2:s;Unit:1:long;","numberformat=0.00","auto_tr=1999|2015","com=true","comp=4"},1,1)</f>
        <v>31/01/2024 @ 15:42</v>
      </c>
      <c r="P12" s="1" t="str">
        <f>INDEX({"31/01/2024 @ 15:42","macro_id=DBGlobal","label_id=32643","time=Q","year_from=2000","year_to=2023","direction=V","opt_font=true","fontsize=8","opt_color=true","col_desc=Calculation:10;Footnote 1:9;ID:8;Label:7;Reporter:6:s;Reporter:5:long;Indicator:4:s;Indicator:3:l;Unit:2:s;Unit:1:long;","numberformat=0.00","auto_tr=1999|2015","com=true","comp=4"},1,1)</f>
        <v>31/01/2024 @ 15:42</v>
      </c>
      <c r="Q12" s="1" t="str">
        <f>INDEX({"31/01/2024 @ 15:42","macro_id=DBGlobal","label_id=32665","time=Q","year_from=2000","year_to=2023","direction=V","opt_font=true","fontsize=8","opt_color=true","col_desc=Calculation:10;Footnote 1:9;ID:8;Label:7;Reporter:6:s;Reporter:5:long;Indicator:4:s;Indicator:3:l;Unit:2:s;Unit:1:long;","numberformat=0.00","auto_tr=1999|2015","com=true","comp=4"},1,1)</f>
        <v>31/01/2024 @ 15:42</v>
      </c>
      <c r="R12" s="1" t="str">
        <f>INDEX({"31/01/2024 @ 15:42","macro_id=DBGlobal","label_id=32689","time=Q","year_from=2000","year_to=2023","direction=V","opt_font=true","fontsize=8","opt_color=true","col_desc=Calculation:10;Footnote 1:9;ID:8;Label:7;Reporter:6:s;Reporter:5:long;Indicator:4:s;Indicator:3:l;Unit:2:s;Unit:1:long;","numberformat=0.00","auto_tr=1999|2015","com=true","comp=4"},1,1)</f>
        <v>31/01/2024 @ 15:42</v>
      </c>
      <c r="S12" s="5" t="str">
        <f>INDEX({"31/01/2024 @ 15:42","macro_id=DBGlobal","label_id=311","calc=SubScal(L_311,100)","time=Q","year_from=2000","year_to=2023","direction=V","opt_font=true","fontsize=8","opt_color=true","col_desc=Calculation:10;Footnote 1:9;ID:8;Label:7;Reporter:6:s;Reporter:5:long;Indicator:4:s;Indicator:3:l;Unit:2:s;Unit:1:long;","numberformat=0.00","auto_tr=1999|2015","com=true","comp=4"},1,1)</f>
        <v>31/01/2024 @ 15:42</v>
      </c>
      <c r="T12" s="1" t="str">
        <f>INDEX({"31/01/2024 @ 15:42","macro_id=DBGlobal","label_id=760","time=Q","year_from=2000","year_to=2023","direction=V","opt_font=true","fontsize=8","opt_color=true","col_desc=Calculation:10;Footnote 1:9;ID:8;Label:7;Reporter:6:s;Reporter:5:long;Indicator:4:s;Indicator:3:l;Unit:2:s;Unit:1:long;","numberformat=0.00","auto_tr=1999|2015","com=true","comp=4"},1,1)</f>
        <v>31/01/2024 @ 15:42</v>
      </c>
      <c r="U12" s="1" t="str">
        <f>INDEX({"31/01/2024 @ 15:42","macro_id=DBGlobal","label_id=570","time=Q","year_from=2000","year_to=2023","direction=V","opt_font=true","fontsize=8","opt_color=true","col_desc=Calculation:10;Footnote 1:9;ID:8;Label:7;Reporter:6:s;Reporter:5:long;Indicator:4:s;Indicator:3:l;Unit:2:s;Unit:1:long;","numberformat=0.00","auto_tr=1999|2015","com=true","comp=4"},1,1)</f>
        <v>31/01/2024 @ 15:42</v>
      </c>
      <c r="V12" s="1" t="str">
        <f>INDEX({"31/01/2024 @ 15:42","macro_id=DBGlobal","label_id=959","time=Q","year_from=2000","year_to=2023","direction=V","opt_font=true","fontsize=8","opt_color=true","col_desc=Calculation:10;Footnote 1:9;ID:8;Label:7;Reporter:6:s;Reporter:5:long;Indicator:4:s;Indicator:3:l;Unit:2:s;Unit:1:long;","numberformat=0.00","auto_tr=1999|2015","com=true","comp=4"},1,1)</f>
        <v>31/01/2024 @ 15:42</v>
      </c>
      <c r="W12" s="5" t="str">
        <f>INDEX({"31/01/2024 @ 15:42","macro_id=DBGlobal","label_id=32206","calc=SubScal(L_32206,100)","time=Q","year_from=2000","year_to=2023","direction=V","opt_font=true","fontsize=8","opt_color=true","col_desc=Calculation:10;Footnote 1:9;ID:8;Label:7;Reporter:6:s;Reporter:5:long;Indicator:4:s;Indicator:3:l;Unit:2:s;Unit:1:long;","numberformat=0.00","auto_tr=1999|2015","com=true","comp=4"},1,1)</f>
        <v>31/01/2024 @ 15:42</v>
      </c>
      <c r="X12" s="6" t="str">
        <f>INDEX({"31/01/2024 @ 15:42","macro_id=DBGlobal","label_id=87254","calc=SubScal(CPPY=100(AddNull(L_87254,L_87328)),100)","time=Q","year_from=2000","year_to=2023","direction=V","opt_font=true","fontsize=8","opt_color=true","col_desc=Calculation:10;Footnote 1:9;ID:8;Label:7;Reporter:6:s;Reporter:5:long;Indicator:4:s;Indicator:3:l;Unit:2:s;Unit:1:long;","numberformat=0.00","auto_tr=1999|2015","com=true","comp=4"},1,1)</f>
        <v>31/01/2024 @ 15:42</v>
      </c>
      <c r="Y12" s="6" t="str">
        <f>INDEX({"31/01/2024 @ 15:42","macro_id=DBGlobal","label_id=87291","calc=SubScal(CPPY=100(AddNull(L_87291,L_87365)),100)","time=Q","year_from=2000","year_to=2023","direction=V","opt_font=true","fontsize=8","opt_color=true","col_desc=Calculation:10;Footnote 1:9;ID:8;Label:7;Reporter:6:s;Reporter:5:long;Indicator:4:s;Indicator:3:l;Unit:2:s;Unit:1:long;","numberformat=0.00","auto_tr=1999|2015","com=true","comp=4"},1,1)</f>
        <v>31/01/2024 @ 15:42</v>
      </c>
      <c r="Z12" s="1" t="str">
        <f>INDEX({"31/01/2024 @ 15:42","macro_id=DBGlobal","label_id=88724","time=Q","year_from=2000","year_to=2023","direction=V","opt_font=true","fontsize=8","opt_color=true","col_desc=Calculation:10;Footnote 1:9;ID:8;Label:7;Reporter:6:s;Reporter:5:long;Indicator:4:s;Indicator:3:l;Unit:2:s;Unit:1:long;","numberformat=0.00","auto_tr=1999|2015","com=true","comp=4"},1,1)</f>
        <v>31/01/2024 @ 15:42</v>
      </c>
      <c r="AA12" s="5" t="str">
        <f>INDEX({"31/01/2024 @ 15:42","macro_id=DBGlobal","label_id=90336","calc=AddNull(L_90336,L_90358)","time=Q","year_from=2000","year_to=2023","direction=V","opt_font=true","fontsize=8","opt_color=true","col_desc=Calculation:10;Footnote 1:9;ID:8;Label:7;Reporter:6:s;Reporter:5:long;Indicator:4:s;Indicator:3:l;Unit:2:s;Unit:1:long;","numberformat=0.00","auto_tr=1999|2015","com=true","comp=4"},1,1)</f>
        <v>31/01/2024 @ 15:42</v>
      </c>
      <c r="AB12" s="1" t="str">
        <f>INDEX({"31/01/2024 @ 15:42","macro_id=DBGlobal","label_id=90380","time=Q","year_from=2000","year_to=2023","direction=V","opt_font=true","fontsize=8","opt_color=true","col_desc=Calculation:10;Footnote 1:9;ID:8;Label:7;Reporter:6:s;Reporter:5:long;Indicator:4:s;Indicator:3:l;Unit:2:s;Unit:1:long;","numberformat=0.00","auto_tr=1999|2015","com=true","comp=4"},1,1)</f>
        <v>31/01/2024 @ 15:42</v>
      </c>
      <c r="AC12" s="1" t="str">
        <f>INDEX({"31/01/2024 @ 15:42","macro_id=DBGlobal","label_id=90402","time=Q","year_from=2000","year_to=2023","direction=V","opt_font=true","fontsize=8","opt_color=true","col_desc=Calculation:10;Footnote 1:9;ID:8;Label:7;Reporter:6:s;Reporter:5:long;Indicator:4:s;Indicator:3:l;Unit:2:s;Unit:1:long;","numberformat=0.00","auto_tr=1999|2015","com=true","comp=4"},1,1)</f>
        <v>31/01/2024 @ 15:42</v>
      </c>
      <c r="AD12" s="1" t="str">
        <f>INDEX({"31/01/2024 @ 15:42","macro_id=DBGlobal","label_id=90490","time=Q","year_from=2000","year_to=2023","direction=V","opt_font=true","fontsize=8","opt_color=true","col_desc=Calculation:10;Footnote 1:9;ID:8;Label:7;Reporter:6:s;Reporter:5:long;Indicator:4:s;Indicator:3:l;Unit:2:s;Unit:1:long;","numberformat=0.00","auto_tr=1999|2015","com=true","comp=4"},1,1)</f>
        <v>31/01/2024 @ 15:42</v>
      </c>
      <c r="AE12" s="1" t="str">
        <f>INDEX({"31/01/2024 @ 15:42","macro_id=DBGlobal","label_id=90512","time=Q","year_from=2000","year_to=2023","direction=V","opt_font=true","fontsize=8","opt_color=true","col_desc=Calculation:10;Footnote 1:9;ID:8;Label:7;Reporter:6:s;Reporter:5:long;Indicator:4:s;Indicator:3:l;Unit:2:s;Unit:1:long;","numberformat=0.00","auto_tr=1999|2015","com=true","comp=4"},1,1)</f>
        <v>31/01/2024 @ 15:42</v>
      </c>
      <c r="AF12" s="5" t="str">
        <f>INDEX({"31/01/2024 @ 15:42","macro_id=DBGlobal","label_id=89610","calc=SubScal(L_89610,100)","time=Q","year_from=2000","year_to=2023","direction=V","opt_font=true","fontsize=8","opt_color=true","col_desc=Calculation:10;Footnote 1:9;ID:8;Label:7;Reporter:6:s;Reporter:5:long;Indicator:4:s;Indicator:3:l;Unit:2:s;Unit:1:long;","numberformat=0.00","auto_tr=1999|2015","com=true","comp=4"},1,1)</f>
        <v>31/01/2024 @ 15:42</v>
      </c>
      <c r="AG12" s="4" t="str">
        <f>INDEX({"31/01/2024 @ 15:42","macro_id=DBGlobal","label_id=144762","time=Q","year_from=2000","year_to=2023","direction=V","opt_font=true","fontsize=8","opt_color=true","col_desc=Calculation:10;Footnote 1:9;ID:8;Label:7;Reporter:6:s;Reporter:5:long;Indicator:4:s;Indicator:3:l;Unit:2:s;Unit:1:long;","numberformat=0.00","auto_tr=1999|2015","com=true","comp=4"},1,1)</f>
        <v>31/01/2024 @ 15:42</v>
      </c>
    </row>
    <row r="13" spans="1:33" s="11" customFormat="1" x14ac:dyDescent="0.3">
      <c r="A13" s="11" t="s">
        <v>19</v>
      </c>
      <c r="B13" s="12">
        <v>4.8214176000000002</v>
      </c>
      <c r="C13" s="12">
        <v>73.989999999999995</v>
      </c>
      <c r="D13" s="12">
        <v>1.7557532</v>
      </c>
      <c r="E13" s="12">
        <v>3.5</v>
      </c>
      <c r="F13" s="13">
        <v>26.926666699999998</v>
      </c>
      <c r="G13" s="12">
        <v>21.3249472</v>
      </c>
      <c r="H13" s="12">
        <v>21.677295000000001</v>
      </c>
      <c r="I13" s="12">
        <v>0.1647332</v>
      </c>
      <c r="J13" s="12">
        <v>2.1671334</v>
      </c>
      <c r="K13" s="12">
        <v>7.4880753000000002</v>
      </c>
      <c r="L13" s="12">
        <v>0.64917910000000001</v>
      </c>
      <c r="M13" s="12">
        <v>30.357672900000001</v>
      </c>
      <c r="N13" s="12">
        <v>-22.834294199999999</v>
      </c>
      <c r="O13" s="12">
        <v>-3.2820269999999998</v>
      </c>
      <c r="P13" s="7">
        <v>2733.5</v>
      </c>
      <c r="Q13" s="7">
        <v>622.4</v>
      </c>
      <c r="R13" s="7">
        <v>18.55</v>
      </c>
      <c r="S13" s="12">
        <v>12.295257899999999</v>
      </c>
      <c r="T13" s="12">
        <v>3.56</v>
      </c>
      <c r="U13" s="12">
        <v>52.82</v>
      </c>
      <c r="V13" s="12">
        <v>1.95583</v>
      </c>
      <c r="W13" s="7" t="s">
        <v>107</v>
      </c>
      <c r="X13" s="7" t="s">
        <v>107</v>
      </c>
      <c r="Y13" s="7" t="s">
        <v>107</v>
      </c>
      <c r="Z13" s="12">
        <v>-11.727722200000001</v>
      </c>
      <c r="AA13" s="12">
        <v>71.263590500000007</v>
      </c>
      <c r="AB13" s="12">
        <v>20.4893444</v>
      </c>
      <c r="AC13" s="12">
        <v>17.343806900000001</v>
      </c>
      <c r="AD13" s="12">
        <v>34.035617100000003</v>
      </c>
      <c r="AE13" s="12">
        <v>43.134092799999998</v>
      </c>
      <c r="AF13" s="12">
        <v>8.8768411999999994</v>
      </c>
      <c r="AG13" s="12">
        <v>69.777314799999999</v>
      </c>
    </row>
    <row r="14" spans="1:33" s="11" customFormat="1" hidden="1" outlineLevel="1" x14ac:dyDescent="0.3">
      <c r="A14" s="11" t="s">
        <v>20</v>
      </c>
      <c r="B14" s="12">
        <v>4.3154814000000004</v>
      </c>
      <c r="C14" s="12">
        <v>74.493333300000003</v>
      </c>
      <c r="D14" s="12">
        <v>1.6742492</v>
      </c>
      <c r="E14" s="12">
        <v>4.25</v>
      </c>
      <c r="F14" s="13">
        <v>26.766666699999998</v>
      </c>
      <c r="G14" s="12">
        <v>-0.89865200000000001</v>
      </c>
      <c r="H14" s="12">
        <v>10.9916368</v>
      </c>
      <c r="I14" s="12">
        <v>4.6715555999999996</v>
      </c>
      <c r="J14" s="12">
        <v>8.3777240000000006</v>
      </c>
      <c r="K14" s="12">
        <v>17.681187900000001</v>
      </c>
      <c r="L14" s="12">
        <v>-1.6841950000000001</v>
      </c>
      <c r="M14" s="12">
        <v>-8.8129854999999999</v>
      </c>
      <c r="N14" s="12">
        <v>-12.425072200000001</v>
      </c>
      <c r="O14" s="12">
        <v>-9.0108882000000001</v>
      </c>
      <c r="P14" s="7">
        <v>2872.4</v>
      </c>
      <c r="Q14" s="7">
        <v>559</v>
      </c>
      <c r="R14" s="7">
        <v>16.29</v>
      </c>
      <c r="S14" s="12">
        <v>14.111572000000001</v>
      </c>
      <c r="T14" s="12">
        <v>4.05</v>
      </c>
      <c r="U14" s="12">
        <v>52.45</v>
      </c>
      <c r="V14" s="12">
        <v>1.95583</v>
      </c>
      <c r="W14" s="7" t="s">
        <v>107</v>
      </c>
      <c r="X14" s="7" t="s">
        <v>107</v>
      </c>
      <c r="Y14" s="7" t="s">
        <v>107</v>
      </c>
      <c r="Z14" s="12">
        <v>-2.7709372000000001</v>
      </c>
      <c r="AA14" s="12">
        <v>69.725386200000003</v>
      </c>
      <c r="AB14" s="12">
        <v>19.380558600000001</v>
      </c>
      <c r="AC14" s="12">
        <v>15.443906999999999</v>
      </c>
      <c r="AD14" s="12">
        <v>38.210329199999997</v>
      </c>
      <c r="AE14" s="12">
        <v>42.758620700000002</v>
      </c>
      <c r="AF14" s="12">
        <v>13.8409219</v>
      </c>
      <c r="AG14" s="12">
        <v>70.255183099999996</v>
      </c>
    </row>
    <row r="15" spans="1:33" s="11" customFormat="1" hidden="1" outlineLevel="1" x14ac:dyDescent="0.3">
      <c r="A15" s="11" t="s">
        <v>21</v>
      </c>
      <c r="B15" s="12">
        <v>3.5071058000000002</v>
      </c>
      <c r="C15" s="12">
        <v>74.819999999999993</v>
      </c>
      <c r="D15" s="12">
        <v>1.9670194000000001</v>
      </c>
      <c r="E15" s="17">
        <v>4.5</v>
      </c>
      <c r="F15" s="13">
        <v>30.673333299999999</v>
      </c>
      <c r="G15" s="12">
        <v>20.020584599999999</v>
      </c>
      <c r="H15" s="12">
        <v>6.2943395999999998</v>
      </c>
      <c r="I15" s="12">
        <v>-1.2549049999999999</v>
      </c>
      <c r="J15" s="12">
        <v>2.8272643</v>
      </c>
      <c r="K15" s="12">
        <v>6.7348435000000002</v>
      </c>
      <c r="L15" s="12">
        <v>6.6301591000000002</v>
      </c>
      <c r="M15" s="12">
        <v>-15.2620205</v>
      </c>
      <c r="N15" s="12">
        <v>-19.139575300000001</v>
      </c>
      <c r="O15" s="12">
        <v>-20.231559699999998</v>
      </c>
      <c r="P15" s="7">
        <v>2837.2</v>
      </c>
      <c r="Q15" s="7">
        <v>549.1</v>
      </c>
      <c r="R15" s="7">
        <v>16.22</v>
      </c>
      <c r="S15" s="12">
        <v>10.8328013</v>
      </c>
      <c r="T15" s="12">
        <v>4.01</v>
      </c>
      <c r="U15" s="12">
        <v>54.336666700000002</v>
      </c>
      <c r="V15" s="12">
        <v>1.95583</v>
      </c>
      <c r="W15" s="7" t="s">
        <v>107</v>
      </c>
      <c r="X15" s="7" t="s">
        <v>107</v>
      </c>
      <c r="Y15" s="7" t="s">
        <v>107</v>
      </c>
      <c r="Z15" s="12">
        <v>2.103043</v>
      </c>
      <c r="AA15" s="12">
        <v>63.545329500000001</v>
      </c>
      <c r="AB15" s="12">
        <v>17.289660099999999</v>
      </c>
      <c r="AC15" s="12">
        <v>15.9022576</v>
      </c>
      <c r="AD15" s="12">
        <v>41.687050900000003</v>
      </c>
      <c r="AE15" s="12">
        <v>38.425572000000003</v>
      </c>
      <c r="AF15" s="12">
        <v>16.2541297</v>
      </c>
      <c r="AG15" s="12">
        <v>75.078311400000004</v>
      </c>
    </row>
    <row r="16" spans="1:33" s="11" customFormat="1" hidden="1" outlineLevel="1" x14ac:dyDescent="0.3">
      <c r="A16" s="11" t="s">
        <v>22</v>
      </c>
      <c r="B16" s="12">
        <v>2.8994336000000001</v>
      </c>
      <c r="C16" s="12">
        <v>75.3</v>
      </c>
      <c r="D16" s="12">
        <v>2.2218200000000001</v>
      </c>
      <c r="E16" s="17">
        <v>4.75</v>
      </c>
      <c r="F16" s="13">
        <v>29.7233333</v>
      </c>
      <c r="G16" s="12">
        <v>24.8609179</v>
      </c>
      <c r="H16" s="12">
        <v>26.1569349</v>
      </c>
      <c r="I16" s="12">
        <v>-2.2210424999999998</v>
      </c>
      <c r="J16" s="12">
        <v>5.2742437000000004</v>
      </c>
      <c r="K16" s="12">
        <v>5.4464547000000003</v>
      </c>
      <c r="L16" s="12">
        <v>3.0137144</v>
      </c>
      <c r="M16" s="12">
        <v>22.9212414</v>
      </c>
      <c r="N16" s="12">
        <v>-13.7509196</v>
      </c>
      <c r="O16" s="12">
        <v>-4.2494699000000002</v>
      </c>
      <c r="P16" s="7">
        <v>2735.5</v>
      </c>
      <c r="Q16" s="7">
        <v>536.70000000000005</v>
      </c>
      <c r="R16" s="7">
        <v>16.399999999999999</v>
      </c>
      <c r="S16" s="12">
        <v>14.102854199999999</v>
      </c>
      <c r="T16" s="12">
        <v>4.63</v>
      </c>
      <c r="U16" s="12">
        <v>56.72</v>
      </c>
      <c r="V16" s="12">
        <v>1.95583</v>
      </c>
      <c r="W16" s="7" t="s">
        <v>107</v>
      </c>
      <c r="X16" s="7" t="s">
        <v>107</v>
      </c>
      <c r="Y16" s="7" t="s">
        <v>107</v>
      </c>
      <c r="Z16" s="12">
        <v>-9.8808074000000001</v>
      </c>
      <c r="AA16" s="12">
        <v>63.338600999999997</v>
      </c>
      <c r="AB16" s="12">
        <v>22.022766000000001</v>
      </c>
      <c r="AC16" s="12">
        <v>26.1549668</v>
      </c>
      <c r="AD16" s="12">
        <v>30.898293800000001</v>
      </c>
      <c r="AE16" s="12">
        <v>42.413392899999998</v>
      </c>
      <c r="AF16" s="12">
        <v>18.549076599999999</v>
      </c>
      <c r="AG16" s="12">
        <v>70.717051400000003</v>
      </c>
    </row>
    <row r="17" spans="1:33" s="11" customFormat="1" hidden="1" outlineLevel="1" x14ac:dyDescent="0.3">
      <c r="A17" s="11" t="s">
        <v>23</v>
      </c>
      <c r="B17" s="12">
        <v>3.0047543999999999</v>
      </c>
      <c r="C17" s="12">
        <v>75.393333299999995</v>
      </c>
      <c r="D17" s="12">
        <v>1.8966527</v>
      </c>
      <c r="E17" s="17">
        <v>4.75</v>
      </c>
      <c r="F17" s="13">
        <v>25.873333299999999</v>
      </c>
      <c r="G17" s="12">
        <v>6.8604079000000002</v>
      </c>
      <c r="H17" s="12">
        <v>8.4910639999999997</v>
      </c>
      <c r="I17" s="12">
        <v>0.83040460000000005</v>
      </c>
      <c r="J17" s="12">
        <v>3.4364083000000001</v>
      </c>
      <c r="K17" s="12">
        <v>15.001101999999999</v>
      </c>
      <c r="L17" s="12">
        <v>3.0074624000000001</v>
      </c>
      <c r="M17" s="12">
        <v>-26.179768899999999</v>
      </c>
      <c r="N17" s="12">
        <v>21.030560099999999</v>
      </c>
      <c r="O17" s="12">
        <v>24.485848600000001</v>
      </c>
      <c r="P17" s="7">
        <v>2641.3</v>
      </c>
      <c r="Q17" s="7">
        <v>725.7</v>
      </c>
      <c r="R17" s="7">
        <v>21.55</v>
      </c>
      <c r="S17" s="12">
        <v>7.6433121000000002</v>
      </c>
      <c r="T17" s="12">
        <v>4.1500000000000004</v>
      </c>
      <c r="U17" s="12">
        <v>57.516666700000002</v>
      </c>
      <c r="V17" s="12">
        <v>1.95583</v>
      </c>
      <c r="W17" s="12">
        <v>1.4537902</v>
      </c>
      <c r="X17" s="7" t="s">
        <v>107</v>
      </c>
      <c r="Y17" s="7" t="s">
        <v>107</v>
      </c>
      <c r="Z17" s="12">
        <v>-7.3450835999999997</v>
      </c>
      <c r="AA17" s="12">
        <v>72.761484100000004</v>
      </c>
      <c r="AB17" s="12">
        <v>20.040120699999999</v>
      </c>
      <c r="AC17" s="12">
        <v>14.779336300000001</v>
      </c>
      <c r="AD17" s="12">
        <v>38.276366099999997</v>
      </c>
      <c r="AE17" s="12">
        <v>45.857307200000001</v>
      </c>
      <c r="AF17" s="12">
        <v>24.955379900000001</v>
      </c>
      <c r="AG17" s="12">
        <v>65.596852799999994</v>
      </c>
    </row>
    <row r="18" spans="1:33" s="11" customFormat="1" hidden="1" outlineLevel="1" x14ac:dyDescent="0.3">
      <c r="A18" s="11" t="s">
        <v>24</v>
      </c>
      <c r="B18" s="12">
        <v>2.2522867999999998</v>
      </c>
      <c r="C18" s="12">
        <v>76.483333299999998</v>
      </c>
      <c r="D18" s="12">
        <v>2.6713800000000001</v>
      </c>
      <c r="E18" s="17">
        <v>4.5</v>
      </c>
      <c r="F18" s="13">
        <v>27.273333300000001</v>
      </c>
      <c r="G18" s="12">
        <v>22.809532999999998</v>
      </c>
      <c r="H18" s="12">
        <v>28.667662100000001</v>
      </c>
      <c r="I18" s="12">
        <v>7.4889007000000003</v>
      </c>
      <c r="J18" s="12">
        <v>3.4097002000000001</v>
      </c>
      <c r="K18" s="12">
        <v>6.0611125000000001</v>
      </c>
      <c r="L18" s="12">
        <v>1.0285757</v>
      </c>
      <c r="M18" s="12">
        <v>20.115758400000001</v>
      </c>
      <c r="N18" s="12">
        <v>0.85136049999999996</v>
      </c>
      <c r="O18" s="12">
        <v>10.985282700000001</v>
      </c>
      <c r="P18" s="7">
        <v>2751.5</v>
      </c>
      <c r="Q18" s="7">
        <v>661.1</v>
      </c>
      <c r="R18" s="7">
        <v>19.37</v>
      </c>
      <c r="S18" s="12">
        <v>8.7537091999999994</v>
      </c>
      <c r="T18" s="12">
        <v>4.47</v>
      </c>
      <c r="U18" s="12">
        <v>57.503333300000001</v>
      </c>
      <c r="V18" s="12">
        <v>1.95583</v>
      </c>
      <c r="W18" s="12">
        <v>3.8746439000000001</v>
      </c>
      <c r="X18" s="7" t="s">
        <v>107</v>
      </c>
      <c r="Y18" s="7" t="s">
        <v>107</v>
      </c>
      <c r="Z18" s="12">
        <v>-4.5683182000000002</v>
      </c>
      <c r="AA18" s="12">
        <v>71.524306899999999</v>
      </c>
      <c r="AB18" s="12">
        <v>19.7889035</v>
      </c>
      <c r="AC18" s="12">
        <v>20.103035200000001</v>
      </c>
      <c r="AD18" s="12">
        <v>36.849747299999997</v>
      </c>
      <c r="AE18" s="12">
        <v>48.264596699999998</v>
      </c>
      <c r="AF18" s="12">
        <v>34.508460599999999</v>
      </c>
      <c r="AG18" s="12">
        <v>67.566730199999995</v>
      </c>
    </row>
    <row r="19" spans="1:33" s="11" customFormat="1" hidden="1" outlineLevel="1" x14ac:dyDescent="0.3">
      <c r="A19" s="11" t="s">
        <v>25</v>
      </c>
      <c r="B19" s="12">
        <v>1.8991327</v>
      </c>
      <c r="C19" s="12">
        <v>76.516666700000002</v>
      </c>
      <c r="D19" s="12">
        <v>2.2676647000000001</v>
      </c>
      <c r="E19" s="17">
        <v>3.75</v>
      </c>
      <c r="F19" s="13">
        <v>25.303333299999998</v>
      </c>
      <c r="G19" s="12">
        <v>1.8660171999999999</v>
      </c>
      <c r="H19" s="12">
        <v>4.3134053000000003</v>
      </c>
      <c r="I19" s="12">
        <v>-0.36218929999999999</v>
      </c>
      <c r="J19" s="12">
        <v>4.0834906999999996</v>
      </c>
      <c r="K19" s="12">
        <v>6.0515834999999996</v>
      </c>
      <c r="L19" s="12">
        <v>-3.4157101999999999</v>
      </c>
      <c r="M19" s="12">
        <v>44.123138599999997</v>
      </c>
      <c r="N19" s="12">
        <v>2.8671031999999999</v>
      </c>
      <c r="O19" s="12">
        <v>21.665857899999999</v>
      </c>
      <c r="P19" s="7">
        <v>2774.3</v>
      </c>
      <c r="Q19" s="7">
        <v>632.4</v>
      </c>
      <c r="R19" s="7">
        <v>18.559999999999999</v>
      </c>
      <c r="S19" s="12">
        <v>9.0103396999999994</v>
      </c>
      <c r="T19" s="12">
        <v>4.76</v>
      </c>
      <c r="U19" s="12">
        <v>57.733333299999998</v>
      </c>
      <c r="V19" s="12">
        <v>1.95583</v>
      </c>
      <c r="W19" s="12">
        <v>3.3224399999999998</v>
      </c>
      <c r="X19" s="7" t="s">
        <v>107</v>
      </c>
      <c r="Y19" s="7" t="s">
        <v>107</v>
      </c>
      <c r="Z19" s="12">
        <v>-1.1843944</v>
      </c>
      <c r="AA19" s="12">
        <v>65.897687300000001</v>
      </c>
      <c r="AB19" s="12">
        <v>16.902935599999999</v>
      </c>
      <c r="AC19" s="12">
        <v>20.0438318</v>
      </c>
      <c r="AD19" s="12">
        <v>40.3668032</v>
      </c>
      <c r="AE19" s="12">
        <v>43.2112579</v>
      </c>
      <c r="AF19" s="12">
        <v>43.212273600000003</v>
      </c>
      <c r="AG19" s="12">
        <v>61.465080200000003</v>
      </c>
    </row>
    <row r="20" spans="1:33" s="11" customFormat="1" hidden="1" outlineLevel="1" x14ac:dyDescent="0.3">
      <c r="A20" s="11" t="s">
        <v>26</v>
      </c>
      <c r="B20" s="12">
        <v>1.4300580000000001</v>
      </c>
      <c r="C20" s="12">
        <v>76.746666700000006</v>
      </c>
      <c r="D20" s="12">
        <v>1.9212041</v>
      </c>
      <c r="E20" s="17">
        <v>3.25</v>
      </c>
      <c r="F20" s="13">
        <v>19.350000000000001</v>
      </c>
      <c r="G20" s="12">
        <v>-8.1744766000000002</v>
      </c>
      <c r="H20" s="12">
        <v>-13.0231818</v>
      </c>
      <c r="I20" s="12">
        <v>-3.9889958999999999</v>
      </c>
      <c r="J20" s="12">
        <v>4.2076782000000001</v>
      </c>
      <c r="K20" s="12">
        <v>4.5018067999999998</v>
      </c>
      <c r="L20" s="12">
        <v>3.0318285999999999</v>
      </c>
      <c r="M20" s="12">
        <v>21.0646977</v>
      </c>
      <c r="N20" s="12">
        <v>-16.766514600000001</v>
      </c>
      <c r="O20" s="12">
        <v>-3.0325207999999999</v>
      </c>
      <c r="P20" s="7">
        <v>2628.2</v>
      </c>
      <c r="Q20" s="7">
        <v>636.5</v>
      </c>
      <c r="R20" s="7">
        <v>19.5</v>
      </c>
      <c r="S20" s="12">
        <v>7.7903682999999999</v>
      </c>
      <c r="T20" s="12">
        <v>4.6500000000000004</v>
      </c>
      <c r="U20" s="12">
        <v>59.49</v>
      </c>
      <c r="V20" s="12">
        <v>1.95583</v>
      </c>
      <c r="W20" s="12">
        <v>-4.6882300000000002E-2</v>
      </c>
      <c r="X20" s="7" t="s">
        <v>107</v>
      </c>
      <c r="Y20" s="7" t="s">
        <v>107</v>
      </c>
      <c r="Z20" s="12">
        <v>-8.8285861000000008</v>
      </c>
      <c r="AA20" s="12">
        <v>65.814993099999995</v>
      </c>
      <c r="AB20" s="12">
        <v>20.978908799999999</v>
      </c>
      <c r="AC20" s="12">
        <v>28.5178817</v>
      </c>
      <c r="AD20" s="12">
        <v>25.311783599999998</v>
      </c>
      <c r="AE20" s="12">
        <v>40.623567199999997</v>
      </c>
      <c r="AF20" s="12">
        <v>51.006604000000003</v>
      </c>
      <c r="AG20" s="12">
        <v>64.505094099999994</v>
      </c>
    </row>
    <row r="21" spans="1:33" s="11" customFormat="1" hidden="1" outlineLevel="1" x14ac:dyDescent="0.3">
      <c r="A21" s="11" t="s">
        <v>27</v>
      </c>
      <c r="B21" s="12">
        <v>7.1740499999999999E-2</v>
      </c>
      <c r="C21" s="12">
        <v>77.180000000000007</v>
      </c>
      <c r="D21" s="12">
        <v>2.3697940000000002</v>
      </c>
      <c r="E21" s="17">
        <v>3.25</v>
      </c>
      <c r="F21" s="13">
        <v>21.1333333</v>
      </c>
      <c r="G21" s="12">
        <v>15.8073654</v>
      </c>
      <c r="H21" s="12">
        <v>-1.3449641999999999</v>
      </c>
      <c r="I21" s="12">
        <v>-6.0517278000000001</v>
      </c>
      <c r="J21" s="12">
        <v>5.3896571</v>
      </c>
      <c r="K21" s="12">
        <v>1.0554022000000001</v>
      </c>
      <c r="L21" s="12">
        <v>5.3587680999999998</v>
      </c>
      <c r="M21" s="12">
        <v>22.362739000000001</v>
      </c>
      <c r="N21" s="12">
        <v>-13.8595723</v>
      </c>
      <c r="O21" s="12">
        <v>-12.3433966</v>
      </c>
      <c r="P21" s="7">
        <v>2649.8</v>
      </c>
      <c r="Q21" s="7">
        <v>641.70000000000005</v>
      </c>
      <c r="R21" s="7">
        <v>19.5</v>
      </c>
      <c r="S21" s="12">
        <v>10.650887600000001</v>
      </c>
      <c r="T21" s="12">
        <v>4.43</v>
      </c>
      <c r="U21" s="12">
        <v>62.216666699999998</v>
      </c>
      <c r="V21" s="12">
        <v>1.95583</v>
      </c>
      <c r="W21" s="12">
        <v>-2.6100306999999998</v>
      </c>
      <c r="X21" s="7" t="s">
        <v>107</v>
      </c>
      <c r="Y21" s="7" t="s">
        <v>107</v>
      </c>
      <c r="Z21" s="12">
        <v>-5.0886949000000001</v>
      </c>
      <c r="AA21" s="12">
        <v>74.134716499999996</v>
      </c>
      <c r="AB21" s="12">
        <v>18.568725000000001</v>
      </c>
      <c r="AC21" s="12">
        <v>16.116913199999999</v>
      </c>
      <c r="AD21" s="12">
        <v>32.128688599999997</v>
      </c>
      <c r="AE21" s="12">
        <v>40.949043199999998</v>
      </c>
      <c r="AF21" s="12">
        <v>47.560847500000001</v>
      </c>
      <c r="AG21" s="12">
        <v>58.711955500000002</v>
      </c>
    </row>
    <row r="22" spans="1:33" s="11" customFormat="1" hidden="1" outlineLevel="1" x14ac:dyDescent="0.3">
      <c r="A22" s="11" t="s">
        <v>28</v>
      </c>
      <c r="B22" s="12">
        <v>1.2490021</v>
      </c>
      <c r="C22" s="12">
        <v>77.933333300000001</v>
      </c>
      <c r="D22" s="12">
        <v>1.8958379000000001</v>
      </c>
      <c r="E22" s="17">
        <v>3.25</v>
      </c>
      <c r="F22" s="13">
        <v>25.053333299999998</v>
      </c>
      <c r="G22" s="12">
        <v>-5.8975733999999997</v>
      </c>
      <c r="H22" s="12">
        <v>-5.076238</v>
      </c>
      <c r="I22" s="12">
        <v>6.7157717999999997</v>
      </c>
      <c r="J22" s="12">
        <v>6.2135175</v>
      </c>
      <c r="K22" s="12">
        <v>3.3366598999999999</v>
      </c>
      <c r="L22" s="12">
        <v>-2.1176558000000001</v>
      </c>
      <c r="M22" s="12">
        <v>37.921629199999998</v>
      </c>
      <c r="N22" s="12">
        <v>9.6357275999999992</v>
      </c>
      <c r="O22" s="12">
        <v>14.3181724</v>
      </c>
      <c r="P22" s="7">
        <v>2800.5</v>
      </c>
      <c r="Q22" s="7">
        <v>599.1</v>
      </c>
      <c r="R22" s="7">
        <v>17.62</v>
      </c>
      <c r="S22" s="12">
        <v>5.0477489999999996</v>
      </c>
      <c r="T22" s="12">
        <v>3.71</v>
      </c>
      <c r="U22" s="12">
        <v>61.586666700000002</v>
      </c>
      <c r="V22" s="12">
        <v>1.95583</v>
      </c>
      <c r="W22" s="12">
        <v>7.4053757999999998</v>
      </c>
      <c r="X22" s="7" t="s">
        <v>107</v>
      </c>
      <c r="Y22" s="7" t="s">
        <v>107</v>
      </c>
      <c r="Z22" s="12">
        <v>-2.7339848999999998</v>
      </c>
      <c r="AA22" s="12">
        <v>69.422659499999995</v>
      </c>
      <c r="AB22" s="12">
        <v>19.011707399999999</v>
      </c>
      <c r="AC22" s="12">
        <v>21.1699898</v>
      </c>
      <c r="AD22" s="12">
        <v>34.833674199999997</v>
      </c>
      <c r="AE22" s="12">
        <v>44.438030900000001</v>
      </c>
      <c r="AF22" s="12">
        <v>40.547980099999997</v>
      </c>
      <c r="AG22" s="12">
        <v>53.031081299999997</v>
      </c>
    </row>
    <row r="23" spans="1:33" s="11" customFormat="1" hidden="1" outlineLevel="1" x14ac:dyDescent="0.3">
      <c r="A23" s="11" t="s">
        <v>29</v>
      </c>
      <c r="B23" s="12">
        <v>1.6677649999999999</v>
      </c>
      <c r="C23" s="12">
        <v>77.973333299999993</v>
      </c>
      <c r="D23" s="12">
        <v>1.9037246000000001</v>
      </c>
      <c r="E23" s="17">
        <v>3.25</v>
      </c>
      <c r="F23" s="13">
        <v>26.93</v>
      </c>
      <c r="G23" s="12">
        <v>-1.4142843</v>
      </c>
      <c r="H23" s="12">
        <v>3.3692951999999998</v>
      </c>
      <c r="I23" s="12">
        <v>1.1616815</v>
      </c>
      <c r="J23" s="12">
        <v>5.8936729000000003</v>
      </c>
      <c r="K23" s="12">
        <v>3.4122404</v>
      </c>
      <c r="L23" s="12">
        <v>2.9619585000000002</v>
      </c>
      <c r="M23" s="12">
        <v>-10.493554100000001</v>
      </c>
      <c r="N23" s="12">
        <v>22.455895900000002</v>
      </c>
      <c r="O23" s="12">
        <v>7.2757269999999998</v>
      </c>
      <c r="P23" s="7">
        <v>2803.7</v>
      </c>
      <c r="Q23" s="7">
        <v>584.5</v>
      </c>
      <c r="R23" s="7">
        <v>17.25</v>
      </c>
      <c r="S23" s="12">
        <v>5.9620595999999999</v>
      </c>
      <c r="T23" s="12">
        <v>3.75</v>
      </c>
      <c r="U23" s="12">
        <v>60.42</v>
      </c>
      <c r="V23" s="12">
        <v>1.95583</v>
      </c>
      <c r="W23" s="12">
        <v>9.9103849000000004</v>
      </c>
      <c r="X23" s="7" t="s">
        <v>107</v>
      </c>
      <c r="Y23" s="7" t="s">
        <v>107</v>
      </c>
      <c r="Z23" s="12">
        <v>8.5968955000000005</v>
      </c>
      <c r="AA23" s="12">
        <v>62.718080299999997</v>
      </c>
      <c r="AB23" s="12">
        <v>16.529582600000001</v>
      </c>
      <c r="AC23" s="12">
        <v>17.538634399999999</v>
      </c>
      <c r="AD23" s="12">
        <v>42.745850400000002</v>
      </c>
      <c r="AE23" s="12">
        <v>39.532147600000002</v>
      </c>
      <c r="AF23" s="12">
        <v>44.636708300000002</v>
      </c>
      <c r="AG23" s="12">
        <v>53.022569099999998</v>
      </c>
    </row>
    <row r="24" spans="1:33" s="11" customFormat="1" hidden="1" outlineLevel="1" x14ac:dyDescent="0.3">
      <c r="A24" s="11" t="s">
        <v>30</v>
      </c>
      <c r="B24" s="12">
        <v>1.208337</v>
      </c>
      <c r="C24" s="12">
        <v>78.4033333</v>
      </c>
      <c r="D24" s="12">
        <v>2.158617</v>
      </c>
      <c r="E24" s="17">
        <v>2.75</v>
      </c>
      <c r="F24" s="13">
        <v>26.736666700000001</v>
      </c>
      <c r="G24" s="12">
        <v>14.2286061</v>
      </c>
      <c r="H24" s="12">
        <v>8.8436204000000007</v>
      </c>
      <c r="I24" s="12">
        <v>-6.0233127</v>
      </c>
      <c r="J24" s="12">
        <v>5.94231</v>
      </c>
      <c r="K24" s="12">
        <v>14.6356503</v>
      </c>
      <c r="L24" s="12">
        <v>-3.0701993000000001</v>
      </c>
      <c r="M24" s="12">
        <v>-0.1992032</v>
      </c>
      <c r="N24" s="12">
        <v>14.7004147</v>
      </c>
      <c r="O24" s="12">
        <v>16.054806200000002</v>
      </c>
      <c r="P24" s="7">
        <v>2704.4</v>
      </c>
      <c r="Q24" s="7">
        <v>544.20000000000005</v>
      </c>
      <c r="R24" s="7">
        <v>16.75</v>
      </c>
      <c r="S24" s="12">
        <v>4.9934297000000001</v>
      </c>
      <c r="T24" s="12">
        <v>3.31</v>
      </c>
      <c r="U24" s="12">
        <v>61.52</v>
      </c>
      <c r="V24" s="12">
        <v>1.95583</v>
      </c>
      <c r="W24" s="12">
        <v>4.5966227999999996</v>
      </c>
      <c r="X24" s="7" t="s">
        <v>107</v>
      </c>
      <c r="Y24" s="7" t="s">
        <v>107</v>
      </c>
      <c r="Z24" s="12">
        <v>-10.676595499999999</v>
      </c>
      <c r="AA24" s="12">
        <v>68.405149300000005</v>
      </c>
      <c r="AB24" s="12">
        <v>22.395685799999999</v>
      </c>
      <c r="AC24" s="12">
        <v>26.254550800000001</v>
      </c>
      <c r="AD24" s="12">
        <v>24.786755200000002</v>
      </c>
      <c r="AE24" s="12">
        <v>41.8421412</v>
      </c>
      <c r="AF24" s="12">
        <v>48.302776999999999</v>
      </c>
      <c r="AG24" s="12">
        <v>51.005468399999998</v>
      </c>
    </row>
    <row r="25" spans="1:33" s="11" customFormat="1" hidden="1" outlineLevel="1" x14ac:dyDescent="0.3">
      <c r="A25" s="11" t="s">
        <v>31</v>
      </c>
      <c r="B25" s="12">
        <v>1.0748135000000001</v>
      </c>
      <c r="C25" s="12">
        <v>78.856666700000005</v>
      </c>
      <c r="D25" s="12">
        <v>2.1724109</v>
      </c>
      <c r="E25" s="17">
        <v>2.5</v>
      </c>
      <c r="F25" s="13">
        <v>31.52</v>
      </c>
      <c r="G25" s="12">
        <v>-0.66046970000000005</v>
      </c>
      <c r="H25" s="12">
        <v>7.7218444999999996</v>
      </c>
      <c r="I25" s="12">
        <v>-2.5125693999999998</v>
      </c>
      <c r="J25" s="12">
        <v>5.5844206999999999</v>
      </c>
      <c r="K25" s="12">
        <v>6.9768618</v>
      </c>
      <c r="L25" s="12">
        <v>5.4593828999999996</v>
      </c>
      <c r="M25" s="12">
        <v>1.9914293000000001</v>
      </c>
      <c r="N25" s="12">
        <v>3.2780064000000002</v>
      </c>
      <c r="O25" s="12">
        <v>6.5134958999999997</v>
      </c>
      <c r="P25" s="7">
        <v>2704.5</v>
      </c>
      <c r="Q25" s="7">
        <v>499.6</v>
      </c>
      <c r="R25" s="7">
        <v>15.59</v>
      </c>
      <c r="S25" s="12">
        <v>5.8823530000000002</v>
      </c>
      <c r="T25" s="12">
        <v>2.56</v>
      </c>
      <c r="U25" s="12">
        <v>62.593333299999998</v>
      </c>
      <c r="V25" s="12">
        <v>1.95583</v>
      </c>
      <c r="W25" s="12">
        <v>15.5018393</v>
      </c>
      <c r="X25" s="7" t="s">
        <v>107</v>
      </c>
      <c r="Y25" s="7" t="s">
        <v>107</v>
      </c>
      <c r="Z25" s="12">
        <v>-7.7303397</v>
      </c>
      <c r="AA25" s="12">
        <v>74.225433699999996</v>
      </c>
      <c r="AB25" s="12">
        <v>19.388507199999999</v>
      </c>
      <c r="AC25" s="12">
        <v>16.538998100000001</v>
      </c>
      <c r="AD25" s="12">
        <v>31.5907236</v>
      </c>
      <c r="AE25" s="12">
        <v>41.7436626</v>
      </c>
      <c r="AF25" s="12">
        <v>54.396154099999997</v>
      </c>
      <c r="AG25" s="12">
        <v>46.218260299999997</v>
      </c>
    </row>
    <row r="26" spans="1:33" s="11" customFormat="1" hidden="1" outlineLevel="1" x14ac:dyDescent="0.3">
      <c r="A26" s="11" t="s">
        <v>32</v>
      </c>
      <c r="B26" s="12">
        <v>0.33264589999999999</v>
      </c>
      <c r="C26" s="12">
        <v>79.37</v>
      </c>
      <c r="D26" s="12">
        <v>1.843456</v>
      </c>
      <c r="E26" s="17">
        <v>2</v>
      </c>
      <c r="F26" s="13">
        <v>26.17</v>
      </c>
      <c r="G26" s="12">
        <v>5.3785796000000001</v>
      </c>
      <c r="H26" s="12">
        <v>-8.5290000000000001E-3</v>
      </c>
      <c r="I26" s="12">
        <v>4.3952304</v>
      </c>
      <c r="J26" s="12">
        <v>5.2065149999999996</v>
      </c>
      <c r="K26" s="12">
        <v>9.0653790000000001</v>
      </c>
      <c r="L26" s="12">
        <v>12.727410300000001</v>
      </c>
      <c r="M26" s="12">
        <v>5.0230718999999997</v>
      </c>
      <c r="N26" s="12">
        <v>12.0636619</v>
      </c>
      <c r="O26" s="12">
        <v>19.155855899999999</v>
      </c>
      <c r="P26" s="7">
        <v>2876</v>
      </c>
      <c r="Q26" s="7">
        <v>457.3</v>
      </c>
      <c r="R26" s="7">
        <v>13.72</v>
      </c>
      <c r="S26" s="12">
        <v>7.0129869999999999</v>
      </c>
      <c r="T26" s="12">
        <v>2.52</v>
      </c>
      <c r="U26" s="12">
        <v>62.25</v>
      </c>
      <c r="V26" s="12">
        <v>1.95583</v>
      </c>
      <c r="W26" s="12">
        <v>10.878447400000001</v>
      </c>
      <c r="X26" s="7" t="s">
        <v>107</v>
      </c>
      <c r="Y26" s="7" t="s">
        <v>107</v>
      </c>
      <c r="Z26" s="12">
        <v>-9.6384412000000008</v>
      </c>
      <c r="AA26" s="12">
        <v>70.083092800000003</v>
      </c>
      <c r="AB26" s="12">
        <v>19.537356500000001</v>
      </c>
      <c r="AC26" s="12">
        <v>23.4326221</v>
      </c>
      <c r="AD26" s="12">
        <v>36.499777000000002</v>
      </c>
      <c r="AE26" s="12">
        <v>49.551674800000001</v>
      </c>
      <c r="AF26" s="12">
        <v>68.442883499999994</v>
      </c>
      <c r="AG26" s="12">
        <v>45.774457599999998</v>
      </c>
    </row>
    <row r="27" spans="1:33" s="11" customFormat="1" hidden="1" outlineLevel="1" x14ac:dyDescent="0.3">
      <c r="A27" s="11" t="s">
        <v>33</v>
      </c>
      <c r="B27" s="12">
        <v>0.71308099999999996</v>
      </c>
      <c r="C27" s="12">
        <v>79.47</v>
      </c>
      <c r="D27" s="12">
        <v>1.9194597</v>
      </c>
      <c r="E27" s="17">
        <v>2</v>
      </c>
      <c r="F27" s="13">
        <v>28.45</v>
      </c>
      <c r="G27" s="12">
        <v>10.1752229</v>
      </c>
      <c r="H27" s="12">
        <v>17.910644300000001</v>
      </c>
      <c r="I27" s="12">
        <v>3.4904373999999998</v>
      </c>
      <c r="J27" s="12">
        <v>3.818737</v>
      </c>
      <c r="K27" s="12">
        <v>3.1766657999999999</v>
      </c>
      <c r="L27" s="12">
        <v>7.3443782000000004</v>
      </c>
      <c r="M27" s="12">
        <v>20.750520699999999</v>
      </c>
      <c r="N27" s="12">
        <v>6.5359645999999998</v>
      </c>
      <c r="O27" s="12">
        <v>13.605097300000001</v>
      </c>
      <c r="P27" s="7">
        <v>2933.1</v>
      </c>
      <c r="Q27" s="7">
        <v>426.3</v>
      </c>
      <c r="R27" s="7">
        <v>12.69</v>
      </c>
      <c r="S27" s="12">
        <v>5.4987212000000003</v>
      </c>
      <c r="T27" s="12">
        <v>2.59</v>
      </c>
      <c r="U27" s="12">
        <v>62.263333299999999</v>
      </c>
      <c r="V27" s="12">
        <v>1.95583</v>
      </c>
      <c r="W27" s="12">
        <v>11.750599599999999</v>
      </c>
      <c r="X27" s="7" t="s">
        <v>107</v>
      </c>
      <c r="Y27" s="7" t="s">
        <v>107</v>
      </c>
      <c r="Z27" s="12">
        <v>6.5445751999999997</v>
      </c>
      <c r="AA27" s="12">
        <v>61.4884159</v>
      </c>
      <c r="AB27" s="12">
        <v>16.732903499999999</v>
      </c>
      <c r="AC27" s="12">
        <v>21.393034799999999</v>
      </c>
      <c r="AD27" s="12">
        <v>43.726142500000002</v>
      </c>
      <c r="AE27" s="12">
        <v>43.340496700000003</v>
      </c>
      <c r="AF27" s="12">
        <v>73.015282400000004</v>
      </c>
      <c r="AG27" s="12">
        <v>45.075454700000002</v>
      </c>
    </row>
    <row r="28" spans="1:33" s="11" customFormat="1" hidden="1" outlineLevel="1" x14ac:dyDescent="0.3">
      <c r="A28" s="11" t="s">
        <v>34</v>
      </c>
      <c r="B28" s="12">
        <v>1.3127310999999999</v>
      </c>
      <c r="C28" s="12">
        <v>79.913333300000005</v>
      </c>
      <c r="D28" s="12">
        <v>1.9259385</v>
      </c>
      <c r="E28" s="17">
        <v>2</v>
      </c>
      <c r="F28" s="13">
        <v>29.39</v>
      </c>
      <c r="G28" s="12">
        <v>8.9638694000000001</v>
      </c>
      <c r="H28" s="12">
        <v>10.991258500000001</v>
      </c>
      <c r="I28" s="12">
        <v>-5.3558981000000001</v>
      </c>
      <c r="J28" s="12">
        <v>6.4056875</v>
      </c>
      <c r="K28" s="12">
        <v>6.6857214999999997</v>
      </c>
      <c r="L28" s="12">
        <v>7.3010894000000004</v>
      </c>
      <c r="M28" s="12">
        <v>27.811044599999999</v>
      </c>
      <c r="N28" s="12">
        <v>3.1147404999999999</v>
      </c>
      <c r="O28" s="12">
        <v>19.400023300000001</v>
      </c>
      <c r="P28" s="7">
        <v>2825.4</v>
      </c>
      <c r="Q28" s="7">
        <v>411.4</v>
      </c>
      <c r="R28" s="7">
        <v>12.71</v>
      </c>
      <c r="S28" s="12">
        <v>6.5081351999999999</v>
      </c>
      <c r="T28" s="12">
        <v>2.83</v>
      </c>
      <c r="U28" s="12">
        <v>64.406666700000002</v>
      </c>
      <c r="V28" s="12">
        <v>1.95583</v>
      </c>
      <c r="W28" s="12">
        <v>13.9013454</v>
      </c>
      <c r="X28" s="7" t="s">
        <v>107</v>
      </c>
      <c r="Y28" s="7" t="s">
        <v>107</v>
      </c>
      <c r="Z28" s="12">
        <v>-11.232653900000001</v>
      </c>
      <c r="AA28" s="12">
        <v>68.110525899999999</v>
      </c>
      <c r="AB28" s="12">
        <v>24.448145</v>
      </c>
      <c r="AC28" s="12">
        <v>25.69708</v>
      </c>
      <c r="AD28" s="12">
        <v>25.592517999999998</v>
      </c>
      <c r="AE28" s="12">
        <v>43.847300799999999</v>
      </c>
      <c r="AF28" s="12">
        <v>80.652873400000004</v>
      </c>
      <c r="AG28" s="12">
        <v>43.378577900000003</v>
      </c>
    </row>
    <row r="29" spans="1:33" s="11" customFormat="1" hidden="1" outlineLevel="1" x14ac:dyDescent="0.3">
      <c r="A29" s="11" t="s">
        <v>35</v>
      </c>
      <c r="B29" s="12">
        <v>2.4350660999999998</v>
      </c>
      <c r="C29" s="12">
        <v>80.113333299999994</v>
      </c>
      <c r="D29" s="12">
        <v>1.5936086</v>
      </c>
      <c r="E29" s="17">
        <v>2</v>
      </c>
      <c r="F29" s="13">
        <v>31.923333299999999</v>
      </c>
      <c r="G29" s="12">
        <v>1.5482640000000001</v>
      </c>
      <c r="H29" s="12">
        <v>1.9425095999999999</v>
      </c>
      <c r="I29" s="12">
        <v>-2.1253712</v>
      </c>
      <c r="J29" s="12">
        <v>4.8412907000000001</v>
      </c>
      <c r="K29" s="12">
        <v>7.9756051000000001</v>
      </c>
      <c r="L29" s="12">
        <v>-2.4802594999999998</v>
      </c>
      <c r="M29" s="12">
        <v>52.0761246</v>
      </c>
      <c r="N29" s="12">
        <v>30.8980213</v>
      </c>
      <c r="O29" s="12">
        <v>42.222783999999997</v>
      </c>
      <c r="P29" s="7">
        <v>2784</v>
      </c>
      <c r="Q29" s="7">
        <v>428.8</v>
      </c>
      <c r="R29" s="7">
        <v>13.35</v>
      </c>
      <c r="S29" s="12">
        <v>5.6818182000000004</v>
      </c>
      <c r="T29" s="12">
        <v>2.5499999999999998</v>
      </c>
      <c r="U29" s="12">
        <v>66.5966667</v>
      </c>
      <c r="V29" s="12">
        <v>1.95583</v>
      </c>
      <c r="W29" s="12">
        <v>11.783439400000001</v>
      </c>
      <c r="X29" s="7" t="s">
        <v>107</v>
      </c>
      <c r="Y29" s="7" t="s">
        <v>107</v>
      </c>
      <c r="Z29" s="12">
        <v>-10.5773686</v>
      </c>
      <c r="AA29" s="12">
        <v>73.725127999999998</v>
      </c>
      <c r="AB29" s="12">
        <v>17.011152899999999</v>
      </c>
      <c r="AC29" s="12">
        <v>21.863966900000001</v>
      </c>
      <c r="AD29" s="12">
        <v>37.6148612</v>
      </c>
      <c r="AE29" s="12">
        <v>50.213940000000001</v>
      </c>
      <c r="AF29" s="12">
        <v>84.548693400000005</v>
      </c>
      <c r="AG29" s="12">
        <v>39.595352599999998</v>
      </c>
    </row>
    <row r="30" spans="1:33" s="11" customFormat="1" hidden="1" outlineLevel="1" x14ac:dyDescent="0.3">
      <c r="A30" s="11" t="s">
        <v>36</v>
      </c>
      <c r="B30" s="12">
        <v>2.9592486</v>
      </c>
      <c r="C30" s="12">
        <v>81.069999999999993</v>
      </c>
      <c r="D30" s="12">
        <v>2.1418672000000001</v>
      </c>
      <c r="E30" s="17">
        <v>2</v>
      </c>
      <c r="F30" s="13">
        <v>35.446666700000002</v>
      </c>
      <c r="G30" s="12">
        <v>13.0847069</v>
      </c>
      <c r="H30" s="12">
        <v>7.2986266999999998</v>
      </c>
      <c r="I30" s="12">
        <v>2.2808799999999998</v>
      </c>
      <c r="J30" s="12">
        <v>7.2267726000000003</v>
      </c>
      <c r="K30" s="12">
        <v>9.9278799000000006</v>
      </c>
      <c r="L30" s="12">
        <v>1.8890081999999999</v>
      </c>
      <c r="M30" s="12">
        <v>10.670349</v>
      </c>
      <c r="N30" s="12">
        <v>20.911121300000001</v>
      </c>
      <c r="O30" s="12">
        <v>20.7178383</v>
      </c>
      <c r="P30" s="7">
        <v>2969.9</v>
      </c>
      <c r="Q30" s="7">
        <v>406.1</v>
      </c>
      <c r="R30" s="7">
        <v>12.03</v>
      </c>
      <c r="S30" s="12">
        <v>4.8543688999999999</v>
      </c>
      <c r="T30" s="12">
        <v>2.44</v>
      </c>
      <c r="U30" s="12">
        <v>66.45</v>
      </c>
      <c r="V30" s="12">
        <v>1.95583</v>
      </c>
      <c r="W30" s="12">
        <v>15.753109200000001</v>
      </c>
      <c r="X30" s="7" t="s">
        <v>107</v>
      </c>
      <c r="Y30" s="7" t="s">
        <v>107</v>
      </c>
      <c r="Z30" s="12">
        <v>-8.1575716000000007</v>
      </c>
      <c r="AA30" s="12">
        <v>70.804736000000005</v>
      </c>
      <c r="AB30" s="12">
        <v>18.312356099999999</v>
      </c>
      <c r="AC30" s="12">
        <v>24.364982300000001</v>
      </c>
      <c r="AD30" s="12">
        <v>42.713625100000002</v>
      </c>
      <c r="AE30" s="12">
        <v>56.194662700000002</v>
      </c>
      <c r="AF30" s="12">
        <v>79.602838800000001</v>
      </c>
      <c r="AG30" s="12">
        <v>39.622536199999999</v>
      </c>
    </row>
    <row r="31" spans="1:33" s="11" customFormat="1" hidden="1" outlineLevel="1" x14ac:dyDescent="0.3">
      <c r="A31" s="11" t="s">
        <v>37</v>
      </c>
      <c r="B31" s="12">
        <v>2.4141233999999998</v>
      </c>
      <c r="C31" s="12">
        <v>81.156666700000002</v>
      </c>
      <c r="D31" s="12">
        <v>2.1223942</v>
      </c>
      <c r="E31" s="17">
        <v>2</v>
      </c>
      <c r="F31" s="13">
        <v>41.386666699999999</v>
      </c>
      <c r="G31" s="12">
        <v>16.0404266</v>
      </c>
      <c r="H31" s="12">
        <v>11.439979900000001</v>
      </c>
      <c r="I31" s="12">
        <v>2.1589434999999999</v>
      </c>
      <c r="J31" s="12">
        <v>7.7461219000000003</v>
      </c>
      <c r="K31" s="12">
        <v>9.3051759999999994</v>
      </c>
      <c r="L31" s="12">
        <v>3.4968195999999998</v>
      </c>
      <c r="M31" s="12">
        <v>5.7213858000000002</v>
      </c>
      <c r="N31" s="12">
        <v>21.031803799999999</v>
      </c>
      <c r="O31" s="12">
        <v>20.811080199999999</v>
      </c>
      <c r="P31" s="7">
        <v>3024.6</v>
      </c>
      <c r="Q31" s="7">
        <v>373</v>
      </c>
      <c r="R31" s="7">
        <v>10.98</v>
      </c>
      <c r="S31" s="12">
        <v>6.5454545</v>
      </c>
      <c r="T31" s="12">
        <v>2.39</v>
      </c>
      <c r="U31" s="12">
        <v>66.473333299999993</v>
      </c>
      <c r="V31" s="12">
        <v>1.95583</v>
      </c>
      <c r="W31" s="12">
        <v>12.4463518</v>
      </c>
      <c r="X31" s="7" t="s">
        <v>107</v>
      </c>
      <c r="Y31" s="7" t="s">
        <v>107</v>
      </c>
      <c r="Z31" s="12">
        <v>7.4064477000000002</v>
      </c>
      <c r="AA31" s="12">
        <v>61.984312899999999</v>
      </c>
      <c r="AB31" s="12">
        <v>16.434957499999999</v>
      </c>
      <c r="AC31" s="12">
        <v>19.817012099999999</v>
      </c>
      <c r="AD31" s="12">
        <v>50.678587299999997</v>
      </c>
      <c r="AE31" s="12">
        <v>48.914869699999997</v>
      </c>
      <c r="AF31" s="12">
        <v>76.407364700000002</v>
      </c>
      <c r="AG31" s="12">
        <v>36.885001199999998</v>
      </c>
    </row>
    <row r="32" spans="1:33" s="11" customFormat="1" hidden="1" outlineLevel="1" x14ac:dyDescent="0.3">
      <c r="A32" s="11" t="s">
        <v>38</v>
      </c>
      <c r="B32" s="12">
        <v>2.308249</v>
      </c>
      <c r="C32" s="12">
        <v>81.663333300000005</v>
      </c>
      <c r="D32" s="12">
        <v>2.1898724000000001</v>
      </c>
      <c r="E32" s="17">
        <v>2</v>
      </c>
      <c r="F32" s="13">
        <v>44.163333299999998</v>
      </c>
      <c r="G32" s="12">
        <v>10.4613817</v>
      </c>
      <c r="H32" s="12">
        <v>37.235895499999998</v>
      </c>
      <c r="I32" s="12">
        <v>3.9044724</v>
      </c>
      <c r="J32" s="12">
        <v>6.0000571999999996</v>
      </c>
      <c r="K32" s="12">
        <v>10.645260199999999</v>
      </c>
      <c r="L32" s="12">
        <v>13.8356736</v>
      </c>
      <c r="M32" s="12">
        <v>1.2744134</v>
      </c>
      <c r="N32" s="12">
        <v>28.775818600000001</v>
      </c>
      <c r="O32" s="12">
        <v>25.836906299999999</v>
      </c>
      <c r="P32" s="7">
        <v>2911.9</v>
      </c>
      <c r="Q32" s="7">
        <v>391</v>
      </c>
      <c r="R32" s="7">
        <v>11.84</v>
      </c>
      <c r="S32" s="12">
        <v>7.0505288000000004</v>
      </c>
      <c r="T32" s="12">
        <v>2.37</v>
      </c>
      <c r="U32" s="12">
        <v>67.459999999999994</v>
      </c>
      <c r="V32" s="12">
        <v>1.95583</v>
      </c>
      <c r="W32" s="12">
        <v>11.7322834</v>
      </c>
      <c r="X32" s="7" t="s">
        <v>107</v>
      </c>
      <c r="Y32" s="7" t="s">
        <v>107</v>
      </c>
      <c r="Z32" s="12">
        <v>-14.8975987</v>
      </c>
      <c r="AA32" s="12">
        <v>68.671298300000004</v>
      </c>
      <c r="AB32" s="12">
        <v>24.907511899999999</v>
      </c>
      <c r="AC32" s="12">
        <v>27.426834599999999</v>
      </c>
      <c r="AD32" s="12">
        <v>32.269214099999999</v>
      </c>
      <c r="AE32" s="12">
        <v>53.273990400000002</v>
      </c>
      <c r="AF32" s="12">
        <v>74.8213461</v>
      </c>
      <c r="AG32" s="12">
        <v>35.727998900000003</v>
      </c>
    </row>
    <row r="33" spans="1:33" s="11" customFormat="1" hidden="1" outlineLevel="1" x14ac:dyDescent="0.3">
      <c r="A33" s="11" t="s">
        <v>39</v>
      </c>
      <c r="B33" s="12">
        <v>1.1277817999999999</v>
      </c>
      <c r="C33" s="12">
        <v>81.773333300000004</v>
      </c>
      <c r="D33" s="12">
        <v>2.0720646</v>
      </c>
      <c r="E33" s="17">
        <v>2</v>
      </c>
      <c r="F33" s="13">
        <v>47.696666700000002</v>
      </c>
      <c r="G33" s="12">
        <v>14.3008699</v>
      </c>
      <c r="H33" s="12">
        <v>24.3832804</v>
      </c>
      <c r="I33" s="12">
        <v>1.1020852000000001</v>
      </c>
      <c r="J33" s="12">
        <v>7.9348473000000004</v>
      </c>
      <c r="K33" s="12">
        <v>11.3654276</v>
      </c>
      <c r="L33" s="12">
        <v>9.3401425000000007</v>
      </c>
      <c r="M33" s="12">
        <v>13.9769218</v>
      </c>
      <c r="N33" s="12">
        <v>4.0663475</v>
      </c>
      <c r="O33" s="12">
        <v>11.8460809</v>
      </c>
      <c r="P33" s="7">
        <v>2838.4</v>
      </c>
      <c r="Q33" s="7">
        <v>362.8</v>
      </c>
      <c r="R33" s="7">
        <v>11.4</v>
      </c>
      <c r="S33" s="12">
        <v>8.6021505000000005</v>
      </c>
      <c r="T33" s="12">
        <v>1.91</v>
      </c>
      <c r="U33" s="12">
        <v>69.113333299999994</v>
      </c>
      <c r="V33" s="12">
        <v>1.95583</v>
      </c>
      <c r="W33" s="12">
        <v>4.7619047999999999</v>
      </c>
      <c r="X33" s="7" t="s">
        <v>107</v>
      </c>
      <c r="Y33" s="7" t="s">
        <v>107</v>
      </c>
      <c r="Z33" s="12">
        <v>-11.726681900000001</v>
      </c>
      <c r="AA33" s="12">
        <v>76.361566699999997</v>
      </c>
      <c r="AB33" s="12">
        <v>18.258395</v>
      </c>
      <c r="AC33" s="12">
        <v>21.829564900000001</v>
      </c>
      <c r="AD33" s="12">
        <v>39.174212199999999</v>
      </c>
      <c r="AE33" s="12">
        <v>55.623738799999998</v>
      </c>
      <c r="AF33" s="12">
        <v>81.832971400000005</v>
      </c>
      <c r="AG33" s="12">
        <v>28.608253999999999</v>
      </c>
    </row>
    <row r="34" spans="1:33" s="11" customFormat="1" hidden="1" outlineLevel="1" x14ac:dyDescent="0.3">
      <c r="A34" s="11" t="s">
        <v>40</v>
      </c>
      <c r="B34" s="12">
        <v>2.2042253999999999</v>
      </c>
      <c r="C34" s="12">
        <v>82.71</v>
      </c>
      <c r="D34" s="12">
        <v>2.0229431</v>
      </c>
      <c r="E34" s="17">
        <v>2</v>
      </c>
      <c r="F34" s="13">
        <v>51.626666700000001</v>
      </c>
      <c r="G34" s="12">
        <v>18.2396308</v>
      </c>
      <c r="H34" s="12">
        <v>19.934813699999999</v>
      </c>
      <c r="I34" s="12">
        <v>2.9265430000000001</v>
      </c>
      <c r="J34" s="12">
        <v>8.1133535000000006</v>
      </c>
      <c r="K34" s="12">
        <v>3.9554849000000001</v>
      </c>
      <c r="L34" s="12">
        <v>4.630026</v>
      </c>
      <c r="M34" s="12">
        <v>27.920825799999999</v>
      </c>
      <c r="N34" s="12">
        <v>13.2603852</v>
      </c>
      <c r="O34" s="12">
        <v>14.158847400000001</v>
      </c>
      <c r="P34" s="7">
        <v>3008.9</v>
      </c>
      <c r="Q34" s="7">
        <v>332.9</v>
      </c>
      <c r="R34" s="7">
        <v>10</v>
      </c>
      <c r="S34" s="12">
        <v>10.185185199999999</v>
      </c>
      <c r="T34" s="12">
        <v>2.06</v>
      </c>
      <c r="U34" s="12">
        <v>70.173333299999996</v>
      </c>
      <c r="V34" s="12">
        <v>1.95583</v>
      </c>
      <c r="W34" s="12">
        <v>7.2821328999999997</v>
      </c>
      <c r="X34" s="7" t="s">
        <v>107</v>
      </c>
      <c r="Y34" s="7" t="s">
        <v>107</v>
      </c>
      <c r="Z34" s="12">
        <v>-10.5363509</v>
      </c>
      <c r="AA34" s="12">
        <v>67.840534599999998</v>
      </c>
      <c r="AB34" s="12">
        <v>18.788207100000001</v>
      </c>
      <c r="AC34" s="12">
        <v>28.426565499999999</v>
      </c>
      <c r="AD34" s="12">
        <v>44.8002167</v>
      </c>
      <c r="AE34" s="12">
        <v>59.854621000000002</v>
      </c>
      <c r="AF34" s="12">
        <v>72.176208799999998</v>
      </c>
      <c r="AG34" s="12">
        <v>29.2624827</v>
      </c>
    </row>
    <row r="35" spans="1:33" s="11" customFormat="1" hidden="1" outlineLevel="1" x14ac:dyDescent="0.3">
      <c r="A35" s="11" t="s">
        <v>41</v>
      </c>
      <c r="B35" s="12">
        <v>2.0830310000000001</v>
      </c>
      <c r="C35" s="12">
        <v>83.016666700000002</v>
      </c>
      <c r="D35" s="12">
        <v>2.2918634999999998</v>
      </c>
      <c r="E35" s="17">
        <v>2</v>
      </c>
      <c r="F35" s="13">
        <v>61.47</v>
      </c>
      <c r="G35" s="12">
        <v>9.9171786999999991</v>
      </c>
      <c r="H35" s="12">
        <v>12.856427</v>
      </c>
      <c r="I35" s="12">
        <v>3.0002461999999999</v>
      </c>
      <c r="J35" s="12">
        <v>5.6499740000000003</v>
      </c>
      <c r="K35" s="12">
        <v>7.1241924000000001</v>
      </c>
      <c r="L35" s="12">
        <v>-0.50227739999999998</v>
      </c>
      <c r="M35" s="12">
        <v>37.069299299999997</v>
      </c>
      <c r="N35" s="12">
        <v>3.8784025</v>
      </c>
      <c r="O35" s="12">
        <v>17.594325699999999</v>
      </c>
      <c r="P35" s="7">
        <v>3098.1</v>
      </c>
      <c r="Q35" s="7">
        <v>313</v>
      </c>
      <c r="R35" s="7">
        <v>9.1999999999999993</v>
      </c>
      <c r="S35" s="12">
        <v>9.8976109000000001</v>
      </c>
      <c r="T35" s="12">
        <v>2.04</v>
      </c>
      <c r="U35" s="12">
        <v>71.069999999999993</v>
      </c>
      <c r="V35" s="12">
        <v>1.95583</v>
      </c>
      <c r="W35" s="12">
        <v>6.7557251999999997</v>
      </c>
      <c r="X35" s="7" t="s">
        <v>107</v>
      </c>
      <c r="Y35" s="7" t="s">
        <v>107</v>
      </c>
      <c r="Z35" s="12">
        <v>-3.6646603999999998</v>
      </c>
      <c r="AA35" s="12">
        <v>62.227984900000003</v>
      </c>
      <c r="AB35" s="12">
        <v>15.372895400000001</v>
      </c>
      <c r="AC35" s="12">
        <v>27.4539075</v>
      </c>
      <c r="AD35" s="12">
        <v>51.285050300000002</v>
      </c>
      <c r="AE35" s="12">
        <v>56.339838100000001</v>
      </c>
      <c r="AF35" s="12">
        <v>63.507058100000002</v>
      </c>
      <c r="AG35" s="12">
        <v>26.865912900000001</v>
      </c>
    </row>
    <row r="36" spans="1:33" s="11" customFormat="1" hidden="1" outlineLevel="1" x14ac:dyDescent="0.3">
      <c r="A36" s="11" t="s">
        <v>42</v>
      </c>
      <c r="B36" s="12">
        <v>2.0666498999999998</v>
      </c>
      <c r="C36" s="12">
        <v>83.51</v>
      </c>
      <c r="D36" s="12">
        <v>2.2613167999999999</v>
      </c>
      <c r="E36" s="17">
        <v>2.25</v>
      </c>
      <c r="F36" s="13">
        <v>56.88</v>
      </c>
      <c r="G36" s="12">
        <v>4.0725886999999998</v>
      </c>
      <c r="H36" s="12">
        <v>-5.7094507999999999</v>
      </c>
      <c r="I36" s="12">
        <v>-0.48104429999999998</v>
      </c>
      <c r="J36" s="12">
        <v>6.9124299999999996</v>
      </c>
      <c r="K36" s="12">
        <v>7.2703066999999999</v>
      </c>
      <c r="L36" s="12">
        <v>-6.8990026000000002</v>
      </c>
      <c r="M36" s="12">
        <v>17.581099600000002</v>
      </c>
      <c r="N36" s="12">
        <v>17.1739301</v>
      </c>
      <c r="O36" s="12">
        <v>13.4634807</v>
      </c>
      <c r="P36" s="7">
        <v>2982.3</v>
      </c>
      <c r="Q36" s="7">
        <v>328.7</v>
      </c>
      <c r="R36" s="7">
        <v>9.9</v>
      </c>
      <c r="S36" s="12">
        <v>9.4401755999999999</v>
      </c>
      <c r="T36" s="12">
        <v>2.0499999999999998</v>
      </c>
      <c r="U36" s="12">
        <v>72.743333300000003</v>
      </c>
      <c r="V36" s="12">
        <v>1.95583</v>
      </c>
      <c r="W36" s="12">
        <v>8.6680761000000004</v>
      </c>
      <c r="X36" s="7" t="s">
        <v>107</v>
      </c>
      <c r="Y36" s="7" t="s">
        <v>107</v>
      </c>
      <c r="Z36" s="12">
        <v>-18.937551200000001</v>
      </c>
      <c r="AA36" s="12">
        <v>70.393568000000002</v>
      </c>
      <c r="AB36" s="12">
        <v>20.269354700000001</v>
      </c>
      <c r="AC36" s="12">
        <v>31.745912300000001</v>
      </c>
      <c r="AD36" s="12">
        <v>34.512481600000001</v>
      </c>
      <c r="AE36" s="12">
        <v>56.921316500000003</v>
      </c>
      <c r="AF36" s="12">
        <v>58.391618899999997</v>
      </c>
      <c r="AG36" s="12">
        <v>26.5817616</v>
      </c>
    </row>
    <row r="37" spans="1:33" s="11" customFormat="1" hidden="1" outlineLevel="1" x14ac:dyDescent="0.3">
      <c r="A37" s="11" t="s">
        <v>43</v>
      </c>
      <c r="B37" s="12">
        <v>3.8191847000000001</v>
      </c>
      <c r="C37" s="12">
        <v>83.573333300000002</v>
      </c>
      <c r="D37" s="12">
        <v>2.2012065999999999</v>
      </c>
      <c r="E37" s="17">
        <v>2.5</v>
      </c>
      <c r="F37" s="13">
        <v>61.753333300000001</v>
      </c>
      <c r="G37" s="12">
        <v>1.6096953000000001</v>
      </c>
      <c r="H37" s="12">
        <v>2.4346211000000002</v>
      </c>
      <c r="I37" s="12">
        <v>1.3091425000000001</v>
      </c>
      <c r="J37" s="12">
        <v>5.1121350000000003</v>
      </c>
      <c r="K37" s="12">
        <v>4.2333815000000001</v>
      </c>
      <c r="L37" s="12">
        <v>2.0403147000000001</v>
      </c>
      <c r="M37" s="12">
        <v>43.308855000000001</v>
      </c>
      <c r="N37" s="12">
        <v>13.173288599999999</v>
      </c>
      <c r="O37" s="12">
        <v>21.4264905</v>
      </c>
      <c r="P37" s="7">
        <v>2940.5</v>
      </c>
      <c r="Q37" s="7">
        <v>315.2</v>
      </c>
      <c r="R37" s="7">
        <v>9.6999999999999993</v>
      </c>
      <c r="S37" s="12">
        <v>9.2409241000000009</v>
      </c>
      <c r="T37" s="12">
        <v>2.2799999999999998</v>
      </c>
      <c r="U37" s="12">
        <v>75.126666700000001</v>
      </c>
      <c r="V37" s="12">
        <v>1.9558</v>
      </c>
      <c r="W37" s="12">
        <v>6.2160061999999998</v>
      </c>
      <c r="X37" s="7" t="s">
        <v>107</v>
      </c>
      <c r="Y37" s="7" t="s">
        <v>107</v>
      </c>
      <c r="Z37" s="12">
        <v>-22.006471000000001</v>
      </c>
      <c r="AA37" s="12">
        <v>74.082339599999997</v>
      </c>
      <c r="AB37" s="12">
        <v>19.007778299999998</v>
      </c>
      <c r="AC37" s="12">
        <v>28.445369899999999</v>
      </c>
      <c r="AD37" s="12">
        <v>47.1319321</v>
      </c>
      <c r="AE37" s="12">
        <v>68.668353699999997</v>
      </c>
      <c r="AF37" s="12">
        <v>39.651783700000003</v>
      </c>
      <c r="AG37" s="12">
        <v>21.839301299999999</v>
      </c>
    </row>
    <row r="38" spans="1:33" s="11" customFormat="1" hidden="1" outlineLevel="1" x14ac:dyDescent="0.3">
      <c r="A38" s="11" t="s">
        <v>44</v>
      </c>
      <c r="B38" s="12">
        <v>2.9723983</v>
      </c>
      <c r="C38" s="12">
        <v>84.693333300000006</v>
      </c>
      <c r="D38" s="12">
        <v>2.3979365000000001</v>
      </c>
      <c r="E38" s="17">
        <v>2.75</v>
      </c>
      <c r="F38" s="13">
        <v>69.533333299999995</v>
      </c>
      <c r="G38" s="12">
        <v>-1.8752975000000001</v>
      </c>
      <c r="H38" s="12">
        <v>12.922825400000001</v>
      </c>
      <c r="I38" s="12">
        <v>7.8674058000000002</v>
      </c>
      <c r="J38" s="12">
        <v>7.1430303999999998</v>
      </c>
      <c r="K38" s="12">
        <v>10.1914724</v>
      </c>
      <c r="L38" s="12">
        <v>7.3867748999999998</v>
      </c>
      <c r="M38" s="12">
        <v>7.6258036000000002</v>
      </c>
      <c r="N38" s="12">
        <v>11.6120117</v>
      </c>
      <c r="O38" s="12">
        <v>14.044430800000001</v>
      </c>
      <c r="P38" s="7">
        <v>3139.1</v>
      </c>
      <c r="Q38" s="7">
        <v>308.89999999999998</v>
      </c>
      <c r="R38" s="7">
        <v>9</v>
      </c>
      <c r="S38" s="12">
        <v>8.1932773000000001</v>
      </c>
      <c r="T38" s="12">
        <v>2.56</v>
      </c>
      <c r="U38" s="12">
        <v>76.216666700000005</v>
      </c>
      <c r="V38" s="12">
        <v>1.9558</v>
      </c>
      <c r="W38" s="12">
        <v>7.9005935000000003</v>
      </c>
      <c r="X38" s="7" t="s">
        <v>107</v>
      </c>
      <c r="Y38" s="7" t="s">
        <v>107</v>
      </c>
      <c r="Z38" s="12">
        <v>-13.567665399999999</v>
      </c>
      <c r="AA38" s="12">
        <v>67.179585200000005</v>
      </c>
      <c r="AB38" s="12">
        <v>17.941794900000001</v>
      </c>
      <c r="AC38" s="12">
        <v>29.177418800000002</v>
      </c>
      <c r="AD38" s="12">
        <v>51.482207099999997</v>
      </c>
      <c r="AE38" s="12">
        <v>65.781802499999998</v>
      </c>
      <c r="AF38" s="12">
        <v>38.6515348</v>
      </c>
      <c r="AG38" s="12">
        <v>21.530767600000001</v>
      </c>
    </row>
    <row r="39" spans="1:33" s="11" customFormat="1" hidden="1" outlineLevel="1" x14ac:dyDescent="0.3">
      <c r="A39" s="11" t="s">
        <v>45</v>
      </c>
      <c r="B39" s="12">
        <v>3.3099788999999999</v>
      </c>
      <c r="C39" s="12">
        <v>84.873333299999999</v>
      </c>
      <c r="D39" s="12">
        <v>2.2364986</v>
      </c>
      <c r="E39" s="17">
        <v>3</v>
      </c>
      <c r="F39" s="13">
        <v>69.62</v>
      </c>
      <c r="G39" s="12">
        <v>2.1729618999999998</v>
      </c>
      <c r="H39" s="12">
        <v>8.3213073000000009</v>
      </c>
      <c r="I39" s="12">
        <v>4.5052738000000003</v>
      </c>
      <c r="J39" s="12">
        <v>6.9595741999999996</v>
      </c>
      <c r="K39" s="12">
        <v>9.4863102000000001</v>
      </c>
      <c r="L39" s="12">
        <v>4.8004264000000001</v>
      </c>
      <c r="M39" s="12">
        <v>27.340771100000001</v>
      </c>
      <c r="N39" s="12">
        <v>5.2504030999999998</v>
      </c>
      <c r="O39" s="12">
        <v>18.021697199999998</v>
      </c>
      <c r="P39" s="7">
        <v>3200.8</v>
      </c>
      <c r="Q39" s="7">
        <v>310.39999999999998</v>
      </c>
      <c r="R39" s="7">
        <v>8.9</v>
      </c>
      <c r="S39" s="12">
        <v>8.9026914999999995</v>
      </c>
      <c r="T39" s="12">
        <v>2.94</v>
      </c>
      <c r="U39" s="12">
        <v>75.833333300000007</v>
      </c>
      <c r="V39" s="12">
        <v>1.9558</v>
      </c>
      <c r="W39" s="12">
        <v>6.9717555000000004</v>
      </c>
      <c r="X39" s="7" t="s">
        <v>107</v>
      </c>
      <c r="Y39" s="7" t="s">
        <v>107</v>
      </c>
      <c r="Z39" s="12">
        <v>-7.0720964000000004</v>
      </c>
      <c r="AA39" s="12">
        <v>60.749477900000002</v>
      </c>
      <c r="AB39" s="12">
        <v>14.8741419</v>
      </c>
      <c r="AC39" s="12">
        <v>32.025938799999999</v>
      </c>
      <c r="AD39" s="12">
        <v>53.238019600000001</v>
      </c>
      <c r="AE39" s="12">
        <v>60.8869112</v>
      </c>
      <c r="AF39" s="12">
        <v>32.575069300000003</v>
      </c>
      <c r="AG39" s="12">
        <v>21.391237199999999</v>
      </c>
    </row>
    <row r="40" spans="1:33" s="11" customFormat="1" hidden="1" outlineLevel="1" x14ac:dyDescent="0.3">
      <c r="A40" s="11" t="s">
        <v>46</v>
      </c>
      <c r="B40" s="12">
        <v>3.7478780999999999</v>
      </c>
      <c r="C40" s="12">
        <v>85.166666699999993</v>
      </c>
      <c r="D40" s="12">
        <v>1.9837944000000001</v>
      </c>
      <c r="E40" s="17">
        <v>3.5</v>
      </c>
      <c r="F40" s="13">
        <v>59.68</v>
      </c>
      <c r="G40" s="12">
        <v>13.423633499999999</v>
      </c>
      <c r="H40" s="12">
        <v>7.5553040999999999</v>
      </c>
      <c r="I40" s="12">
        <v>-2.4312090999999998</v>
      </c>
      <c r="J40" s="12">
        <v>7.6501767999999997</v>
      </c>
      <c r="K40" s="12">
        <v>10.2517117</v>
      </c>
      <c r="L40" s="12">
        <v>7.7747130999999996</v>
      </c>
      <c r="M40" s="12">
        <v>14.7968849</v>
      </c>
      <c r="N40" s="12">
        <v>2.2863248</v>
      </c>
      <c r="O40" s="12">
        <v>11.540192100000001</v>
      </c>
      <c r="P40" s="7">
        <v>3159.6</v>
      </c>
      <c r="Q40" s="7">
        <v>288.39999999999998</v>
      </c>
      <c r="R40" s="7">
        <v>8.4</v>
      </c>
      <c r="S40" s="12">
        <v>11.534603799999999</v>
      </c>
      <c r="T40" s="12">
        <v>3.26</v>
      </c>
      <c r="U40" s="12">
        <v>76.916666699999993</v>
      </c>
      <c r="V40" s="12">
        <v>1.9558</v>
      </c>
      <c r="W40" s="12">
        <v>3.2749676000000001</v>
      </c>
      <c r="X40" s="7" t="s">
        <v>107</v>
      </c>
      <c r="Y40" s="7" t="s">
        <v>107</v>
      </c>
      <c r="Z40" s="12">
        <v>-25.844659199999999</v>
      </c>
      <c r="AA40" s="12">
        <v>67.626428700000005</v>
      </c>
      <c r="AB40" s="12">
        <v>20.909179699999999</v>
      </c>
      <c r="AC40" s="12">
        <v>36.958546400000003</v>
      </c>
      <c r="AD40" s="12">
        <v>37.075775800000002</v>
      </c>
      <c r="AE40" s="12">
        <v>62.568628099999998</v>
      </c>
      <c r="AF40" s="12">
        <v>30.5539509</v>
      </c>
      <c r="AG40" s="12">
        <v>20.872102099999999</v>
      </c>
    </row>
    <row r="41" spans="1:33" s="11" customFormat="1" hidden="1" outlineLevel="1" x14ac:dyDescent="0.3">
      <c r="A41" s="11" t="s">
        <v>47</v>
      </c>
      <c r="B41" s="12">
        <v>3.5234725999999998</v>
      </c>
      <c r="C41" s="12">
        <v>85.39</v>
      </c>
      <c r="D41" s="12">
        <v>2.1737397000000001</v>
      </c>
      <c r="E41" s="17">
        <v>3.75</v>
      </c>
      <c r="F41" s="13">
        <v>57.763333299999999</v>
      </c>
      <c r="G41" s="12">
        <v>15.734940999999999</v>
      </c>
      <c r="H41" s="12">
        <v>35.019386699999998</v>
      </c>
      <c r="I41" s="12">
        <v>7.116079</v>
      </c>
      <c r="J41" s="12">
        <v>6.6472125999999996</v>
      </c>
      <c r="K41" s="12">
        <v>12.118326</v>
      </c>
      <c r="L41" s="12">
        <v>-2.9962659999999999</v>
      </c>
      <c r="M41" s="12">
        <v>25.039178100000001</v>
      </c>
      <c r="N41" s="12">
        <v>22.503085299999999</v>
      </c>
      <c r="O41" s="12">
        <v>27.126093300000001</v>
      </c>
      <c r="P41" s="7">
        <v>3135.4</v>
      </c>
      <c r="Q41" s="7">
        <v>272.7</v>
      </c>
      <c r="R41" s="7">
        <v>8</v>
      </c>
      <c r="S41" s="12">
        <v>17.6233635</v>
      </c>
      <c r="T41" s="12">
        <v>3.52</v>
      </c>
      <c r="U41" s="12">
        <v>79.073333300000002</v>
      </c>
      <c r="V41" s="12">
        <v>1.9558</v>
      </c>
      <c r="W41" s="12">
        <v>10.7168984</v>
      </c>
      <c r="X41" s="7" t="s">
        <v>107</v>
      </c>
      <c r="Y41" s="7" t="s">
        <v>107</v>
      </c>
      <c r="Z41" s="12">
        <v>-29.727524200000001</v>
      </c>
      <c r="AA41" s="12">
        <v>74.597698500000007</v>
      </c>
      <c r="AB41" s="12">
        <v>15.574568599999999</v>
      </c>
      <c r="AC41" s="12">
        <v>34.0984537</v>
      </c>
      <c r="AD41" s="12">
        <v>50.318544600000003</v>
      </c>
      <c r="AE41" s="12">
        <v>74.589265299999994</v>
      </c>
      <c r="AF41" s="12">
        <v>37.550310500000002</v>
      </c>
      <c r="AG41" s="12">
        <v>16.729480500000001</v>
      </c>
    </row>
    <row r="42" spans="1:33" s="11" customFormat="1" hidden="1" outlineLevel="1" x14ac:dyDescent="0.3">
      <c r="A42" s="11" t="s">
        <v>48</v>
      </c>
      <c r="B42" s="12">
        <v>3.1678283999999999</v>
      </c>
      <c r="C42" s="12">
        <v>86.5</v>
      </c>
      <c r="D42" s="12">
        <v>2.1331864</v>
      </c>
      <c r="E42" s="17">
        <v>4</v>
      </c>
      <c r="F42" s="13">
        <v>68.583333300000007</v>
      </c>
      <c r="G42" s="12">
        <v>14.0691696</v>
      </c>
      <c r="H42" s="12">
        <v>17.215809</v>
      </c>
      <c r="I42" s="12">
        <v>8.7182022000000003</v>
      </c>
      <c r="J42" s="12">
        <v>8.5630512000000003</v>
      </c>
      <c r="K42" s="12">
        <v>12.678806</v>
      </c>
      <c r="L42" s="12">
        <v>-4.1295428000000003</v>
      </c>
      <c r="M42" s="12">
        <v>22.832131799999999</v>
      </c>
      <c r="N42" s="12">
        <v>16.339278700000001</v>
      </c>
      <c r="O42" s="12">
        <v>22.030546000000001</v>
      </c>
      <c r="P42" s="7">
        <v>3253.1</v>
      </c>
      <c r="Q42" s="7">
        <v>237.8</v>
      </c>
      <c r="R42" s="7">
        <v>6.8</v>
      </c>
      <c r="S42" s="12">
        <v>19.6116505</v>
      </c>
      <c r="T42" s="12">
        <v>3.84</v>
      </c>
      <c r="U42" s="12">
        <v>79.816666699999999</v>
      </c>
      <c r="V42" s="12">
        <v>1.9558</v>
      </c>
      <c r="W42" s="12">
        <v>9.2471639000000003</v>
      </c>
      <c r="X42" s="7" t="s">
        <v>107</v>
      </c>
      <c r="Y42" s="7" t="s">
        <v>107</v>
      </c>
      <c r="Z42" s="12">
        <v>-22.157372899999999</v>
      </c>
      <c r="AA42" s="12">
        <v>68.585086399999994</v>
      </c>
      <c r="AB42" s="12">
        <v>16.135038699999999</v>
      </c>
      <c r="AC42" s="12">
        <v>32.670237200000003</v>
      </c>
      <c r="AD42" s="12">
        <v>55.477314100000001</v>
      </c>
      <c r="AE42" s="12">
        <v>72.868353499999998</v>
      </c>
      <c r="AF42" s="12">
        <v>38.600453100000003</v>
      </c>
      <c r="AG42" s="12">
        <v>16.460638299999999</v>
      </c>
    </row>
    <row r="43" spans="1:33" s="11" customFormat="1" hidden="1" outlineLevel="1" x14ac:dyDescent="0.3">
      <c r="A43" s="11" t="s">
        <v>49</v>
      </c>
      <c r="B43" s="12">
        <v>3.1476855000000001</v>
      </c>
      <c r="C43" s="12">
        <v>86.6</v>
      </c>
      <c r="D43" s="12">
        <v>2.0344042999999998</v>
      </c>
      <c r="E43" s="17">
        <v>4</v>
      </c>
      <c r="F43" s="13">
        <v>74.953333299999997</v>
      </c>
      <c r="G43" s="12">
        <v>15.565229799999999</v>
      </c>
      <c r="H43" s="12">
        <v>18.196724700000001</v>
      </c>
      <c r="I43" s="12">
        <v>5.1800300000000004</v>
      </c>
      <c r="J43" s="12">
        <v>5.1760526000000002</v>
      </c>
      <c r="K43" s="12">
        <v>12.1790767</v>
      </c>
      <c r="L43" s="12">
        <v>-4.4309478000000002</v>
      </c>
      <c r="M43" s="12">
        <v>3.8419493</v>
      </c>
      <c r="N43" s="12">
        <v>14.021520799999999</v>
      </c>
      <c r="O43" s="12">
        <v>18.194239899999999</v>
      </c>
      <c r="P43" s="7">
        <v>3315.5</v>
      </c>
      <c r="Q43" s="7">
        <v>235.1</v>
      </c>
      <c r="R43" s="7">
        <v>6.6</v>
      </c>
      <c r="S43" s="12">
        <v>21.6730038</v>
      </c>
      <c r="T43" s="12">
        <v>4.09</v>
      </c>
      <c r="U43" s="12">
        <v>82.69</v>
      </c>
      <c r="V43" s="12">
        <v>1.9558</v>
      </c>
      <c r="W43" s="12">
        <v>9.9598931000000004</v>
      </c>
      <c r="X43" s="7" t="s">
        <v>107</v>
      </c>
      <c r="Y43" s="7" t="s">
        <v>107</v>
      </c>
      <c r="Z43" s="12">
        <v>-14.4441788</v>
      </c>
      <c r="AA43" s="12">
        <v>63.388109</v>
      </c>
      <c r="AB43" s="12">
        <v>13.7338053</v>
      </c>
      <c r="AC43" s="12">
        <v>30.881254899999998</v>
      </c>
      <c r="AD43" s="12">
        <v>58.947920400000001</v>
      </c>
      <c r="AE43" s="12">
        <v>66.951659500000005</v>
      </c>
      <c r="AF43" s="12">
        <v>48.225094599999998</v>
      </c>
      <c r="AG43" s="12">
        <v>16.4207924</v>
      </c>
    </row>
    <row r="44" spans="1:33" s="11" customFormat="1" hidden="1" outlineLevel="1" x14ac:dyDescent="0.3">
      <c r="A44" s="11" t="s">
        <v>50</v>
      </c>
      <c r="B44" s="12">
        <v>2.7223932</v>
      </c>
      <c r="C44" s="12">
        <v>87.72</v>
      </c>
      <c r="D44" s="12">
        <v>2.998043</v>
      </c>
      <c r="E44" s="17">
        <v>4</v>
      </c>
      <c r="F44" s="13">
        <v>88.56</v>
      </c>
      <c r="G44" s="12">
        <v>68.825168199999993</v>
      </c>
      <c r="H44" s="12">
        <v>23.467851599999999</v>
      </c>
      <c r="I44" s="12">
        <v>-17.2626727</v>
      </c>
      <c r="J44" s="12">
        <v>6.5110656999999996</v>
      </c>
      <c r="K44" s="12">
        <v>9.5613676999999999</v>
      </c>
      <c r="L44" s="12">
        <v>5.5137901999999999</v>
      </c>
      <c r="M44" s="12">
        <v>10.1097289</v>
      </c>
      <c r="N44" s="12">
        <v>28.846354699999999</v>
      </c>
      <c r="O44" s="12">
        <v>23.893293100000001</v>
      </c>
      <c r="P44" s="7">
        <v>3306.4</v>
      </c>
      <c r="Q44" s="7">
        <v>215.3</v>
      </c>
      <c r="R44" s="7">
        <v>6.1</v>
      </c>
      <c r="S44" s="12">
        <v>23.201438799999998</v>
      </c>
      <c r="T44" s="12">
        <v>4.58</v>
      </c>
      <c r="U44" s="12">
        <v>85.54</v>
      </c>
      <c r="V44" s="12">
        <v>1.9558</v>
      </c>
      <c r="W44" s="12">
        <v>8.7284144000000001</v>
      </c>
      <c r="X44" s="7" t="s">
        <v>107</v>
      </c>
      <c r="Y44" s="7" t="s">
        <v>107</v>
      </c>
      <c r="Z44" s="12">
        <v>-30.122990600000001</v>
      </c>
      <c r="AA44" s="12">
        <v>69.087631099999996</v>
      </c>
      <c r="AB44" s="12">
        <v>20.797909300000001</v>
      </c>
      <c r="AC44" s="12">
        <v>36.650236499999998</v>
      </c>
      <c r="AD44" s="12">
        <v>44.900040799999999</v>
      </c>
      <c r="AE44" s="12">
        <v>71.435266400000003</v>
      </c>
      <c r="AF44" s="12">
        <v>52.235636399999997</v>
      </c>
      <c r="AG44" s="12">
        <v>16.315901400000001</v>
      </c>
    </row>
    <row r="45" spans="1:33" s="11" customFormat="1" hidden="1" outlineLevel="1" x14ac:dyDescent="0.3">
      <c r="A45" s="11" t="s">
        <v>51</v>
      </c>
      <c r="B45" s="12">
        <v>1.9060995000000001</v>
      </c>
      <c r="C45" s="12">
        <v>88.42</v>
      </c>
      <c r="D45" s="12">
        <v>3.5484249000000001</v>
      </c>
      <c r="E45" s="17">
        <v>4</v>
      </c>
      <c r="F45" s="13">
        <v>96.936666700000004</v>
      </c>
      <c r="G45" s="12">
        <v>14.103055599999999</v>
      </c>
      <c r="H45" s="12">
        <v>19.214201800000001</v>
      </c>
      <c r="I45" s="12">
        <v>8.9499936000000009</v>
      </c>
      <c r="J45" s="12">
        <v>7.6531276999999998</v>
      </c>
      <c r="K45" s="12">
        <v>10.020437899999999</v>
      </c>
      <c r="L45" s="12">
        <v>-2.9553286000000001</v>
      </c>
      <c r="M45" s="12">
        <v>1.1399128999999999</v>
      </c>
      <c r="N45" s="12">
        <v>11.8602887</v>
      </c>
      <c r="O45" s="12">
        <v>7.6694089999999999</v>
      </c>
      <c r="P45" s="7">
        <v>3289.9</v>
      </c>
      <c r="Q45" s="7">
        <v>228.8</v>
      </c>
      <c r="R45" s="7">
        <v>6.5</v>
      </c>
      <c r="S45" s="12">
        <v>24.400684900000002</v>
      </c>
      <c r="T45" s="12">
        <v>4.83</v>
      </c>
      <c r="U45" s="12">
        <v>88.863333299999994</v>
      </c>
      <c r="V45" s="12">
        <v>1.9558</v>
      </c>
      <c r="W45" s="12">
        <v>3.6009250000000002</v>
      </c>
      <c r="X45" s="7" t="s">
        <v>107</v>
      </c>
      <c r="Y45" s="7" t="s">
        <v>107</v>
      </c>
      <c r="Z45" s="12">
        <v>-25.269249500000001</v>
      </c>
      <c r="AA45" s="12">
        <v>75.227072899999996</v>
      </c>
      <c r="AB45" s="12">
        <v>16.049167199999999</v>
      </c>
      <c r="AC45" s="12">
        <v>33.421499599999997</v>
      </c>
      <c r="AD45" s="12">
        <v>54.955995199999997</v>
      </c>
      <c r="AE45" s="12">
        <v>79.653734900000003</v>
      </c>
      <c r="AF45" s="12">
        <v>49.5115166</v>
      </c>
      <c r="AG45" s="12">
        <v>13.088802599999999</v>
      </c>
    </row>
    <row r="46" spans="1:33" s="11" customFormat="1" hidden="1" outlineLevel="1" x14ac:dyDescent="0.3">
      <c r="A46" s="11" t="s">
        <v>52</v>
      </c>
      <c r="B46" s="12">
        <v>1.9101475000000001</v>
      </c>
      <c r="C46" s="12">
        <v>89.906666700000002</v>
      </c>
      <c r="D46" s="12">
        <v>3.9383430000000001</v>
      </c>
      <c r="E46" s="17">
        <v>4</v>
      </c>
      <c r="F46" s="13">
        <v>121.3966667</v>
      </c>
      <c r="G46" s="12">
        <v>17.0327217</v>
      </c>
      <c r="H46" s="12">
        <v>24.228413100000001</v>
      </c>
      <c r="I46" s="12">
        <v>11.068846199999999</v>
      </c>
      <c r="J46" s="12">
        <v>6.9386945999999998</v>
      </c>
      <c r="K46" s="12">
        <v>3.1819413999999999</v>
      </c>
      <c r="L46" s="12">
        <v>4.0873100999999998</v>
      </c>
      <c r="M46" s="12">
        <v>41.368324000000001</v>
      </c>
      <c r="N46" s="12">
        <v>2.9694047000000001</v>
      </c>
      <c r="O46" s="12">
        <v>15.488492300000001</v>
      </c>
      <c r="P46" s="7">
        <v>3372.1</v>
      </c>
      <c r="Q46" s="7">
        <v>207.2</v>
      </c>
      <c r="R46" s="7">
        <v>5.8</v>
      </c>
      <c r="S46" s="12">
        <v>24.1883117</v>
      </c>
      <c r="T46" s="12">
        <v>4.96</v>
      </c>
      <c r="U46" s="12">
        <v>91.02</v>
      </c>
      <c r="V46" s="12">
        <v>1.9558</v>
      </c>
      <c r="W46" s="12">
        <v>5.5380742999999999</v>
      </c>
      <c r="X46" s="7" t="s">
        <v>107</v>
      </c>
      <c r="Y46" s="7" t="s">
        <v>107</v>
      </c>
      <c r="Z46" s="12">
        <v>-26.206017599999999</v>
      </c>
      <c r="AA46" s="12">
        <v>66.439349800000002</v>
      </c>
      <c r="AB46" s="12">
        <v>16.459340000000001</v>
      </c>
      <c r="AC46" s="12">
        <v>42.517391500000002</v>
      </c>
      <c r="AD46" s="12">
        <v>57.355242599999997</v>
      </c>
      <c r="AE46" s="12">
        <v>82.771323800000005</v>
      </c>
      <c r="AF46" s="12">
        <v>48.926050099999998</v>
      </c>
      <c r="AG46" s="12">
        <v>13.042678499999999</v>
      </c>
    </row>
    <row r="47" spans="1:33" s="11" customFormat="1" hidden="1" outlineLevel="1" x14ac:dyDescent="0.3">
      <c r="A47" s="11" t="s">
        <v>53</v>
      </c>
      <c r="B47" s="12">
        <v>0.87131639999999999</v>
      </c>
      <c r="C47" s="12">
        <v>90.323333300000002</v>
      </c>
      <c r="D47" s="12">
        <v>4.2994611000000003</v>
      </c>
      <c r="E47" s="17">
        <v>4.25</v>
      </c>
      <c r="F47" s="13">
        <v>114.3966667</v>
      </c>
      <c r="G47" s="12">
        <v>21.560756699999999</v>
      </c>
      <c r="H47" s="12">
        <v>22.662874800000001</v>
      </c>
      <c r="I47" s="12">
        <v>5.7618708999999999</v>
      </c>
      <c r="J47" s="12">
        <v>6.9104698999999998</v>
      </c>
      <c r="K47" s="12">
        <v>2.5662278000000001</v>
      </c>
      <c r="L47" s="12">
        <v>2.1663587999999998</v>
      </c>
      <c r="M47" s="12">
        <v>14.2896375</v>
      </c>
      <c r="N47" s="12">
        <v>3.1022720000000001</v>
      </c>
      <c r="O47" s="12">
        <v>2.1049155000000002</v>
      </c>
      <c r="P47" s="7">
        <v>3417.3</v>
      </c>
      <c r="Q47" s="7">
        <v>185.1</v>
      </c>
      <c r="R47" s="7">
        <v>5.0999999999999996</v>
      </c>
      <c r="S47" s="12">
        <v>22.578125</v>
      </c>
      <c r="T47" s="12">
        <v>5.23</v>
      </c>
      <c r="U47" s="12">
        <v>93.063333299999996</v>
      </c>
      <c r="V47" s="12">
        <v>1.9558</v>
      </c>
      <c r="W47" s="12">
        <v>1.2462005</v>
      </c>
      <c r="X47" s="7" t="s">
        <v>107</v>
      </c>
      <c r="Y47" s="7" t="s">
        <v>107</v>
      </c>
      <c r="Z47" s="12">
        <v>-10.420245899999999</v>
      </c>
      <c r="AA47" s="12">
        <v>58.937483899999997</v>
      </c>
      <c r="AB47" s="12">
        <v>14.0123493</v>
      </c>
      <c r="AC47" s="12">
        <v>34.6106804</v>
      </c>
      <c r="AD47" s="12">
        <v>59.873054400000001</v>
      </c>
      <c r="AE47" s="12">
        <v>67.433568100000002</v>
      </c>
      <c r="AF47" s="12">
        <v>43.759493499999998</v>
      </c>
      <c r="AG47" s="12">
        <v>13.2175656</v>
      </c>
    </row>
    <row r="48" spans="1:33" s="11" customFormat="1" hidden="1" outlineLevel="1" x14ac:dyDescent="0.3">
      <c r="A48" s="11" t="s">
        <v>54</v>
      </c>
      <c r="B48" s="12">
        <v>-1.9881508000000001</v>
      </c>
      <c r="C48" s="12">
        <v>90.23</v>
      </c>
      <c r="D48" s="12">
        <v>2.8613770999999999</v>
      </c>
      <c r="E48" s="17">
        <v>2.5</v>
      </c>
      <c r="F48" s="13">
        <v>54.66</v>
      </c>
      <c r="G48" s="12">
        <v>5.8933026999999996</v>
      </c>
      <c r="H48" s="12">
        <v>4.5714956999999998</v>
      </c>
      <c r="I48" s="12">
        <v>-16.887335100000001</v>
      </c>
      <c r="J48" s="12">
        <v>3.5689465999999999</v>
      </c>
      <c r="K48" s="12">
        <v>-0.7095475</v>
      </c>
      <c r="L48" s="12">
        <v>3.5429659999999998</v>
      </c>
      <c r="M48" s="12">
        <v>9.6426283999999995</v>
      </c>
      <c r="N48" s="12">
        <v>-6.8500091000000003</v>
      </c>
      <c r="O48" s="12">
        <v>-4.3609054</v>
      </c>
      <c r="P48" s="7">
        <v>3363.5</v>
      </c>
      <c r="Q48" s="7">
        <v>177.7</v>
      </c>
      <c r="R48" s="7">
        <v>5</v>
      </c>
      <c r="S48" s="12">
        <v>20.145985400000001</v>
      </c>
      <c r="T48" s="12">
        <v>5.77</v>
      </c>
      <c r="U48" s="12">
        <v>93.266666700000002</v>
      </c>
      <c r="V48" s="12">
        <v>1.9558</v>
      </c>
      <c r="W48" s="12">
        <v>-7.0170373000000001</v>
      </c>
      <c r="X48" s="7" t="s">
        <v>107</v>
      </c>
      <c r="Y48" s="7" t="s">
        <v>107</v>
      </c>
      <c r="Z48" s="12">
        <v>-27.417666400000002</v>
      </c>
      <c r="AA48" s="12">
        <v>64.671724699999999</v>
      </c>
      <c r="AB48" s="12">
        <v>21.717246899999999</v>
      </c>
      <c r="AC48" s="12">
        <v>36.982544900000001</v>
      </c>
      <c r="AD48" s="12">
        <v>38.975999199999997</v>
      </c>
      <c r="AE48" s="12">
        <v>62.348507400000003</v>
      </c>
      <c r="AF48" s="12">
        <v>31.392511200000001</v>
      </c>
      <c r="AG48" s="12">
        <v>13.017420100000001</v>
      </c>
    </row>
    <row r="49" spans="1:33" s="11" customFormat="1" hidden="1" outlineLevel="1" x14ac:dyDescent="0.3">
      <c r="A49" s="11" t="s">
        <v>55</v>
      </c>
      <c r="B49" s="12">
        <v>-5.4359460999999998</v>
      </c>
      <c r="C49" s="12">
        <v>89.88</v>
      </c>
      <c r="D49" s="12">
        <v>1.6512100999999999</v>
      </c>
      <c r="E49" s="17">
        <v>1.5</v>
      </c>
      <c r="F49" s="13">
        <v>44.433333300000001</v>
      </c>
      <c r="G49" s="12">
        <v>18.199964399999999</v>
      </c>
      <c r="H49" s="12">
        <v>-2.1241650999999999</v>
      </c>
      <c r="I49" s="12">
        <v>1.7870299999999999</v>
      </c>
      <c r="J49" s="12">
        <v>-2.3221908999999998</v>
      </c>
      <c r="K49" s="12">
        <v>-7.0857954999999997</v>
      </c>
      <c r="L49" s="12">
        <v>-4.2800934000000002</v>
      </c>
      <c r="M49" s="12">
        <v>-9.9921322000000004</v>
      </c>
      <c r="N49" s="12">
        <v>-19.271887400000001</v>
      </c>
      <c r="O49" s="12">
        <v>-22.489582299999999</v>
      </c>
      <c r="P49" s="7">
        <v>3262.8</v>
      </c>
      <c r="Q49" s="7">
        <v>222.2</v>
      </c>
      <c r="R49" s="7">
        <v>6.4</v>
      </c>
      <c r="S49" s="12">
        <v>15.191446900000001</v>
      </c>
      <c r="T49" s="12">
        <v>3.49</v>
      </c>
      <c r="U49" s="12">
        <v>93.42</v>
      </c>
      <c r="V49" s="12">
        <v>1.9558</v>
      </c>
      <c r="W49" s="12">
        <v>-18.526785700000001</v>
      </c>
      <c r="X49" s="12">
        <v>-22.694147600000001</v>
      </c>
      <c r="Y49" s="12">
        <v>-27.0127916</v>
      </c>
      <c r="Z49" s="12">
        <v>-16.087449199999998</v>
      </c>
      <c r="AA49" s="12">
        <v>70.376019600000006</v>
      </c>
      <c r="AB49" s="12">
        <v>17.359719800000001</v>
      </c>
      <c r="AC49" s="12">
        <v>27.5377118</v>
      </c>
      <c r="AD49" s="12">
        <v>41.030596000000003</v>
      </c>
      <c r="AE49" s="12">
        <v>56.304047199999999</v>
      </c>
      <c r="AF49" s="12">
        <v>24.7857038</v>
      </c>
      <c r="AG49" s="12">
        <v>12.7734468</v>
      </c>
    </row>
    <row r="50" spans="1:33" s="11" customFormat="1" hidden="1" outlineLevel="1" x14ac:dyDescent="0.3">
      <c r="A50" s="11" t="s">
        <v>56</v>
      </c>
      <c r="B50" s="12">
        <v>-5.8020649999999998</v>
      </c>
      <c r="C50" s="12">
        <v>90.723333299999993</v>
      </c>
      <c r="D50" s="12">
        <v>0.90834930000000003</v>
      </c>
      <c r="E50" s="17">
        <v>1</v>
      </c>
      <c r="F50" s="13">
        <v>58.696666700000002</v>
      </c>
      <c r="G50" s="12">
        <v>27.9957852</v>
      </c>
      <c r="H50" s="12">
        <v>-11.0287004</v>
      </c>
      <c r="I50" s="12">
        <v>-2.3289808999999999</v>
      </c>
      <c r="J50" s="12">
        <v>-2.1052940000000002</v>
      </c>
      <c r="K50" s="12">
        <v>-1.2152225000000001</v>
      </c>
      <c r="L50" s="12">
        <v>-2.7754934000000002</v>
      </c>
      <c r="M50" s="12">
        <v>-26.9556966</v>
      </c>
      <c r="N50" s="12">
        <v>-16.918077400000001</v>
      </c>
      <c r="O50" s="12">
        <v>-25.334255299999999</v>
      </c>
      <c r="P50" s="7">
        <v>3300.1</v>
      </c>
      <c r="Q50" s="7">
        <v>222.6</v>
      </c>
      <c r="R50" s="7">
        <v>6.3</v>
      </c>
      <c r="S50" s="12">
        <v>12.469092</v>
      </c>
      <c r="T50" s="12">
        <v>2.35</v>
      </c>
      <c r="U50" s="12">
        <v>93.866666699999996</v>
      </c>
      <c r="V50" s="12">
        <v>1.9558</v>
      </c>
      <c r="W50" s="12">
        <v>-21.586165699999999</v>
      </c>
      <c r="X50" s="12">
        <v>-27.760880400000001</v>
      </c>
      <c r="Y50" s="12">
        <v>-35.143824199999997</v>
      </c>
      <c r="Z50" s="12">
        <v>-12.7826483</v>
      </c>
      <c r="AA50" s="12">
        <v>62.332937700000002</v>
      </c>
      <c r="AB50" s="12">
        <v>18.374109700000002</v>
      </c>
      <c r="AC50" s="12">
        <v>31.248900899999999</v>
      </c>
      <c r="AD50" s="12">
        <v>40.0350611</v>
      </c>
      <c r="AE50" s="12">
        <v>51.991559000000002</v>
      </c>
      <c r="AF50" s="12">
        <v>13.0580309</v>
      </c>
      <c r="AG50" s="12">
        <v>13.332194599999999</v>
      </c>
    </row>
    <row r="51" spans="1:33" s="11" customFormat="1" hidden="1" outlineLevel="1" x14ac:dyDescent="0.3">
      <c r="A51" s="11" t="s">
        <v>57</v>
      </c>
      <c r="B51" s="12">
        <v>-4.1677857999999999</v>
      </c>
      <c r="C51" s="12">
        <v>90.663333300000005</v>
      </c>
      <c r="D51" s="12">
        <v>0.37642540000000002</v>
      </c>
      <c r="E51" s="17">
        <v>1</v>
      </c>
      <c r="F51" s="13">
        <v>68.2</v>
      </c>
      <c r="G51" s="12">
        <v>15.531810399999999</v>
      </c>
      <c r="H51" s="12">
        <v>-18.089798699999999</v>
      </c>
      <c r="I51" s="12">
        <v>-5.2494309000000001</v>
      </c>
      <c r="J51" s="12">
        <v>-2.6681705</v>
      </c>
      <c r="K51" s="12">
        <v>-4.1303916999999997</v>
      </c>
      <c r="L51" s="12">
        <v>0.52091310000000002</v>
      </c>
      <c r="M51" s="12">
        <v>-26.244827099999998</v>
      </c>
      <c r="N51" s="12">
        <v>-8.5656096000000002</v>
      </c>
      <c r="O51" s="12">
        <v>-20.303493700000001</v>
      </c>
      <c r="P51" s="7">
        <v>3280</v>
      </c>
      <c r="Q51" s="7">
        <v>234.5</v>
      </c>
      <c r="R51" s="7">
        <v>6.7</v>
      </c>
      <c r="S51" s="12">
        <v>11.960313299999999</v>
      </c>
      <c r="T51" s="12">
        <v>1.57</v>
      </c>
      <c r="U51" s="12">
        <v>93.833333300000007</v>
      </c>
      <c r="V51" s="12">
        <v>1.9558</v>
      </c>
      <c r="W51" s="12">
        <v>-19.633743599999999</v>
      </c>
      <c r="X51" s="12">
        <v>-19.687291200000001</v>
      </c>
      <c r="Y51" s="12">
        <v>-32.423902699999999</v>
      </c>
      <c r="Z51" s="12">
        <v>2.5145515000000001</v>
      </c>
      <c r="AA51" s="12">
        <v>57.3201106</v>
      </c>
      <c r="AB51" s="12">
        <v>15.042414000000001</v>
      </c>
      <c r="AC51" s="12">
        <v>25.118667299999998</v>
      </c>
      <c r="AD51" s="12">
        <v>50.190888399999999</v>
      </c>
      <c r="AE51" s="12">
        <v>47.672080299999998</v>
      </c>
      <c r="AF51" s="12">
        <v>7.3152125000000003</v>
      </c>
      <c r="AG51" s="12">
        <v>13.2223308</v>
      </c>
    </row>
    <row r="52" spans="1:33" s="11" customFormat="1" hidden="1" outlineLevel="1" x14ac:dyDescent="0.3">
      <c r="A52" s="11" t="s">
        <v>58</v>
      </c>
      <c r="B52" s="12">
        <v>-1.8288317999999999</v>
      </c>
      <c r="C52" s="12">
        <v>91.146666699999997</v>
      </c>
      <c r="D52" s="12">
        <v>1.0159222999999999</v>
      </c>
      <c r="E52" s="17">
        <v>1</v>
      </c>
      <c r="F52" s="13">
        <v>74.63</v>
      </c>
      <c r="G52" s="12">
        <v>-15.504413700000001</v>
      </c>
      <c r="H52" s="12">
        <v>-4.2030735999999997</v>
      </c>
      <c r="I52" s="12">
        <v>-10.4068877</v>
      </c>
      <c r="J52" s="12">
        <v>-5.8896477000000003</v>
      </c>
      <c r="K52" s="12">
        <v>-4.4238261999999997</v>
      </c>
      <c r="L52" s="12">
        <v>-13.456872799999999</v>
      </c>
      <c r="M52" s="12">
        <v>-28.034533499999998</v>
      </c>
      <c r="N52" s="12">
        <v>-2.2713922000000002</v>
      </c>
      <c r="O52" s="12">
        <v>-17.674311899999999</v>
      </c>
      <c r="P52" s="7">
        <v>3171.6</v>
      </c>
      <c r="Q52" s="7">
        <v>272.8</v>
      </c>
      <c r="R52" s="7">
        <v>7.9</v>
      </c>
      <c r="S52" s="12">
        <v>9.1122487999999997</v>
      </c>
      <c r="T52" s="12">
        <v>0.55000000000000004</v>
      </c>
      <c r="U52" s="12">
        <v>94.133333300000004</v>
      </c>
      <c r="V52" s="12">
        <v>1.9558</v>
      </c>
      <c r="W52" s="12">
        <v>-13.074534099999999</v>
      </c>
      <c r="X52" s="12">
        <v>-3.8234672000000001</v>
      </c>
      <c r="Y52" s="12">
        <v>-24.4339309</v>
      </c>
      <c r="Z52" s="12">
        <v>-8.7836476000000001</v>
      </c>
      <c r="AA52" s="12">
        <v>63.383116999999999</v>
      </c>
      <c r="AB52" s="12">
        <v>16.433143399999999</v>
      </c>
      <c r="AC52" s="12">
        <v>30.2025653</v>
      </c>
      <c r="AD52" s="12">
        <v>37.295614800000003</v>
      </c>
      <c r="AE52" s="12">
        <v>47.314440599999998</v>
      </c>
      <c r="AF52" s="12">
        <v>5.7888199</v>
      </c>
      <c r="AG52" s="12">
        <v>13.663289199999999</v>
      </c>
    </row>
    <row r="53" spans="1:33" s="11" customFormat="1" hidden="1" outlineLevel="1" x14ac:dyDescent="0.3">
      <c r="A53" s="11" t="s">
        <v>59</v>
      </c>
      <c r="B53" s="12">
        <v>1.1991562</v>
      </c>
      <c r="C53" s="12">
        <v>91.416666699999993</v>
      </c>
      <c r="D53" s="12">
        <v>1.709687</v>
      </c>
      <c r="E53" s="17">
        <v>1</v>
      </c>
      <c r="F53" s="13">
        <v>76.25</v>
      </c>
      <c r="G53" s="12">
        <v>4.9257624</v>
      </c>
      <c r="H53" s="12">
        <v>-17.178335700000002</v>
      </c>
      <c r="I53" s="12">
        <v>-7.3209776</v>
      </c>
      <c r="J53" s="12">
        <v>-3.3332019000000002</v>
      </c>
      <c r="K53" s="12">
        <v>-1.2226226</v>
      </c>
      <c r="L53" s="12">
        <v>2.0920361999999999</v>
      </c>
      <c r="M53" s="12">
        <v>-27.215909100000001</v>
      </c>
      <c r="N53" s="12">
        <v>1.8886497</v>
      </c>
      <c r="O53" s="12">
        <v>-5.7328768999999999</v>
      </c>
      <c r="P53" s="7">
        <v>3011.3</v>
      </c>
      <c r="Q53" s="7">
        <v>341</v>
      </c>
      <c r="R53" s="7">
        <v>10.199999999999999</v>
      </c>
      <c r="S53" s="12">
        <v>6.9954128999999998</v>
      </c>
      <c r="T53" s="12">
        <v>0.18</v>
      </c>
      <c r="U53" s="12">
        <v>95.246666700000006</v>
      </c>
      <c r="V53" s="12">
        <v>1.9558</v>
      </c>
      <c r="W53" s="12">
        <v>-3.3268103</v>
      </c>
      <c r="X53" s="12">
        <v>-1.0120872000000001</v>
      </c>
      <c r="Y53" s="12">
        <v>-11.0932131</v>
      </c>
      <c r="Z53" s="12">
        <v>-5.4836860999999999</v>
      </c>
      <c r="AA53" s="12">
        <v>72.3035292</v>
      </c>
      <c r="AB53" s="12">
        <v>19.903949799999999</v>
      </c>
      <c r="AC53" s="12">
        <v>17.396196799999998</v>
      </c>
      <c r="AD53" s="12">
        <v>44.787236200000002</v>
      </c>
      <c r="AE53" s="12">
        <v>54.390912100000001</v>
      </c>
      <c r="AF53" s="12">
        <v>4.3633877999999999</v>
      </c>
      <c r="AG53" s="12">
        <v>13.382589400000001</v>
      </c>
    </row>
    <row r="54" spans="1:33" s="11" customFormat="1" hidden="1" outlineLevel="1" x14ac:dyDescent="0.3">
      <c r="A54" s="11" t="s">
        <v>60</v>
      </c>
      <c r="B54" s="12">
        <v>2.6157658000000001</v>
      </c>
      <c r="C54" s="12">
        <v>92.57</v>
      </c>
      <c r="D54" s="12">
        <v>2.0354926</v>
      </c>
      <c r="E54" s="17">
        <v>1</v>
      </c>
      <c r="F54" s="13">
        <v>78.510000000000005</v>
      </c>
      <c r="G54" s="12">
        <v>-12.889261100000001</v>
      </c>
      <c r="H54" s="12">
        <v>-9.6804398000000003</v>
      </c>
      <c r="I54" s="12">
        <v>-0.86622920000000003</v>
      </c>
      <c r="J54" s="12">
        <v>2.9414693999999999</v>
      </c>
      <c r="K54" s="12">
        <v>4.8651</v>
      </c>
      <c r="L54" s="12">
        <v>1.1449113</v>
      </c>
      <c r="M54" s="12">
        <v>-18.868138999999999</v>
      </c>
      <c r="N54" s="12">
        <v>10.0655646</v>
      </c>
      <c r="O54" s="12">
        <v>-1.9502132000000001</v>
      </c>
      <c r="P54" s="7">
        <v>3072.1</v>
      </c>
      <c r="Q54" s="7">
        <v>342.2</v>
      </c>
      <c r="R54" s="7">
        <v>10</v>
      </c>
      <c r="S54" s="12">
        <v>6.3430777999999997</v>
      </c>
      <c r="T54" s="12">
        <v>0.2</v>
      </c>
      <c r="U54" s="12">
        <v>96.546666700000003</v>
      </c>
      <c r="V54" s="12">
        <v>1.9558</v>
      </c>
      <c r="W54" s="12">
        <v>1.4828897000000001</v>
      </c>
      <c r="X54" s="12">
        <v>17.168082900000002</v>
      </c>
      <c r="Y54" s="12">
        <v>3.6835529999999999</v>
      </c>
      <c r="Z54" s="12">
        <v>-3.5743010000000002</v>
      </c>
      <c r="AA54" s="12">
        <v>66.065594599999997</v>
      </c>
      <c r="AB54" s="12">
        <v>16.046523199999999</v>
      </c>
      <c r="AC54" s="12">
        <v>24.063151300000001</v>
      </c>
      <c r="AD54" s="12">
        <v>49.604475399999998</v>
      </c>
      <c r="AE54" s="12">
        <v>55.7797445</v>
      </c>
      <c r="AF54" s="12">
        <v>3.6641425000000001</v>
      </c>
      <c r="AG54" s="12">
        <v>13.7711717</v>
      </c>
    </row>
    <row r="55" spans="1:33" s="11" customFormat="1" hidden="1" outlineLevel="1" x14ac:dyDescent="0.3">
      <c r="A55" s="11" t="s">
        <v>61</v>
      </c>
      <c r="B55" s="12">
        <v>2.4618717000000001</v>
      </c>
      <c r="C55" s="12">
        <v>92.583333300000007</v>
      </c>
      <c r="D55" s="12">
        <v>2.1177248999999998</v>
      </c>
      <c r="E55" s="17">
        <v>1</v>
      </c>
      <c r="F55" s="13">
        <v>76.819999999999993</v>
      </c>
      <c r="G55" s="12">
        <v>-3.9399047</v>
      </c>
      <c r="H55" s="12">
        <v>10.5937176</v>
      </c>
      <c r="I55" s="12">
        <v>-0.7173834</v>
      </c>
      <c r="J55" s="12">
        <v>0.80231410000000003</v>
      </c>
      <c r="K55" s="12">
        <v>0.32523299999999999</v>
      </c>
      <c r="L55" s="12">
        <v>0.49077880000000002</v>
      </c>
      <c r="M55" s="12">
        <v>-23.142081399999999</v>
      </c>
      <c r="N55" s="12">
        <v>15.8446768</v>
      </c>
      <c r="O55" s="12">
        <v>0.3302583</v>
      </c>
      <c r="P55" s="7">
        <v>3104.2</v>
      </c>
      <c r="Q55" s="7">
        <v>326.60000000000002</v>
      </c>
      <c r="R55" s="7">
        <v>9.5</v>
      </c>
      <c r="S55" s="12">
        <v>6.8257491999999997</v>
      </c>
      <c r="T55" s="12">
        <v>0.17</v>
      </c>
      <c r="U55" s="12">
        <v>96.946666699999994</v>
      </c>
      <c r="V55" s="12">
        <v>1.9558</v>
      </c>
      <c r="W55" s="12">
        <v>4.4079193999999999</v>
      </c>
      <c r="X55" s="12">
        <v>22.175562200000002</v>
      </c>
      <c r="Y55" s="12">
        <v>6.9685983</v>
      </c>
      <c r="Z55" s="12">
        <v>12.0889977</v>
      </c>
      <c r="AA55" s="12">
        <v>57.055335399999997</v>
      </c>
      <c r="AB55" s="12">
        <v>13.2929815</v>
      </c>
      <c r="AC55" s="12">
        <v>19.300022599999998</v>
      </c>
      <c r="AD55" s="12">
        <v>60.6855215</v>
      </c>
      <c r="AE55" s="12">
        <v>50.3338611</v>
      </c>
      <c r="AF55" s="12">
        <v>0.76079529999999995</v>
      </c>
      <c r="AG55" s="12">
        <v>14.599479799999999</v>
      </c>
    </row>
    <row r="56" spans="1:33" s="11" customFormat="1" hidden="1" outlineLevel="1" x14ac:dyDescent="0.3">
      <c r="A56" s="11" t="s">
        <v>62</v>
      </c>
      <c r="B56" s="12">
        <v>2.3931737000000002</v>
      </c>
      <c r="C56" s="12">
        <v>93.383333300000004</v>
      </c>
      <c r="D56" s="12">
        <v>2.4539203000000001</v>
      </c>
      <c r="E56" s="17">
        <v>1</v>
      </c>
      <c r="F56" s="13">
        <v>86.466666700000005</v>
      </c>
      <c r="G56" s="12">
        <v>-9.0965319000000004</v>
      </c>
      <c r="H56" s="12">
        <v>-1.2303135000000001</v>
      </c>
      <c r="I56" s="12">
        <v>-6.2609439</v>
      </c>
      <c r="J56" s="12">
        <v>4.9842956999999997</v>
      </c>
      <c r="K56" s="12">
        <v>4.6416659999999998</v>
      </c>
      <c r="L56" s="12">
        <v>4.2317172999999997</v>
      </c>
      <c r="M56" s="12">
        <v>-5.2482914000000003</v>
      </c>
      <c r="N56" s="12">
        <v>13.5009684</v>
      </c>
      <c r="O56" s="12">
        <v>5.4496745999999998</v>
      </c>
      <c r="P56" s="7">
        <v>3023.7</v>
      </c>
      <c r="Q56" s="7">
        <v>382.4</v>
      </c>
      <c r="R56" s="7">
        <v>11.2</v>
      </c>
      <c r="S56" s="12">
        <v>8.4582440999999999</v>
      </c>
      <c r="T56" s="12">
        <v>0.18</v>
      </c>
      <c r="U56" s="12">
        <v>97.916666699999993</v>
      </c>
      <c r="V56" s="12">
        <v>1.9558</v>
      </c>
      <c r="W56" s="12">
        <v>5.1804214999999996</v>
      </c>
      <c r="X56" s="12">
        <v>18.926843600000002</v>
      </c>
      <c r="Y56" s="12">
        <v>16.804352600000001</v>
      </c>
      <c r="Z56" s="12">
        <v>-10.5946017</v>
      </c>
      <c r="AA56" s="12">
        <v>63.637292500000001</v>
      </c>
      <c r="AB56" s="12">
        <v>17.558510600000002</v>
      </c>
      <c r="AC56" s="12">
        <v>27.810573900000001</v>
      </c>
      <c r="AD56" s="12">
        <v>44.193996400000003</v>
      </c>
      <c r="AE56" s="12">
        <v>53.200373399999997</v>
      </c>
      <c r="AF56" s="12">
        <v>-0.80932539999999997</v>
      </c>
      <c r="AG56" s="12">
        <v>15.2963909</v>
      </c>
    </row>
    <row r="57" spans="1:33" s="11" customFormat="1" hidden="1" outlineLevel="1" x14ac:dyDescent="0.3">
      <c r="A57" s="11" t="s">
        <v>63</v>
      </c>
      <c r="B57" s="12">
        <v>3.2110127999999998</v>
      </c>
      <c r="C57" s="12">
        <v>94.073333300000002</v>
      </c>
      <c r="D57" s="12">
        <v>2.9061075000000001</v>
      </c>
      <c r="E57" s="17">
        <v>1</v>
      </c>
      <c r="F57" s="13">
        <v>104.96</v>
      </c>
      <c r="G57" s="12">
        <v>-4.1622845000000002</v>
      </c>
      <c r="H57" s="12">
        <v>10.0957086</v>
      </c>
      <c r="I57" s="12">
        <v>-1.7805318999999999</v>
      </c>
      <c r="J57" s="12">
        <v>1.9746079999999999</v>
      </c>
      <c r="K57" s="12">
        <v>-1.4793096999999999</v>
      </c>
      <c r="L57" s="12">
        <v>5.6237519999999996</v>
      </c>
      <c r="M57" s="12">
        <v>-7.9625292999999999</v>
      </c>
      <c r="N57" s="12">
        <v>28.715332799999999</v>
      </c>
      <c r="O57" s="12">
        <v>16.201038100000002</v>
      </c>
      <c r="P57" s="7">
        <v>2890.7</v>
      </c>
      <c r="Q57" s="7">
        <v>395.5</v>
      </c>
      <c r="R57" s="7">
        <v>12</v>
      </c>
      <c r="S57" s="12">
        <v>7.6098606999999996</v>
      </c>
      <c r="T57" s="12">
        <v>0.18</v>
      </c>
      <c r="U57" s="12">
        <v>99.533333299999995</v>
      </c>
      <c r="V57" s="12">
        <v>1.9558</v>
      </c>
      <c r="W57" s="12">
        <v>12.0242915</v>
      </c>
      <c r="X57" s="12">
        <v>54.548375800000002</v>
      </c>
      <c r="Y57" s="12">
        <v>31.907235199999999</v>
      </c>
      <c r="Z57" s="12">
        <v>-0.70076090000000002</v>
      </c>
      <c r="AA57" s="12">
        <v>64.786318800000004</v>
      </c>
      <c r="AB57" s="12">
        <v>16.838892399999999</v>
      </c>
      <c r="AC57" s="12">
        <v>20.3566833</v>
      </c>
      <c r="AD57" s="12">
        <v>59.695705599999997</v>
      </c>
      <c r="AE57" s="12">
        <v>61.677600300000002</v>
      </c>
      <c r="AF57" s="12">
        <v>-0.71431699999999998</v>
      </c>
      <c r="AG57" s="12">
        <v>13.803538400000001</v>
      </c>
    </row>
    <row r="58" spans="1:33" s="11" customFormat="1" hidden="1" outlineLevel="1" x14ac:dyDescent="0.3">
      <c r="A58" s="11" t="s">
        <v>64</v>
      </c>
      <c r="B58" s="12">
        <v>2.1036085</v>
      </c>
      <c r="C58" s="12">
        <v>95.516666700000002</v>
      </c>
      <c r="D58" s="12">
        <v>3.1831767000000002</v>
      </c>
      <c r="E58" s="17">
        <v>1.25</v>
      </c>
      <c r="F58" s="13">
        <v>117.36</v>
      </c>
      <c r="G58" s="12">
        <v>4.3553354000000004</v>
      </c>
      <c r="H58" s="12">
        <v>8.7165166999999997</v>
      </c>
      <c r="I58" s="12">
        <v>0.478128</v>
      </c>
      <c r="J58" s="12">
        <v>3.8666602000000001</v>
      </c>
      <c r="K58" s="12">
        <v>1.8990842999999999</v>
      </c>
      <c r="L58" s="12">
        <v>3.7990561999999999</v>
      </c>
      <c r="M58" s="12">
        <v>-4.6676408</v>
      </c>
      <c r="N58" s="12">
        <v>15.2190294</v>
      </c>
      <c r="O58" s="12">
        <v>7.1405861000000002</v>
      </c>
      <c r="P58" s="7">
        <v>2934.1</v>
      </c>
      <c r="Q58" s="7">
        <v>369.8</v>
      </c>
      <c r="R58" s="7">
        <v>11.2</v>
      </c>
      <c r="S58" s="12">
        <v>8.5580912999999992</v>
      </c>
      <c r="T58" s="12">
        <v>0.22</v>
      </c>
      <c r="U58" s="12">
        <v>99.853333300000003</v>
      </c>
      <c r="V58" s="12">
        <v>1.9558</v>
      </c>
      <c r="W58" s="12">
        <v>7.0813039</v>
      </c>
      <c r="X58" s="12">
        <v>27.7413594</v>
      </c>
      <c r="Y58" s="12">
        <v>16.3505267</v>
      </c>
      <c r="Z58" s="12">
        <v>0.48726330000000001</v>
      </c>
      <c r="AA58" s="12">
        <v>63.497655999999999</v>
      </c>
      <c r="AB58" s="12">
        <v>15.591984399999999</v>
      </c>
      <c r="AC58" s="12">
        <v>22.081846899999999</v>
      </c>
      <c r="AD58" s="12">
        <v>56.381264100000003</v>
      </c>
      <c r="AE58" s="12">
        <v>57.552751299999997</v>
      </c>
      <c r="AF58" s="12">
        <v>-0.56527050000000001</v>
      </c>
      <c r="AG58" s="12">
        <v>13.9069574</v>
      </c>
    </row>
    <row r="59" spans="1:33" s="11" customFormat="1" hidden="1" outlineLevel="1" x14ac:dyDescent="0.3">
      <c r="A59" s="11" t="s">
        <v>65</v>
      </c>
      <c r="B59" s="12">
        <v>1.8176159000000001</v>
      </c>
      <c r="C59" s="12">
        <v>95.433333300000001</v>
      </c>
      <c r="D59" s="12">
        <v>3.0783078000000001</v>
      </c>
      <c r="E59" s="17">
        <v>1.5</v>
      </c>
      <c r="F59" s="13">
        <v>113.34</v>
      </c>
      <c r="G59" s="12">
        <v>0.2029388</v>
      </c>
      <c r="H59" s="12">
        <v>3.4957395999999998</v>
      </c>
      <c r="I59" s="12">
        <v>0.29150579999999998</v>
      </c>
      <c r="J59" s="12">
        <v>2.7230047000000002</v>
      </c>
      <c r="K59" s="12">
        <v>4.8967622000000004</v>
      </c>
      <c r="L59" s="12">
        <v>-1.1618031</v>
      </c>
      <c r="M59" s="12">
        <v>12.714299199999999</v>
      </c>
      <c r="N59" s="12">
        <v>3.3180836999999999</v>
      </c>
      <c r="O59" s="12">
        <v>10.751393</v>
      </c>
      <c r="P59" s="7">
        <v>3018.3</v>
      </c>
      <c r="Q59" s="7">
        <v>343</v>
      </c>
      <c r="R59" s="7">
        <v>10.199999999999999</v>
      </c>
      <c r="S59" s="12">
        <v>7.7922077999999999</v>
      </c>
      <c r="T59" s="12">
        <v>0.18</v>
      </c>
      <c r="U59" s="12">
        <v>99.963333300000002</v>
      </c>
      <c r="V59" s="12">
        <v>1.9558</v>
      </c>
      <c r="W59" s="12">
        <v>3.8640428999999998</v>
      </c>
      <c r="X59" s="12">
        <v>17.5169879</v>
      </c>
      <c r="Y59" s="12">
        <v>21.217517900000001</v>
      </c>
      <c r="Z59" s="12">
        <v>8.2096546999999997</v>
      </c>
      <c r="AA59" s="12">
        <v>55.9650733</v>
      </c>
      <c r="AB59" s="12">
        <v>13.3260457</v>
      </c>
      <c r="AC59" s="12">
        <v>21.0851395</v>
      </c>
      <c r="AD59" s="12">
        <v>65.295509600000003</v>
      </c>
      <c r="AE59" s="12">
        <v>55.6722179</v>
      </c>
      <c r="AF59" s="12">
        <v>-0.21838289999999999</v>
      </c>
      <c r="AG59" s="12">
        <v>14.0202376</v>
      </c>
    </row>
    <row r="60" spans="1:33" s="11" customFormat="1" hidden="1" outlineLevel="1" x14ac:dyDescent="0.3">
      <c r="A60" s="11" t="s">
        <v>66</v>
      </c>
      <c r="B60" s="12">
        <v>0.47384009999999999</v>
      </c>
      <c r="C60" s="12">
        <v>96.41</v>
      </c>
      <c r="D60" s="12">
        <v>3.2411208999999999</v>
      </c>
      <c r="E60" s="17">
        <v>1</v>
      </c>
      <c r="F60" s="13">
        <v>109.3966667</v>
      </c>
      <c r="G60" s="12">
        <v>3.3290034999999998</v>
      </c>
      <c r="H60" s="12">
        <v>5.1414149</v>
      </c>
      <c r="I60" s="12">
        <v>-5.9901578000000004</v>
      </c>
      <c r="J60" s="12">
        <v>-2.2781900000000001E-2</v>
      </c>
      <c r="K60" s="12">
        <v>2.6109116999999999</v>
      </c>
      <c r="L60" s="12">
        <v>1.5465232</v>
      </c>
      <c r="M60" s="12">
        <v>-11.0368695</v>
      </c>
      <c r="N60" s="12">
        <v>9.9767571999999998</v>
      </c>
      <c r="O60" s="12">
        <v>5.6710259000000001</v>
      </c>
      <c r="P60" s="7">
        <v>2955.2</v>
      </c>
      <c r="Q60" s="7">
        <v>380.9</v>
      </c>
      <c r="R60" s="7">
        <v>11.4</v>
      </c>
      <c r="S60" s="12">
        <v>7.8973347</v>
      </c>
      <c r="T60" s="12">
        <v>0.22</v>
      </c>
      <c r="U60" s="12">
        <v>100.4</v>
      </c>
      <c r="V60" s="12">
        <v>1.9558</v>
      </c>
      <c r="W60" s="12">
        <v>1.3247283000000001</v>
      </c>
      <c r="X60" s="12">
        <v>19.432117000000002</v>
      </c>
      <c r="Y60" s="12">
        <v>12.001232999999999</v>
      </c>
      <c r="Z60" s="12">
        <v>-7.2406306999999996</v>
      </c>
      <c r="AA60" s="12">
        <v>67.032449099999994</v>
      </c>
      <c r="AB60" s="12">
        <v>17.934177999999999</v>
      </c>
      <c r="AC60" s="12">
        <v>21.768293799999999</v>
      </c>
      <c r="AD60" s="12">
        <v>53.536681899999998</v>
      </c>
      <c r="AE60" s="12">
        <v>60.272074199999999</v>
      </c>
      <c r="AF60" s="12">
        <v>-0.44465090000000002</v>
      </c>
      <c r="AG60" s="12">
        <v>15.1519298</v>
      </c>
    </row>
    <row r="61" spans="1:33" s="11" customFormat="1" hidden="1" outlineLevel="1" x14ac:dyDescent="0.3">
      <c r="A61" s="11" t="s">
        <v>67</v>
      </c>
      <c r="B61" s="12">
        <v>3.7986600000000002E-2</v>
      </c>
      <c r="C61" s="12">
        <v>96.803333300000006</v>
      </c>
      <c r="D61" s="12">
        <v>2.9019914</v>
      </c>
      <c r="E61" s="17">
        <v>1</v>
      </c>
      <c r="F61" s="13">
        <v>118.49</v>
      </c>
      <c r="G61" s="12">
        <v>6.8088856</v>
      </c>
      <c r="H61" s="12">
        <v>8.8562113999999994</v>
      </c>
      <c r="I61" s="12">
        <v>-1.2501836</v>
      </c>
      <c r="J61" s="12">
        <v>2.1797757999999998</v>
      </c>
      <c r="K61" s="12">
        <v>4.4986473</v>
      </c>
      <c r="L61" s="12">
        <v>-2.2778689999999999</v>
      </c>
      <c r="M61" s="12">
        <v>16.2132185</v>
      </c>
      <c r="N61" s="12">
        <v>-1.919478</v>
      </c>
      <c r="O61" s="12">
        <v>3.2281979000000001</v>
      </c>
      <c r="P61" s="7">
        <v>2853.2</v>
      </c>
      <c r="Q61" s="7">
        <v>421.4</v>
      </c>
      <c r="R61" s="7">
        <v>12.9</v>
      </c>
      <c r="S61" s="12">
        <v>6.2250996000000001</v>
      </c>
      <c r="T61" s="12">
        <v>0.15</v>
      </c>
      <c r="U61" s="12">
        <v>101.4066667</v>
      </c>
      <c r="V61" s="12">
        <v>1.9558</v>
      </c>
      <c r="W61" s="12">
        <v>-2.2045536000000001</v>
      </c>
      <c r="X61" s="12">
        <v>-0.93374919999999995</v>
      </c>
      <c r="Y61" s="12">
        <v>11.8052122</v>
      </c>
      <c r="Z61" s="12">
        <v>-4.7764654000000002</v>
      </c>
      <c r="AA61" s="12">
        <v>72.047704400000001</v>
      </c>
      <c r="AB61" s="12">
        <v>17.084863299999999</v>
      </c>
      <c r="AC61" s="12">
        <v>20.689715899999999</v>
      </c>
      <c r="AD61" s="12">
        <v>60.261434100000002</v>
      </c>
      <c r="AE61" s="12">
        <v>70.083717699999994</v>
      </c>
      <c r="AF61" s="12">
        <v>-0.99559529999999996</v>
      </c>
      <c r="AG61" s="12">
        <v>15.1716786</v>
      </c>
    </row>
    <row r="62" spans="1:33" s="11" customFormat="1" hidden="1" outlineLevel="1" x14ac:dyDescent="0.3">
      <c r="A62" s="11" t="s">
        <v>68</v>
      </c>
      <c r="B62" s="12">
        <v>-0.91019320000000004</v>
      </c>
      <c r="C62" s="12">
        <v>97.993333300000003</v>
      </c>
      <c r="D62" s="12">
        <v>2.5929156999999998</v>
      </c>
      <c r="E62" s="17">
        <v>1</v>
      </c>
      <c r="F62" s="13">
        <v>108.41666669999999</v>
      </c>
      <c r="G62" s="12">
        <v>2.6215533</v>
      </c>
      <c r="H62" s="12">
        <v>18.191605500000001</v>
      </c>
      <c r="I62" s="12">
        <v>5.4136407000000002</v>
      </c>
      <c r="J62" s="12">
        <v>-0.26364579999999999</v>
      </c>
      <c r="K62" s="12">
        <v>3.266737</v>
      </c>
      <c r="L62" s="12">
        <v>-2.3508084999999999</v>
      </c>
      <c r="M62" s="12">
        <v>4.7681034999999996</v>
      </c>
      <c r="N62" s="12">
        <v>7.1134402999999997</v>
      </c>
      <c r="O62" s="12">
        <v>12.309948199999999</v>
      </c>
      <c r="P62" s="7">
        <v>2913.7</v>
      </c>
      <c r="Q62" s="7">
        <v>409.5</v>
      </c>
      <c r="R62" s="7">
        <v>12.3</v>
      </c>
      <c r="S62" s="12">
        <v>5.4467271999999998</v>
      </c>
      <c r="T62" s="12">
        <v>0.14000000000000001</v>
      </c>
      <c r="U62" s="12">
        <v>101.6866667</v>
      </c>
      <c r="V62" s="12">
        <v>1.9558</v>
      </c>
      <c r="W62" s="12">
        <v>-0.3149055</v>
      </c>
      <c r="X62" s="12">
        <v>9.3137840000000001</v>
      </c>
      <c r="Y62" s="12">
        <v>18.7949956</v>
      </c>
      <c r="Z62" s="12">
        <v>-2.8569127000000001</v>
      </c>
      <c r="AA62" s="12">
        <v>66.7286462</v>
      </c>
      <c r="AB62" s="12">
        <v>15.443137800000001</v>
      </c>
      <c r="AC62" s="12">
        <v>24.43975</v>
      </c>
      <c r="AD62" s="12">
        <v>61.0472927</v>
      </c>
      <c r="AE62" s="12">
        <v>67.659313499999996</v>
      </c>
      <c r="AF62" s="12">
        <v>-1.0947686999999999</v>
      </c>
      <c r="AG62" s="12">
        <v>14.9600449</v>
      </c>
    </row>
    <row r="63" spans="1:33" s="11" customFormat="1" hidden="1" outlineLevel="1" x14ac:dyDescent="0.3">
      <c r="A63" s="11" t="s">
        <v>69</v>
      </c>
      <c r="B63" s="12">
        <v>-1.0352741000000001</v>
      </c>
      <c r="C63" s="12">
        <v>97.9566667</v>
      </c>
      <c r="D63" s="12">
        <v>2.6440796999999998</v>
      </c>
      <c r="E63" s="17">
        <v>0.75</v>
      </c>
      <c r="F63" s="13">
        <v>109.61333329999999</v>
      </c>
      <c r="G63" s="12">
        <v>2.4699254000000002</v>
      </c>
      <c r="H63" s="12">
        <v>1.7144667</v>
      </c>
      <c r="I63" s="12">
        <v>7.2280899999999995E-2</v>
      </c>
      <c r="J63" s="12">
        <v>0.67616050000000005</v>
      </c>
      <c r="K63" s="12">
        <v>3.1357911000000001</v>
      </c>
      <c r="L63" s="12">
        <v>-1.6051314999999999</v>
      </c>
      <c r="M63" s="12">
        <v>-0.48889539999999998</v>
      </c>
      <c r="N63" s="12">
        <v>1.9294806</v>
      </c>
      <c r="O63" s="12">
        <v>5.0584885000000002</v>
      </c>
      <c r="P63" s="7">
        <v>3017.1</v>
      </c>
      <c r="Q63" s="7">
        <v>393.2</v>
      </c>
      <c r="R63" s="7">
        <v>11.5</v>
      </c>
      <c r="S63" s="12">
        <v>5.7831324999999998</v>
      </c>
      <c r="T63" s="12">
        <v>0.04</v>
      </c>
      <c r="U63" s="12">
        <v>102.9566667</v>
      </c>
      <c r="V63" s="12">
        <v>1.9558</v>
      </c>
      <c r="W63" s="12">
        <v>0.37891829999999999</v>
      </c>
      <c r="X63" s="12">
        <v>4.6352706000000001</v>
      </c>
      <c r="Y63" s="12">
        <v>9.2036461000000003</v>
      </c>
      <c r="Z63" s="12">
        <v>7.9304307999999999</v>
      </c>
      <c r="AA63" s="12">
        <v>58.504981999999998</v>
      </c>
      <c r="AB63" s="12">
        <v>13.6783898</v>
      </c>
      <c r="AC63" s="12">
        <v>20.405394000000001</v>
      </c>
      <c r="AD63" s="12">
        <v>67.372920800000003</v>
      </c>
      <c r="AE63" s="12">
        <v>59.962130100000003</v>
      </c>
      <c r="AF63" s="12">
        <v>-1.5176398</v>
      </c>
      <c r="AG63" s="12">
        <v>17.1841951</v>
      </c>
    </row>
    <row r="64" spans="1:33" s="11" customFormat="1" hidden="1" outlineLevel="1" x14ac:dyDescent="0.3">
      <c r="A64" s="11" t="s">
        <v>70</v>
      </c>
      <c r="B64" s="12">
        <v>-0.98067590000000004</v>
      </c>
      <c r="C64" s="12">
        <v>98.773333300000004</v>
      </c>
      <c r="D64" s="12">
        <v>2.4513362999999999</v>
      </c>
      <c r="E64" s="17">
        <v>0.75</v>
      </c>
      <c r="F64" s="13">
        <v>110.08666669999999</v>
      </c>
      <c r="G64" s="12">
        <v>2.8039173000000002</v>
      </c>
      <c r="H64" s="12">
        <v>-1.0887062999999999</v>
      </c>
      <c r="I64" s="12">
        <v>-7.0234084000000001</v>
      </c>
      <c r="J64" s="12">
        <v>0.67974270000000003</v>
      </c>
      <c r="K64" s="12">
        <v>3.7930310999999999</v>
      </c>
      <c r="L64" s="12">
        <v>-1.2786556</v>
      </c>
      <c r="M64" s="12">
        <v>-2.9176134999999999</v>
      </c>
      <c r="N64" s="12">
        <v>0.5778491</v>
      </c>
      <c r="O64" s="12">
        <v>1.1319079999999999</v>
      </c>
      <c r="P64" s="7">
        <v>2951.8</v>
      </c>
      <c r="Q64" s="7">
        <v>417.3</v>
      </c>
      <c r="R64" s="7">
        <v>12.4</v>
      </c>
      <c r="S64" s="12">
        <v>5.0320219000000002</v>
      </c>
      <c r="T64" s="12">
        <v>0.03</v>
      </c>
      <c r="U64" s="12">
        <v>103.2566667</v>
      </c>
      <c r="V64" s="12">
        <v>1.9558</v>
      </c>
      <c r="W64" s="12">
        <v>0.67046600000000001</v>
      </c>
      <c r="X64" s="12">
        <v>4.5312231000000001</v>
      </c>
      <c r="Y64" s="12">
        <v>3.4555517999999998</v>
      </c>
      <c r="Z64" s="12">
        <v>-4.8308723000000002</v>
      </c>
      <c r="AA64" s="12">
        <v>66.803396899999996</v>
      </c>
      <c r="AB64" s="12">
        <v>17.245328799999999</v>
      </c>
      <c r="AC64" s="12">
        <v>21.946985900000001</v>
      </c>
      <c r="AD64" s="12">
        <v>52.736603299999999</v>
      </c>
      <c r="AE64" s="12">
        <v>58.732315</v>
      </c>
      <c r="AF64" s="12">
        <v>-0.97397440000000002</v>
      </c>
      <c r="AG64" s="12">
        <v>16.5794237</v>
      </c>
    </row>
    <row r="65" spans="1:33" s="11" customFormat="1" hidden="1" outlineLevel="1" x14ac:dyDescent="0.3">
      <c r="A65" s="11" t="s">
        <v>71</v>
      </c>
      <c r="B65" s="12">
        <v>-1.6415721999999999</v>
      </c>
      <c r="C65" s="12">
        <v>98.726666699999996</v>
      </c>
      <c r="D65" s="12">
        <v>1.9868463000000001</v>
      </c>
      <c r="E65" s="17">
        <v>0.75</v>
      </c>
      <c r="F65" s="13">
        <v>112.4933333</v>
      </c>
      <c r="G65" s="12">
        <v>3.2131015000000001</v>
      </c>
      <c r="H65" s="12">
        <v>17.863755699999999</v>
      </c>
      <c r="I65" s="12">
        <v>3.9740932999999998</v>
      </c>
      <c r="J65" s="12">
        <v>-1.7888196999999999</v>
      </c>
      <c r="K65" s="12">
        <v>-3.4797452999999998</v>
      </c>
      <c r="L65" s="12">
        <v>1.6681466</v>
      </c>
      <c r="M65" s="12">
        <v>-16.940826399999999</v>
      </c>
      <c r="N65" s="12">
        <v>10.652517700000001</v>
      </c>
      <c r="O65" s="12">
        <v>3.5926946000000002</v>
      </c>
      <c r="P65" s="7">
        <v>2855</v>
      </c>
      <c r="Q65" s="7">
        <v>456.4</v>
      </c>
      <c r="R65" s="7">
        <v>13.8</v>
      </c>
      <c r="S65" s="12">
        <v>5.8134082999999999</v>
      </c>
      <c r="T65" s="12">
        <v>0.01</v>
      </c>
      <c r="U65" s="12">
        <v>103.59</v>
      </c>
      <c r="V65" s="12">
        <v>1.9558</v>
      </c>
      <c r="W65" s="12">
        <v>1.1086475</v>
      </c>
      <c r="X65" s="12">
        <v>11.968861499999999</v>
      </c>
      <c r="Y65" s="12">
        <v>2.3800553999999998</v>
      </c>
      <c r="Z65" s="12">
        <v>-4.6457287000000003</v>
      </c>
      <c r="AA65" s="12">
        <v>68.436384599999997</v>
      </c>
      <c r="AB65" s="12">
        <v>18.3408175</v>
      </c>
      <c r="AC65" s="12">
        <v>17.407023599999999</v>
      </c>
      <c r="AD65" s="12">
        <v>66.184225699999999</v>
      </c>
      <c r="AE65" s="12">
        <v>70.368451399999998</v>
      </c>
      <c r="AF65" s="12">
        <v>-1.2980866</v>
      </c>
      <c r="AG65" s="12">
        <v>16.371967600000001</v>
      </c>
    </row>
    <row r="66" spans="1:33" s="11" customFormat="1" hidden="1" outlineLevel="1" x14ac:dyDescent="0.3">
      <c r="A66" s="11" t="s">
        <v>72</v>
      </c>
      <c r="B66" s="12">
        <v>-0.1331087</v>
      </c>
      <c r="C66" s="12">
        <v>99.533333299999995</v>
      </c>
      <c r="D66" s="12">
        <v>1.5715355</v>
      </c>
      <c r="E66" s="17">
        <v>0.5</v>
      </c>
      <c r="F66" s="13">
        <v>102.5766667</v>
      </c>
      <c r="G66" s="12">
        <v>18.816279999999999</v>
      </c>
      <c r="H66" s="12">
        <v>-2.1939698000000001</v>
      </c>
      <c r="I66" s="12">
        <v>-1.4608471999999999</v>
      </c>
      <c r="J66" s="12">
        <v>-1.9839713000000001</v>
      </c>
      <c r="K66" s="12">
        <v>-5.4098252999999996</v>
      </c>
      <c r="L66" s="12">
        <v>2.1363113999999999</v>
      </c>
      <c r="M66" s="12">
        <v>-8.7535070000000008</v>
      </c>
      <c r="N66" s="12">
        <v>5.1806502999999999</v>
      </c>
      <c r="O66" s="12">
        <v>-0.29142509999999999</v>
      </c>
      <c r="P66" s="7">
        <v>2940.2</v>
      </c>
      <c r="Q66" s="7">
        <v>437.3</v>
      </c>
      <c r="R66" s="7">
        <v>13</v>
      </c>
      <c r="S66" s="12">
        <v>5.0747621000000001</v>
      </c>
      <c r="T66" s="12">
        <v>0.01</v>
      </c>
      <c r="U66" s="12">
        <v>102.77</v>
      </c>
      <c r="V66" s="12">
        <v>1.9558</v>
      </c>
      <c r="W66" s="12">
        <v>-4.8087048000000001</v>
      </c>
      <c r="X66" s="12">
        <v>1.9682459999999999</v>
      </c>
      <c r="Y66" s="12">
        <v>-3.3816560999999998</v>
      </c>
      <c r="Z66" s="12">
        <v>4.8057407000000003</v>
      </c>
      <c r="AA66" s="12">
        <v>63.593454899999998</v>
      </c>
      <c r="AB66" s="12">
        <v>17.496274400000001</v>
      </c>
      <c r="AC66" s="12">
        <v>22.072698500000001</v>
      </c>
      <c r="AD66" s="12">
        <v>63.846150000000002</v>
      </c>
      <c r="AE66" s="12">
        <v>67.008577700000004</v>
      </c>
      <c r="AF66" s="12">
        <v>-0.91192680000000004</v>
      </c>
      <c r="AG66" s="12">
        <v>16.372210800000001</v>
      </c>
    </row>
    <row r="67" spans="1:33" s="11" customFormat="1" hidden="1" outlineLevel="1" x14ac:dyDescent="0.3">
      <c r="A67" s="11" t="s">
        <v>73</v>
      </c>
      <c r="B67" s="12">
        <v>0.53477319999999995</v>
      </c>
      <c r="C67" s="12">
        <v>99.423333299999996</v>
      </c>
      <c r="D67" s="12">
        <v>1.4972605999999999</v>
      </c>
      <c r="E67" s="17">
        <v>0.5</v>
      </c>
      <c r="F67" s="13">
        <v>110.27</v>
      </c>
      <c r="G67" s="12">
        <v>12.4457588</v>
      </c>
      <c r="H67" s="12">
        <v>12.566896399999999</v>
      </c>
      <c r="I67" s="12">
        <v>0.120379</v>
      </c>
      <c r="J67" s="12">
        <v>-8.6551100000000006E-2</v>
      </c>
      <c r="K67" s="12">
        <v>-3.7496428000000002</v>
      </c>
      <c r="L67" s="12">
        <v>1.5346226000000001</v>
      </c>
      <c r="M67" s="12">
        <v>-2.1457514999999998</v>
      </c>
      <c r="N67" s="12">
        <v>12.3741702</v>
      </c>
      <c r="O67" s="12">
        <v>9.7673535999999999</v>
      </c>
      <c r="P67" s="7">
        <v>3012.9</v>
      </c>
      <c r="Q67" s="7">
        <v>411.6</v>
      </c>
      <c r="R67" s="7">
        <v>12</v>
      </c>
      <c r="S67" s="12">
        <v>5.2391798999999999</v>
      </c>
      <c r="T67" s="12">
        <v>0.02</v>
      </c>
      <c r="U67" s="12">
        <v>102.27</v>
      </c>
      <c r="V67" s="12">
        <v>1.9558</v>
      </c>
      <c r="W67" s="12">
        <v>0.343171</v>
      </c>
      <c r="X67" s="12">
        <v>6.3003182000000004</v>
      </c>
      <c r="Y67" s="12">
        <v>4.8707452</v>
      </c>
      <c r="Z67" s="12">
        <v>8.5405996999999996</v>
      </c>
      <c r="AA67" s="12">
        <v>55.155856700000001</v>
      </c>
      <c r="AB67" s="12">
        <v>15.248162499999999</v>
      </c>
      <c r="AC67" s="12">
        <v>20.590266100000001</v>
      </c>
      <c r="AD67" s="12">
        <v>73.441205100000005</v>
      </c>
      <c r="AE67" s="12">
        <v>64.435036199999999</v>
      </c>
      <c r="AF67" s="12">
        <v>-0.60213620000000001</v>
      </c>
      <c r="AG67" s="12">
        <v>15.753391300000001</v>
      </c>
    </row>
    <row r="68" spans="1:33" s="11" customFormat="1" hidden="1" outlineLevel="1" x14ac:dyDescent="0.3">
      <c r="A68" s="11" t="s">
        <v>74</v>
      </c>
      <c r="B68" s="12">
        <v>0.83200640000000003</v>
      </c>
      <c r="C68" s="12">
        <v>99.72</v>
      </c>
      <c r="D68" s="12">
        <v>0.95842340000000004</v>
      </c>
      <c r="E68" s="17">
        <v>0.25</v>
      </c>
      <c r="F68" s="13">
        <v>109.21</v>
      </c>
      <c r="G68" s="12">
        <v>5.4071365</v>
      </c>
      <c r="H68" s="12">
        <v>14.6273217</v>
      </c>
      <c r="I68" s="12">
        <v>-4.4803999000000001</v>
      </c>
      <c r="J68" s="12">
        <v>1.2678877</v>
      </c>
      <c r="K68" s="12">
        <v>-2.9593938999999998</v>
      </c>
      <c r="L68" s="12">
        <v>-1.9081321</v>
      </c>
      <c r="M68" s="12">
        <v>3.2790461999999998</v>
      </c>
      <c r="N68" s="12">
        <v>10.0533745</v>
      </c>
      <c r="O68" s="12">
        <v>4.2543856</v>
      </c>
      <c r="P68" s="7">
        <v>2931.6</v>
      </c>
      <c r="Q68" s="7">
        <v>439.8</v>
      </c>
      <c r="R68" s="7">
        <v>13.1</v>
      </c>
      <c r="S68" s="12">
        <v>5.0522647999999997</v>
      </c>
      <c r="T68" s="12">
        <v>0.02</v>
      </c>
      <c r="U68" s="12">
        <v>102.25333329999999</v>
      </c>
      <c r="V68" s="12">
        <v>1.9558</v>
      </c>
      <c r="W68" s="12">
        <v>2.6307025999999998</v>
      </c>
      <c r="X68" s="12">
        <v>6.1138174000000003</v>
      </c>
      <c r="Y68" s="12">
        <v>3.6741450000000002</v>
      </c>
      <c r="Z68" s="12">
        <v>-4.3402191999999999</v>
      </c>
      <c r="AA68" s="12">
        <v>63.9980707</v>
      </c>
      <c r="AB68" s="12">
        <v>17.531351399999998</v>
      </c>
      <c r="AC68" s="12">
        <v>23.210120100000001</v>
      </c>
      <c r="AD68" s="12">
        <v>55.395948400000002</v>
      </c>
      <c r="AE68" s="12">
        <v>60.135490699999998</v>
      </c>
      <c r="AF68" s="12">
        <v>-0.16290869999999999</v>
      </c>
      <c r="AG68" s="12">
        <v>16.995406899999999</v>
      </c>
    </row>
    <row r="69" spans="1:33" s="11" customFormat="1" hidden="1" outlineLevel="1" x14ac:dyDescent="0.3">
      <c r="A69" s="11" t="s">
        <v>75</v>
      </c>
      <c r="B69" s="12">
        <v>1.8456245</v>
      </c>
      <c r="C69" s="12">
        <v>99.49</v>
      </c>
      <c r="D69" s="12">
        <v>0.77317840000000004</v>
      </c>
      <c r="E69" s="17">
        <v>0.25</v>
      </c>
      <c r="F69" s="13">
        <v>108.16666669999999</v>
      </c>
      <c r="G69" s="12">
        <v>10.3995415</v>
      </c>
      <c r="H69" s="12">
        <v>4.1131631999999998</v>
      </c>
      <c r="I69" s="12">
        <v>1.7836886000000001</v>
      </c>
      <c r="J69" s="12">
        <v>-3.92862E-2</v>
      </c>
      <c r="K69" s="12">
        <v>3.4191115000000001</v>
      </c>
      <c r="L69" s="12">
        <v>6.9561419999999998</v>
      </c>
      <c r="M69" s="12">
        <v>9.7502449999999996</v>
      </c>
      <c r="N69" s="12">
        <v>0.1595279</v>
      </c>
      <c r="O69" s="12">
        <v>7.9401156999999998</v>
      </c>
      <c r="P69" s="7">
        <v>2894.1</v>
      </c>
      <c r="Q69" s="7">
        <v>433</v>
      </c>
      <c r="R69" s="7">
        <v>13</v>
      </c>
      <c r="S69" s="12">
        <v>5.9813912</v>
      </c>
      <c r="T69" s="12">
        <v>0.04</v>
      </c>
      <c r="U69" s="12">
        <v>101.7133333</v>
      </c>
      <c r="V69" s="12">
        <v>1.9558</v>
      </c>
      <c r="W69" s="12">
        <v>3.3260234</v>
      </c>
      <c r="X69" s="12">
        <v>-3.6074568999999999</v>
      </c>
      <c r="Y69" s="12">
        <v>1.7631436</v>
      </c>
      <c r="Z69" s="12">
        <v>-2.958151</v>
      </c>
      <c r="AA69" s="12">
        <v>70.901474699999994</v>
      </c>
      <c r="AB69" s="12">
        <v>19.8397693</v>
      </c>
      <c r="AC69" s="12">
        <v>17.8918325</v>
      </c>
      <c r="AD69" s="12">
        <v>65.320579499999994</v>
      </c>
      <c r="AE69" s="12">
        <v>73.953655999999995</v>
      </c>
      <c r="AF69" s="12">
        <v>0.32905600000000002</v>
      </c>
      <c r="AG69" s="12">
        <v>17.852062499999999</v>
      </c>
    </row>
    <row r="70" spans="1:33" s="11" customFormat="1" hidden="1" outlineLevel="1" x14ac:dyDescent="0.3">
      <c r="A70" s="11" t="s">
        <v>76</v>
      </c>
      <c r="B70" s="12">
        <v>1.1953549000000001</v>
      </c>
      <c r="C70" s="12">
        <v>100.22333329999999</v>
      </c>
      <c r="D70" s="12">
        <v>0.69323509999999999</v>
      </c>
      <c r="E70" s="17">
        <v>0.15</v>
      </c>
      <c r="F70" s="13">
        <v>109.7</v>
      </c>
      <c r="G70" s="12">
        <v>4.1079752000000003</v>
      </c>
      <c r="H70" s="12">
        <v>6.6909701000000004</v>
      </c>
      <c r="I70" s="12">
        <v>-0.54799929999999997</v>
      </c>
      <c r="J70" s="12">
        <v>1.1926543999999999</v>
      </c>
      <c r="K70" s="12">
        <v>1.051226</v>
      </c>
      <c r="L70" s="12">
        <v>6.2921931999999998</v>
      </c>
      <c r="M70" s="12">
        <v>-2.2072389000000001</v>
      </c>
      <c r="N70" s="12">
        <v>4.7983997</v>
      </c>
      <c r="O70" s="12">
        <v>4.8042524000000002</v>
      </c>
      <c r="P70" s="7">
        <v>2979.8</v>
      </c>
      <c r="Q70" s="7">
        <v>381.8</v>
      </c>
      <c r="R70" s="7">
        <v>11.4</v>
      </c>
      <c r="S70" s="12">
        <v>6.0802069999999997</v>
      </c>
      <c r="T70" s="12">
        <v>0.05</v>
      </c>
      <c r="U70" s="12">
        <v>101.0966667</v>
      </c>
      <c r="V70" s="12">
        <v>1.9558</v>
      </c>
      <c r="W70" s="12">
        <v>4.4247788000000003</v>
      </c>
      <c r="X70" s="12">
        <v>3.8543897</v>
      </c>
      <c r="Y70" s="12">
        <v>-8.4407800000000005E-2</v>
      </c>
      <c r="Z70" s="12">
        <v>0.86031829999999998</v>
      </c>
      <c r="AA70" s="12">
        <v>62.159413499999999</v>
      </c>
      <c r="AB70" s="12">
        <v>17.696428099999999</v>
      </c>
      <c r="AC70" s="12">
        <v>21.409493699999999</v>
      </c>
      <c r="AD70" s="12">
        <v>65.514057899999997</v>
      </c>
      <c r="AE70" s="12">
        <v>66.779393299999995</v>
      </c>
      <c r="AF70" s="12">
        <v>0.28473340000000003</v>
      </c>
      <c r="AG70" s="12">
        <v>18.923393000000001</v>
      </c>
    </row>
    <row r="71" spans="1:33" s="11" customFormat="1" hidden="1" outlineLevel="1" x14ac:dyDescent="0.3">
      <c r="A71" s="11" t="s">
        <v>77</v>
      </c>
      <c r="B71" s="12">
        <v>1.5779679</v>
      </c>
      <c r="C71" s="12">
        <v>99.91</v>
      </c>
      <c r="D71" s="12">
        <v>0.48948940000000002</v>
      </c>
      <c r="E71" s="17">
        <v>0.05</v>
      </c>
      <c r="F71" s="13">
        <v>101.8233333</v>
      </c>
      <c r="G71" s="12">
        <v>5.5374204999999996</v>
      </c>
      <c r="H71" s="12">
        <v>7.5528104000000003</v>
      </c>
      <c r="I71" s="12">
        <v>0.77470609999999995</v>
      </c>
      <c r="J71" s="12">
        <v>0.45478669999999999</v>
      </c>
      <c r="K71" s="12">
        <v>0.1134158</v>
      </c>
      <c r="L71" s="12">
        <v>-0.65433770000000002</v>
      </c>
      <c r="M71" s="12">
        <v>5.4669898999999997</v>
      </c>
      <c r="N71" s="12">
        <v>-0.33055279999999998</v>
      </c>
      <c r="O71" s="12">
        <v>0.1605425</v>
      </c>
      <c r="P71" s="7">
        <v>3061.9</v>
      </c>
      <c r="Q71" s="7">
        <v>368.8</v>
      </c>
      <c r="R71" s="7">
        <v>10.8</v>
      </c>
      <c r="S71" s="12">
        <v>5.1948052000000002</v>
      </c>
      <c r="T71" s="12">
        <v>0.04</v>
      </c>
      <c r="U71" s="12">
        <v>101.0633333</v>
      </c>
      <c r="V71" s="12">
        <v>1.9558</v>
      </c>
      <c r="W71" s="12">
        <v>-0.47879620000000001</v>
      </c>
      <c r="X71" s="12">
        <v>3.3930346</v>
      </c>
      <c r="Y71" s="12">
        <v>2.8457528000000001</v>
      </c>
      <c r="Z71" s="12">
        <v>8.9319696999999998</v>
      </c>
      <c r="AA71" s="12">
        <v>55.966734799999998</v>
      </c>
      <c r="AB71" s="12">
        <v>14.540505100000001</v>
      </c>
      <c r="AC71" s="12">
        <v>21.051032200000002</v>
      </c>
      <c r="AD71" s="12">
        <v>71.391089600000001</v>
      </c>
      <c r="AE71" s="12">
        <v>62.949789600000003</v>
      </c>
      <c r="AF71" s="12">
        <v>0.10593089999999999</v>
      </c>
      <c r="AG71" s="12">
        <v>22.438046400000001</v>
      </c>
    </row>
    <row r="72" spans="1:33" s="11" customFormat="1" hidden="1" outlineLevel="1" x14ac:dyDescent="0.3">
      <c r="A72" s="11" t="s">
        <v>78</v>
      </c>
      <c r="B72" s="12">
        <v>1.7505474000000001</v>
      </c>
      <c r="C72" s="12">
        <v>99.97</v>
      </c>
      <c r="D72" s="12">
        <v>0.25070199999999998</v>
      </c>
      <c r="E72" s="17">
        <v>0.05</v>
      </c>
      <c r="F72" s="13">
        <v>76.4033333</v>
      </c>
      <c r="G72" s="12">
        <v>42.457822800000002</v>
      </c>
      <c r="H72" s="12">
        <v>-0.43465809999999999</v>
      </c>
      <c r="I72" s="12">
        <v>-20.7584661</v>
      </c>
      <c r="J72" s="12">
        <v>1.9570882999999999</v>
      </c>
      <c r="K72" s="12">
        <v>0.95070449999999995</v>
      </c>
      <c r="L72" s="12">
        <v>-10.181320899999999</v>
      </c>
      <c r="M72" s="12">
        <v>14.432237199999999</v>
      </c>
      <c r="N72" s="12">
        <v>8.4534388000000007</v>
      </c>
      <c r="O72" s="12">
        <v>8.3413678999999998</v>
      </c>
      <c r="P72" s="7">
        <v>2989.7</v>
      </c>
      <c r="Q72" s="7">
        <v>354.5</v>
      </c>
      <c r="R72" s="7">
        <v>10.6</v>
      </c>
      <c r="S72" s="12">
        <v>5.2238806000000002</v>
      </c>
      <c r="T72" s="12">
        <v>0.02</v>
      </c>
      <c r="U72" s="12">
        <v>100.4333333</v>
      </c>
      <c r="V72" s="12">
        <v>1.9558</v>
      </c>
      <c r="W72" s="12">
        <v>0.38935760000000003</v>
      </c>
      <c r="X72" s="12">
        <v>6.0004032</v>
      </c>
      <c r="Y72" s="12">
        <v>4.9908764000000003</v>
      </c>
      <c r="Z72" s="12">
        <v>-3.0617766999999998</v>
      </c>
      <c r="AA72" s="12">
        <v>64.083650800000001</v>
      </c>
      <c r="AB72" s="12">
        <v>16.204788400000002</v>
      </c>
      <c r="AC72" s="12">
        <v>24.637650499999999</v>
      </c>
      <c r="AD72" s="12">
        <v>56.557033199999999</v>
      </c>
      <c r="AE72" s="12">
        <v>61.482699199999999</v>
      </c>
      <c r="AF72" s="12">
        <v>-1.6380227000000001</v>
      </c>
      <c r="AG72" s="12">
        <v>27.0060857</v>
      </c>
    </row>
    <row r="73" spans="1:33" s="11" customFormat="1" hidden="1" outlineLevel="1" x14ac:dyDescent="0.3">
      <c r="A73" s="11" t="s">
        <v>79</v>
      </c>
      <c r="B73" s="12">
        <v>2.0633189000000001</v>
      </c>
      <c r="C73" s="12">
        <v>99.203333299999997</v>
      </c>
      <c r="D73" s="12">
        <v>-0.28813620000000001</v>
      </c>
      <c r="E73" s="17">
        <v>0.05</v>
      </c>
      <c r="F73" s="13">
        <v>53.9166667</v>
      </c>
      <c r="G73" s="12">
        <v>9.7218426999999998</v>
      </c>
      <c r="H73" s="12">
        <v>9.9245555000000003</v>
      </c>
      <c r="I73" s="12">
        <v>1.8965668</v>
      </c>
      <c r="J73" s="12">
        <v>3.5770227999999999</v>
      </c>
      <c r="K73" s="12">
        <v>-2.2653774000000002</v>
      </c>
      <c r="L73" s="12">
        <v>-1.9248717</v>
      </c>
      <c r="M73" s="12">
        <v>-4.0894253999999997</v>
      </c>
      <c r="N73" s="12">
        <v>17.305603099999999</v>
      </c>
      <c r="O73" s="12">
        <v>7.2007545000000004</v>
      </c>
      <c r="P73" s="7">
        <v>2949.8</v>
      </c>
      <c r="Q73" s="7">
        <v>349.2</v>
      </c>
      <c r="R73" s="7">
        <v>10.6</v>
      </c>
      <c r="S73" s="12">
        <v>7.5250836000000003</v>
      </c>
      <c r="T73" s="12">
        <v>0.01</v>
      </c>
      <c r="U73" s="12">
        <v>99.95</v>
      </c>
      <c r="V73" s="12">
        <v>1.9558</v>
      </c>
      <c r="W73" s="12">
        <v>2.1577644999999999</v>
      </c>
      <c r="X73" s="12">
        <v>17.181395500000001</v>
      </c>
      <c r="Y73" s="12">
        <v>6.6080750000000004</v>
      </c>
      <c r="Z73" s="12">
        <v>-0.31240760000000001</v>
      </c>
      <c r="AA73" s="12">
        <v>67.334412799999996</v>
      </c>
      <c r="AB73" s="12">
        <v>17.827837500000001</v>
      </c>
      <c r="AC73" s="12">
        <v>16.530819900000001</v>
      </c>
      <c r="AD73" s="12">
        <v>70.919126500000004</v>
      </c>
      <c r="AE73" s="12">
        <v>72.612196699999998</v>
      </c>
      <c r="AF73" s="12">
        <v>-1.7914123</v>
      </c>
      <c r="AG73" s="12">
        <v>27.376372400000001</v>
      </c>
    </row>
    <row r="74" spans="1:33" s="11" customFormat="1" hidden="1" outlineLevel="1" x14ac:dyDescent="0.3">
      <c r="A74" s="11" t="s">
        <v>80</v>
      </c>
      <c r="B74" s="12">
        <v>2.2703967</v>
      </c>
      <c r="C74" s="12">
        <v>100.5233333</v>
      </c>
      <c r="D74" s="12">
        <v>0.29933149999999997</v>
      </c>
      <c r="E74" s="17">
        <v>0.05</v>
      </c>
      <c r="F74" s="13">
        <v>61.693333299999999</v>
      </c>
      <c r="G74" s="12">
        <v>3.8831487999999998</v>
      </c>
      <c r="H74" s="12">
        <v>2.5813692000000001</v>
      </c>
      <c r="I74" s="12">
        <v>-0.98603750000000001</v>
      </c>
      <c r="J74" s="12">
        <v>2.8586765999999999</v>
      </c>
      <c r="K74" s="12">
        <v>1.1319458</v>
      </c>
      <c r="L74" s="12">
        <v>2.3505142999999999</v>
      </c>
      <c r="M74" s="12">
        <v>7.9929031999999998</v>
      </c>
      <c r="N74" s="12">
        <v>6.2366669999999997</v>
      </c>
      <c r="O74" s="12">
        <v>6.2364743999999996</v>
      </c>
      <c r="P74" s="7">
        <v>3011.2</v>
      </c>
      <c r="Q74" s="7">
        <v>330.9</v>
      </c>
      <c r="R74" s="7">
        <v>9.9</v>
      </c>
      <c r="S74" s="12">
        <v>7.4796747999999997</v>
      </c>
      <c r="T74" s="12">
        <v>0.02</v>
      </c>
      <c r="U74" s="12">
        <v>100.50333329999999</v>
      </c>
      <c r="V74" s="12">
        <v>1.9558</v>
      </c>
      <c r="W74" s="12">
        <v>4.3432202999999996</v>
      </c>
      <c r="X74" s="12">
        <v>8.4344623999999992</v>
      </c>
      <c r="Y74" s="12">
        <v>6.7685271</v>
      </c>
      <c r="Z74" s="12">
        <v>-0.81985050000000004</v>
      </c>
      <c r="AA74" s="12">
        <v>61.086750700000003</v>
      </c>
      <c r="AB74" s="12">
        <v>16.844769800000002</v>
      </c>
      <c r="AC74" s="12">
        <v>21.837342</v>
      </c>
      <c r="AD74" s="12">
        <v>64.628766100000007</v>
      </c>
      <c r="AE74" s="12">
        <v>64.398077299999997</v>
      </c>
      <c r="AF74" s="12">
        <v>-1.7906842999999999</v>
      </c>
      <c r="AG74" s="12">
        <v>27.2513325</v>
      </c>
    </row>
    <row r="75" spans="1:33" s="11" customFormat="1" hidden="1" outlineLevel="1" x14ac:dyDescent="0.3">
      <c r="A75" s="11" t="s">
        <v>81</v>
      </c>
      <c r="B75" s="12">
        <v>2.2457793000000001</v>
      </c>
      <c r="C75" s="12">
        <v>100.1533333</v>
      </c>
      <c r="D75" s="12">
        <v>0.24355250000000001</v>
      </c>
      <c r="E75" s="17">
        <v>0.05</v>
      </c>
      <c r="F75" s="13">
        <v>50.233333299999998</v>
      </c>
      <c r="G75" s="12">
        <v>5.2681668000000004</v>
      </c>
      <c r="H75" s="12">
        <v>10.5758752</v>
      </c>
      <c r="I75" s="12">
        <v>2.5814244999999998</v>
      </c>
      <c r="J75" s="12">
        <v>3.6619801999999999</v>
      </c>
      <c r="K75" s="12">
        <v>4.7474224999999999</v>
      </c>
      <c r="L75" s="12">
        <v>2.4676087999999998</v>
      </c>
      <c r="M75" s="12">
        <v>1.2430068000000001</v>
      </c>
      <c r="N75" s="12">
        <v>2.1148093000000001</v>
      </c>
      <c r="O75" s="12">
        <v>1.7530745000000001</v>
      </c>
      <c r="P75" s="7">
        <v>3104.7</v>
      </c>
      <c r="Q75" s="7">
        <v>279.3</v>
      </c>
      <c r="R75" s="7">
        <v>8.3000000000000007</v>
      </c>
      <c r="S75" s="12">
        <v>8.0658435999999991</v>
      </c>
      <c r="T75" s="12">
        <v>0.01</v>
      </c>
      <c r="U75" s="12">
        <v>100.1233333</v>
      </c>
      <c r="V75" s="12">
        <v>1.9558</v>
      </c>
      <c r="W75" s="12">
        <v>2.7835052</v>
      </c>
      <c r="X75" s="12">
        <v>-1.797895</v>
      </c>
      <c r="Y75" s="12">
        <v>-3.3786231</v>
      </c>
      <c r="Z75" s="12">
        <v>8.2503372000000006</v>
      </c>
      <c r="AA75" s="12">
        <v>56.123643600000001</v>
      </c>
      <c r="AB75" s="12">
        <v>13.5520649</v>
      </c>
      <c r="AC75" s="12">
        <v>20.8681695</v>
      </c>
      <c r="AD75" s="12">
        <v>67.792592499999998</v>
      </c>
      <c r="AE75" s="12">
        <v>58.336056800000001</v>
      </c>
      <c r="AF75" s="12">
        <v>-1.3518508</v>
      </c>
      <c r="AG75" s="12">
        <v>26.106659000000001</v>
      </c>
    </row>
    <row r="76" spans="1:33" s="11" customFormat="1" hidden="1" outlineLevel="1" x14ac:dyDescent="0.3">
      <c r="A76" s="11" t="s">
        <v>82</v>
      </c>
      <c r="B76" s="12">
        <v>2.5478125</v>
      </c>
      <c r="C76" s="12">
        <v>100.1233333</v>
      </c>
      <c r="D76" s="12">
        <v>0.1533793</v>
      </c>
      <c r="E76" s="17">
        <v>0.05</v>
      </c>
      <c r="F76" s="13">
        <v>43.57</v>
      </c>
      <c r="G76" s="12">
        <v>-12.443772299999999</v>
      </c>
      <c r="H76" s="12">
        <v>10.9951966</v>
      </c>
      <c r="I76" s="12">
        <v>-9.7277471000000002</v>
      </c>
      <c r="J76" s="12">
        <v>3.4821056000000001</v>
      </c>
      <c r="K76" s="12">
        <v>6.0491707000000003</v>
      </c>
      <c r="L76" s="12">
        <v>4.0584883999999999</v>
      </c>
      <c r="M76" s="12">
        <v>-0.80230959999999996</v>
      </c>
      <c r="N76" s="12">
        <v>3.0233249</v>
      </c>
      <c r="O76" s="12">
        <v>4.0921836000000003</v>
      </c>
      <c r="P76" s="7">
        <v>3061.7</v>
      </c>
      <c r="Q76" s="7">
        <v>261</v>
      </c>
      <c r="R76" s="7">
        <v>7.9</v>
      </c>
      <c r="S76" s="12">
        <v>8.5894405000000003</v>
      </c>
      <c r="T76" s="12">
        <v>0.01</v>
      </c>
      <c r="U76" s="12">
        <v>99.416666699999993</v>
      </c>
      <c r="V76" s="12">
        <v>1.9558</v>
      </c>
      <c r="W76" s="12">
        <v>2.3270846999999999</v>
      </c>
      <c r="X76" s="12">
        <v>0.23848539999999999</v>
      </c>
      <c r="Y76" s="12">
        <v>1.4311124</v>
      </c>
      <c r="Z76" s="12">
        <v>-7.0649822000000002</v>
      </c>
      <c r="AA76" s="12">
        <v>64.727908099999993</v>
      </c>
      <c r="AB76" s="12">
        <v>16.600502500000001</v>
      </c>
      <c r="AC76" s="12">
        <v>23.666516399999999</v>
      </c>
      <c r="AD76" s="12">
        <v>53.956967800000001</v>
      </c>
      <c r="AE76" s="12">
        <v>58.952297399999999</v>
      </c>
      <c r="AF76" s="12">
        <v>-1.2971328</v>
      </c>
      <c r="AG76" s="12">
        <v>25.9217786</v>
      </c>
    </row>
    <row r="77" spans="1:33" s="11" customFormat="1" hidden="1" outlineLevel="1" x14ac:dyDescent="0.3">
      <c r="A77" s="11" t="s">
        <v>83</v>
      </c>
      <c r="B77" s="12">
        <v>1.9366078</v>
      </c>
      <c r="C77" s="12">
        <v>99.246666700000006</v>
      </c>
      <c r="D77" s="12">
        <v>4.3681400000000002E-2</v>
      </c>
      <c r="E77" s="17">
        <v>0</v>
      </c>
      <c r="F77" s="13">
        <v>33.696666700000002</v>
      </c>
      <c r="G77" s="12">
        <v>-14.600557800000001</v>
      </c>
      <c r="H77" s="12">
        <v>-8.0795904000000007</v>
      </c>
      <c r="I77" s="12">
        <v>4.2760335999999999</v>
      </c>
      <c r="J77" s="12">
        <v>3.2962137999999999</v>
      </c>
      <c r="K77" s="12">
        <v>5.7022491000000004</v>
      </c>
      <c r="L77" s="12">
        <v>-2.6198405999999999</v>
      </c>
      <c r="M77" s="12">
        <v>2.6134976999999999</v>
      </c>
      <c r="N77" s="12">
        <v>3.1581839</v>
      </c>
      <c r="O77" s="12">
        <v>3.9929318</v>
      </c>
      <c r="P77" s="7">
        <v>2975.1</v>
      </c>
      <c r="Q77" s="7">
        <v>279.60000000000002</v>
      </c>
      <c r="R77" s="7">
        <v>8.6</v>
      </c>
      <c r="S77" s="12">
        <v>6.8429238000000003</v>
      </c>
      <c r="T77" s="12">
        <v>0</v>
      </c>
      <c r="U77" s="12">
        <v>98.856666700000005</v>
      </c>
      <c r="V77" s="12">
        <v>1.9558</v>
      </c>
      <c r="W77" s="12">
        <v>2.5277007999999999</v>
      </c>
      <c r="X77" s="12">
        <v>-0.85689289999999996</v>
      </c>
      <c r="Y77" s="12">
        <v>-4.9670388000000001</v>
      </c>
      <c r="Z77" s="12">
        <v>-4.666E-2</v>
      </c>
      <c r="AA77" s="12">
        <v>66.552117899999999</v>
      </c>
      <c r="AB77" s="12">
        <v>16.350854000000002</v>
      </c>
      <c r="AC77" s="12">
        <v>15.8635568</v>
      </c>
      <c r="AD77" s="12">
        <v>65.243014099999996</v>
      </c>
      <c r="AE77" s="12">
        <v>64.0095429</v>
      </c>
      <c r="AF77" s="12">
        <v>-1.4820230999999999</v>
      </c>
      <c r="AG77" s="12">
        <v>27.994407899999999</v>
      </c>
    </row>
    <row r="78" spans="1:33" s="11" customFormat="1" hidden="1" outlineLevel="1" x14ac:dyDescent="0.3">
      <c r="A78" s="11" t="s">
        <v>84</v>
      </c>
      <c r="B78" s="12">
        <v>2.4666936000000002</v>
      </c>
      <c r="C78" s="12">
        <v>100.42</v>
      </c>
      <c r="D78" s="12">
        <v>-0.10279530000000001</v>
      </c>
      <c r="E78" s="17">
        <v>0</v>
      </c>
      <c r="F78" s="13">
        <v>45.523333299999997</v>
      </c>
      <c r="G78" s="12">
        <v>-8.2775850000000002</v>
      </c>
      <c r="H78" s="12">
        <v>2.162655</v>
      </c>
      <c r="I78" s="12">
        <v>2.8552936</v>
      </c>
      <c r="J78" s="12">
        <v>3.6018713999999998</v>
      </c>
      <c r="K78" s="12">
        <v>-0.41236489999999998</v>
      </c>
      <c r="L78" s="12">
        <v>0.94407169999999996</v>
      </c>
      <c r="M78" s="12">
        <v>0.6467579</v>
      </c>
      <c r="N78" s="12">
        <v>9.6210076999999998</v>
      </c>
      <c r="O78" s="12">
        <v>4.2757240000000003</v>
      </c>
      <c r="P78" s="7">
        <v>3033.4</v>
      </c>
      <c r="Q78" s="7">
        <v>265.60000000000002</v>
      </c>
      <c r="R78" s="7">
        <v>8.1</v>
      </c>
      <c r="S78" s="12">
        <v>6.9969742999999998</v>
      </c>
      <c r="T78" s="12">
        <v>0</v>
      </c>
      <c r="U78" s="12">
        <v>98.176666699999998</v>
      </c>
      <c r="V78" s="12">
        <v>1.9558</v>
      </c>
      <c r="W78" s="12">
        <v>1.0829104000000001</v>
      </c>
      <c r="X78" s="12">
        <v>4.2511578999999999</v>
      </c>
      <c r="Y78" s="12">
        <v>-2.6724690999999998</v>
      </c>
      <c r="Z78" s="12">
        <v>5.0542363000000003</v>
      </c>
      <c r="AA78" s="12">
        <v>58.273531300000002</v>
      </c>
      <c r="AB78" s="12">
        <v>15.540998399999999</v>
      </c>
      <c r="AC78" s="12">
        <v>21.6182169</v>
      </c>
      <c r="AD78" s="12">
        <v>65.211725299999998</v>
      </c>
      <c r="AE78" s="12">
        <v>60.645340699999998</v>
      </c>
      <c r="AF78" s="12">
        <v>-0.71695589999999998</v>
      </c>
      <c r="AG78" s="12">
        <v>28.0121322</v>
      </c>
    </row>
    <row r="79" spans="1:33" s="11" customFormat="1" hidden="1" outlineLevel="1" x14ac:dyDescent="0.3">
      <c r="A79" s="11" t="s">
        <v>85</v>
      </c>
      <c r="B79" s="12">
        <v>1.6225508</v>
      </c>
      <c r="C79" s="12">
        <v>100.42</v>
      </c>
      <c r="D79" s="12">
        <v>0.26625840000000001</v>
      </c>
      <c r="E79" s="17">
        <v>0</v>
      </c>
      <c r="F79" s="13">
        <v>45.786666699999998</v>
      </c>
      <c r="G79" s="12">
        <v>-9.3785687000000006</v>
      </c>
      <c r="H79" s="12">
        <v>-7.2078756000000004</v>
      </c>
      <c r="I79" s="12">
        <v>2.9360168</v>
      </c>
      <c r="J79" s="12">
        <v>2.0560374000000001</v>
      </c>
      <c r="K79" s="12">
        <v>-0.77666800000000003</v>
      </c>
      <c r="L79" s="12">
        <v>3.0238101999999998</v>
      </c>
      <c r="M79" s="12">
        <v>-6.2391994999999998</v>
      </c>
      <c r="N79" s="12">
        <v>11.041316200000001</v>
      </c>
      <c r="O79" s="12">
        <v>6.5298164999999999</v>
      </c>
      <c r="P79" s="7">
        <v>3052.7</v>
      </c>
      <c r="Q79" s="7">
        <v>229</v>
      </c>
      <c r="R79" s="7">
        <v>7</v>
      </c>
      <c r="S79" s="12">
        <v>7.1210966999999998</v>
      </c>
      <c r="T79" s="12">
        <v>0</v>
      </c>
      <c r="U79" s="12">
        <v>99.03</v>
      </c>
      <c r="V79" s="12">
        <v>1.9558</v>
      </c>
      <c r="W79" s="12">
        <v>2.9087261999999998</v>
      </c>
      <c r="X79" s="12">
        <v>9.3104023999999992</v>
      </c>
      <c r="Y79" s="12">
        <v>2.1891224</v>
      </c>
      <c r="Z79" s="12">
        <v>10.540424700000001</v>
      </c>
      <c r="AA79" s="12">
        <v>54.658107299999998</v>
      </c>
      <c r="AB79" s="12">
        <v>13.566595299999999</v>
      </c>
      <c r="AC79" s="12">
        <v>18.249956600000001</v>
      </c>
      <c r="AD79" s="12">
        <v>69.064445899999996</v>
      </c>
      <c r="AE79" s="12">
        <v>55.5387196</v>
      </c>
      <c r="AF79" s="12">
        <v>0.45473259999999999</v>
      </c>
      <c r="AG79" s="12">
        <v>27.918896199999999</v>
      </c>
    </row>
    <row r="80" spans="1:33" s="11" customFormat="1" hidden="1" outlineLevel="1" x14ac:dyDescent="0.3">
      <c r="A80" s="11" t="s">
        <v>86</v>
      </c>
      <c r="B80" s="12">
        <v>1.866331</v>
      </c>
      <c r="C80" s="12">
        <v>100.89333329999999</v>
      </c>
      <c r="D80" s="12">
        <v>0.7690515</v>
      </c>
      <c r="E80" s="17">
        <v>0</v>
      </c>
      <c r="F80" s="13">
        <v>49.186666700000004</v>
      </c>
      <c r="G80" s="12">
        <v>-3.1657734999999998</v>
      </c>
      <c r="H80" s="12">
        <v>1.1359794000000001</v>
      </c>
      <c r="I80" s="12">
        <v>-7.3351566000000004</v>
      </c>
      <c r="J80" s="12">
        <v>3.2798023999999999</v>
      </c>
      <c r="K80" s="12">
        <v>3.9675915000000002</v>
      </c>
      <c r="L80" s="12">
        <v>6.7559727000000001</v>
      </c>
      <c r="M80" s="12">
        <v>-11.028764799999999</v>
      </c>
      <c r="N80" s="12">
        <v>9.7281706999999997</v>
      </c>
      <c r="O80" s="12">
        <v>5.5556685999999997</v>
      </c>
      <c r="P80" s="7">
        <v>3005.9</v>
      </c>
      <c r="Q80" s="7">
        <v>214.9</v>
      </c>
      <c r="R80" s="7">
        <v>6.7</v>
      </c>
      <c r="S80" s="12">
        <v>6.9666183000000004</v>
      </c>
      <c r="T80" s="12">
        <v>0</v>
      </c>
      <c r="U80" s="12">
        <v>98.64</v>
      </c>
      <c r="V80" s="12">
        <v>1.9558</v>
      </c>
      <c r="W80" s="12">
        <v>4.0745420000000001</v>
      </c>
      <c r="X80" s="12">
        <v>12.8315161</v>
      </c>
      <c r="Y80" s="12">
        <v>4.2006344999999996</v>
      </c>
      <c r="Z80" s="12">
        <v>-3.6299389999999998</v>
      </c>
      <c r="AA80" s="12">
        <v>63.767795599999999</v>
      </c>
      <c r="AB80" s="12">
        <v>17.0324442</v>
      </c>
      <c r="AC80" s="12">
        <v>19.651581</v>
      </c>
      <c r="AD80" s="12">
        <v>56.6948899</v>
      </c>
      <c r="AE80" s="12">
        <v>57.146710599999999</v>
      </c>
      <c r="AF80" s="12">
        <v>2.0231862999999999</v>
      </c>
      <c r="AG80" s="12">
        <v>29.1025429</v>
      </c>
    </row>
    <row r="81" spans="1:33" s="11" customFormat="1" hidden="1" outlineLevel="1" x14ac:dyDescent="0.3">
      <c r="A81" s="11" t="s">
        <v>87</v>
      </c>
      <c r="B81" s="12">
        <v>3.0351661999999999</v>
      </c>
      <c r="C81" s="12">
        <v>101</v>
      </c>
      <c r="D81" s="12">
        <v>1.766642</v>
      </c>
      <c r="E81" s="17">
        <v>0</v>
      </c>
      <c r="F81" s="13">
        <v>53.68</v>
      </c>
      <c r="G81" s="12">
        <v>12.0170297</v>
      </c>
      <c r="H81" s="12">
        <v>9.9155954000000008</v>
      </c>
      <c r="I81" s="12">
        <v>3.7272055000000002</v>
      </c>
      <c r="J81" s="12">
        <v>2.7731195</v>
      </c>
      <c r="K81" s="12">
        <v>0.57272869999999998</v>
      </c>
      <c r="L81" s="12">
        <v>6.9319326999999999</v>
      </c>
      <c r="M81" s="12">
        <v>3.4699624999999998</v>
      </c>
      <c r="N81" s="12">
        <v>8.6793113000000002</v>
      </c>
      <c r="O81" s="12">
        <v>8.4683095000000002</v>
      </c>
      <c r="P81" s="7">
        <v>3036.7</v>
      </c>
      <c r="Q81" s="7">
        <v>224.4</v>
      </c>
      <c r="R81" s="7">
        <v>6.9</v>
      </c>
      <c r="S81" s="12">
        <v>9.2794760000000007</v>
      </c>
      <c r="T81" s="12">
        <v>0</v>
      </c>
      <c r="U81" s="12">
        <v>99.616666699999996</v>
      </c>
      <c r="V81" s="12">
        <v>1.9558</v>
      </c>
      <c r="W81" s="12">
        <v>3.9175954000000002</v>
      </c>
      <c r="X81" s="12">
        <v>18.4317843</v>
      </c>
      <c r="Y81" s="12">
        <v>18.535359</v>
      </c>
      <c r="Z81" s="12">
        <v>0.40280589999999999</v>
      </c>
      <c r="AA81" s="12">
        <v>64.061881700000001</v>
      </c>
      <c r="AB81" s="12">
        <v>17.8422445</v>
      </c>
      <c r="AC81" s="12">
        <v>16.774332000000001</v>
      </c>
      <c r="AD81" s="12">
        <v>72.570856500000005</v>
      </c>
      <c r="AE81" s="12">
        <v>71.249791400000007</v>
      </c>
      <c r="AF81" s="12">
        <v>4.6336313000000002</v>
      </c>
      <c r="AG81" s="12">
        <v>26.579277999999999</v>
      </c>
    </row>
    <row r="82" spans="1:33" s="11" customFormat="1" hidden="1" outlineLevel="1" x14ac:dyDescent="0.3">
      <c r="A82" s="11" t="s">
        <v>88</v>
      </c>
      <c r="B82" s="12">
        <v>2.3084487</v>
      </c>
      <c r="C82" s="12">
        <v>102.11333329999999</v>
      </c>
      <c r="D82" s="12">
        <v>1.6862509999999999</v>
      </c>
      <c r="E82" s="17">
        <v>0</v>
      </c>
      <c r="F82" s="13">
        <v>49.67</v>
      </c>
      <c r="G82" s="12">
        <v>5.3404074000000001</v>
      </c>
      <c r="H82" s="12">
        <v>3.2711003000000001</v>
      </c>
      <c r="I82" s="12">
        <v>2.0806079999999998</v>
      </c>
      <c r="J82" s="12">
        <v>2.7643498000000002</v>
      </c>
      <c r="K82" s="12">
        <v>2.7741334000000002</v>
      </c>
      <c r="L82" s="12">
        <v>2.2409037000000001</v>
      </c>
      <c r="M82" s="12">
        <v>7.9447073000000001</v>
      </c>
      <c r="N82" s="12">
        <v>4.7209225000000004</v>
      </c>
      <c r="O82" s="12">
        <v>6.6124689999999999</v>
      </c>
      <c r="P82" s="7">
        <v>3171.7</v>
      </c>
      <c r="Q82" s="7">
        <v>213.9</v>
      </c>
      <c r="R82" s="7">
        <v>6.3</v>
      </c>
      <c r="S82" s="12">
        <v>9.9328385000000008</v>
      </c>
      <c r="T82" s="12">
        <v>0</v>
      </c>
      <c r="U82" s="12">
        <v>99.536666699999998</v>
      </c>
      <c r="V82" s="12">
        <v>1.9558</v>
      </c>
      <c r="W82" s="12">
        <v>4.8878472999999998</v>
      </c>
      <c r="X82" s="12">
        <v>13.030733400000001</v>
      </c>
      <c r="Y82" s="12">
        <v>14.1777865</v>
      </c>
      <c r="Z82" s="12">
        <v>2.9571736999999998</v>
      </c>
      <c r="AA82" s="12">
        <v>57.525099699999998</v>
      </c>
      <c r="AB82" s="12">
        <v>15.7127035</v>
      </c>
      <c r="AC82" s="12">
        <v>22.626261</v>
      </c>
      <c r="AD82" s="12">
        <v>68.090254599999994</v>
      </c>
      <c r="AE82" s="12">
        <v>63.954318899999997</v>
      </c>
      <c r="AF82" s="12">
        <v>5.9872176000000001</v>
      </c>
      <c r="AG82" s="12">
        <v>26.7172755</v>
      </c>
    </row>
    <row r="83" spans="1:33" s="11" customFormat="1" hidden="1" outlineLevel="1" x14ac:dyDescent="0.3">
      <c r="A83" s="11" t="s">
        <v>89</v>
      </c>
      <c r="B83" s="12">
        <v>3.0333996999999999</v>
      </c>
      <c r="C83" s="12">
        <v>102.1166667</v>
      </c>
      <c r="D83" s="12">
        <v>1.6895705000000001</v>
      </c>
      <c r="E83" s="17">
        <v>0</v>
      </c>
      <c r="F83" s="13">
        <v>52.11</v>
      </c>
      <c r="G83" s="12">
        <v>8.8527172000000007</v>
      </c>
      <c r="H83" s="12">
        <v>17.375738399999999</v>
      </c>
      <c r="I83" s="12">
        <v>5.5166275000000002</v>
      </c>
      <c r="J83" s="12">
        <v>3.1765566000000001</v>
      </c>
      <c r="K83" s="12">
        <v>3.6796441999999998</v>
      </c>
      <c r="L83" s="12">
        <v>3.6468555</v>
      </c>
      <c r="M83" s="12">
        <v>1.5666188000000001</v>
      </c>
      <c r="N83" s="12">
        <v>6.3487691999999996</v>
      </c>
      <c r="O83" s="12">
        <v>6.4949273999999999</v>
      </c>
      <c r="P83" s="7">
        <v>3225</v>
      </c>
      <c r="Q83" s="7">
        <v>200.2</v>
      </c>
      <c r="R83" s="7">
        <v>5.9</v>
      </c>
      <c r="S83" s="12">
        <v>10.5225738</v>
      </c>
      <c r="T83" s="12">
        <v>0</v>
      </c>
      <c r="U83" s="12">
        <v>99.896666699999997</v>
      </c>
      <c r="V83" s="12">
        <v>1.9558</v>
      </c>
      <c r="W83" s="12">
        <v>3.4762833</v>
      </c>
      <c r="X83" s="12">
        <v>11.3015755</v>
      </c>
      <c r="Y83" s="12">
        <v>11.2395572</v>
      </c>
      <c r="Z83" s="12">
        <v>14.2141222</v>
      </c>
      <c r="AA83" s="12">
        <v>55.308560800000002</v>
      </c>
      <c r="AB83" s="12">
        <v>13.364173900000001</v>
      </c>
      <c r="AC83" s="12">
        <v>17.329238700000001</v>
      </c>
      <c r="AD83" s="12">
        <v>71.276785899999993</v>
      </c>
      <c r="AE83" s="12">
        <v>57.278759299999997</v>
      </c>
      <c r="AF83" s="12">
        <v>5.9690190000000003</v>
      </c>
      <c r="AG83" s="12">
        <v>25.002093800000001</v>
      </c>
    </row>
    <row r="84" spans="1:33" s="11" customFormat="1" hidden="1" outlineLevel="1" x14ac:dyDescent="0.3">
      <c r="A84" s="11" t="s">
        <v>90</v>
      </c>
      <c r="B84" s="12">
        <v>2.9900169999999999</v>
      </c>
      <c r="C84" s="12">
        <v>102.6233333</v>
      </c>
      <c r="D84" s="12">
        <v>1.7146821999999999</v>
      </c>
      <c r="E84" s="17">
        <v>0</v>
      </c>
      <c r="F84" s="13">
        <v>61.53</v>
      </c>
      <c r="G84" s="12">
        <v>6.0034210999999997</v>
      </c>
      <c r="H84" s="12">
        <v>16.027055300000001</v>
      </c>
      <c r="I84" s="12">
        <v>-4.0808464999999998</v>
      </c>
      <c r="J84" s="12">
        <v>2.2929211999999999</v>
      </c>
      <c r="K84" s="12">
        <v>2.7767214</v>
      </c>
      <c r="L84" s="12">
        <v>4.5915353000000003</v>
      </c>
      <c r="M84" s="12">
        <v>11.289034300000001</v>
      </c>
      <c r="N84" s="12">
        <v>3.5450973000000001</v>
      </c>
      <c r="O84" s="12">
        <v>8.1012284000000001</v>
      </c>
      <c r="P84" s="7">
        <v>3167.6</v>
      </c>
      <c r="Q84" s="7">
        <v>189.3</v>
      </c>
      <c r="R84" s="7">
        <v>5.6</v>
      </c>
      <c r="S84" s="12">
        <v>11.1940299</v>
      </c>
      <c r="T84" s="12">
        <v>0</v>
      </c>
      <c r="U84" s="12">
        <v>100.3433333</v>
      </c>
      <c r="V84" s="12">
        <v>1.9558</v>
      </c>
      <c r="W84" s="12">
        <v>1.6388467</v>
      </c>
      <c r="X84" s="12">
        <v>10.477089899999999</v>
      </c>
      <c r="Y84" s="12">
        <v>14.879048299999999</v>
      </c>
      <c r="Z84" s="12">
        <v>-4.8652179999999996</v>
      </c>
      <c r="AA84" s="12">
        <v>64.847944299999995</v>
      </c>
      <c r="AB84" s="12">
        <v>15.985715799999999</v>
      </c>
      <c r="AC84" s="12">
        <v>22.017275699999999</v>
      </c>
      <c r="AD84" s="12">
        <v>57.897421799999996</v>
      </c>
      <c r="AE84" s="12">
        <v>60.748704699999998</v>
      </c>
      <c r="AF84" s="12">
        <v>6.0469346000000002</v>
      </c>
      <c r="AG84" s="12">
        <v>25.1089275</v>
      </c>
    </row>
    <row r="85" spans="1:33" s="11" customFormat="1" hidden="1" outlineLevel="1" x14ac:dyDescent="0.3">
      <c r="A85" s="11" t="s">
        <v>91</v>
      </c>
      <c r="B85" s="12">
        <v>2.2828298</v>
      </c>
      <c r="C85" s="12">
        <v>102.5466667</v>
      </c>
      <c r="D85" s="12">
        <v>1.5313532000000001</v>
      </c>
      <c r="E85" s="17">
        <v>0</v>
      </c>
      <c r="F85" s="13">
        <v>66.806666699999994</v>
      </c>
      <c r="G85" s="12">
        <v>6.7423335</v>
      </c>
      <c r="H85" s="12">
        <v>7.0340004</v>
      </c>
      <c r="I85" s="12">
        <v>3.8748433000000002</v>
      </c>
      <c r="J85" s="12">
        <v>2.7117608</v>
      </c>
      <c r="K85" s="12">
        <v>6.2001716</v>
      </c>
      <c r="L85" s="12">
        <v>3.0613701999999998</v>
      </c>
      <c r="M85" s="12">
        <v>9.8249115000000007</v>
      </c>
      <c r="N85" s="12">
        <v>2.0357444999999998</v>
      </c>
      <c r="O85" s="12">
        <v>6.7858944000000001</v>
      </c>
      <c r="P85" s="7">
        <v>3099.3</v>
      </c>
      <c r="Q85" s="7">
        <v>188.7</v>
      </c>
      <c r="R85" s="7">
        <v>5.7</v>
      </c>
      <c r="S85" s="12">
        <v>8.1252081</v>
      </c>
      <c r="T85" s="12">
        <v>0</v>
      </c>
      <c r="U85" s="12">
        <v>101.1733333</v>
      </c>
      <c r="V85" s="12">
        <v>1.9558</v>
      </c>
      <c r="W85" s="12">
        <v>1.1699708</v>
      </c>
      <c r="X85" s="12">
        <v>0.85441529999999999</v>
      </c>
      <c r="Y85" s="12">
        <v>7.5841482999999998</v>
      </c>
      <c r="Z85" s="12">
        <v>-5.2525002000000001</v>
      </c>
      <c r="AA85" s="12">
        <v>66.713418500000003</v>
      </c>
      <c r="AB85" s="12">
        <v>17.929718900000001</v>
      </c>
      <c r="AC85" s="12">
        <v>18.5971732</v>
      </c>
      <c r="AD85" s="12">
        <v>69.235764700000004</v>
      </c>
      <c r="AE85" s="12">
        <v>72.476526399999997</v>
      </c>
      <c r="AF85" s="12">
        <v>6.3453049000000004</v>
      </c>
      <c r="AG85" s="12">
        <v>22.519642300000001</v>
      </c>
    </row>
    <row r="86" spans="1:33" s="11" customFormat="1" hidden="1" outlineLevel="1" x14ac:dyDescent="0.3">
      <c r="A86" s="11" t="s">
        <v>92</v>
      </c>
      <c r="B86" s="12">
        <v>2.5023559999999998</v>
      </c>
      <c r="C86" s="12">
        <v>104.0133333</v>
      </c>
      <c r="D86" s="12">
        <v>1.8606777000000001</v>
      </c>
      <c r="E86" s="17">
        <v>0</v>
      </c>
      <c r="F86" s="13">
        <v>74.5</v>
      </c>
      <c r="G86" s="12">
        <v>22.7908288</v>
      </c>
      <c r="H86" s="12">
        <v>30.830299100000001</v>
      </c>
      <c r="I86" s="12">
        <v>4.9644149999999998</v>
      </c>
      <c r="J86" s="12">
        <v>2.6039919999999999</v>
      </c>
      <c r="K86" s="12">
        <v>5.1852508000000004</v>
      </c>
      <c r="L86" s="12">
        <v>4.6867773000000001</v>
      </c>
      <c r="M86" s="12">
        <v>14.742927099999999</v>
      </c>
      <c r="N86" s="12">
        <v>0.27926269999999997</v>
      </c>
      <c r="O86" s="12">
        <v>7.2602023999999998</v>
      </c>
      <c r="P86" s="7">
        <v>3157.1</v>
      </c>
      <c r="Q86" s="7">
        <v>182.2</v>
      </c>
      <c r="R86" s="7">
        <v>5.5</v>
      </c>
      <c r="S86" s="12">
        <v>9.1639870999999999</v>
      </c>
      <c r="T86" s="12">
        <v>0</v>
      </c>
      <c r="U86" s="12">
        <v>101.8766667</v>
      </c>
      <c r="V86" s="12">
        <v>1.9558</v>
      </c>
      <c r="W86" s="12">
        <v>0.67028410000000005</v>
      </c>
      <c r="X86" s="12">
        <v>3.930428</v>
      </c>
      <c r="Y86" s="12">
        <v>9.2365484000000002</v>
      </c>
      <c r="Z86" s="12">
        <v>-1.0455943999999999</v>
      </c>
      <c r="AA86" s="12">
        <v>58.543191200000003</v>
      </c>
      <c r="AB86" s="12">
        <v>16.382867099999999</v>
      </c>
      <c r="AC86" s="12">
        <v>24.205987499999999</v>
      </c>
      <c r="AD86" s="12">
        <v>65.608851400000006</v>
      </c>
      <c r="AE86" s="12">
        <v>64.741641299999998</v>
      </c>
      <c r="AF86" s="12">
        <v>9.1823312999999995</v>
      </c>
      <c r="AG86" s="12">
        <v>22.445039600000001</v>
      </c>
    </row>
    <row r="87" spans="1:33" s="11" customFormat="1" hidden="1" outlineLevel="1" x14ac:dyDescent="0.3">
      <c r="A87" s="11" t="s">
        <v>93</v>
      </c>
      <c r="B87" s="12">
        <v>1.7229988000000001</v>
      </c>
      <c r="C87" s="12">
        <v>104.3666667</v>
      </c>
      <c r="D87" s="12">
        <v>2.2033621999999999</v>
      </c>
      <c r="E87" s="17">
        <v>0</v>
      </c>
      <c r="F87" s="13">
        <v>75.223333299999993</v>
      </c>
      <c r="G87" s="12">
        <v>21.805508700000001</v>
      </c>
      <c r="H87" s="12">
        <v>13.3912867</v>
      </c>
      <c r="I87" s="12">
        <v>3.4507189999999999</v>
      </c>
      <c r="J87" s="12">
        <v>2.9141704000000002</v>
      </c>
      <c r="K87" s="12">
        <v>4.7802834000000001</v>
      </c>
      <c r="L87" s="12">
        <v>5.8218404000000001</v>
      </c>
      <c r="M87" s="12">
        <v>15.738943300000001</v>
      </c>
      <c r="N87" s="12">
        <v>-0.75619069999999999</v>
      </c>
      <c r="O87" s="12">
        <v>5.1878833000000002</v>
      </c>
      <c r="P87" s="7">
        <v>3205.3</v>
      </c>
      <c r="Q87" s="7">
        <v>168.3</v>
      </c>
      <c r="R87" s="7">
        <v>5</v>
      </c>
      <c r="S87" s="12">
        <v>8.9417819000000005</v>
      </c>
      <c r="T87" s="12">
        <v>0</v>
      </c>
      <c r="U87" s="12">
        <v>103.5166667</v>
      </c>
      <c r="V87" s="12">
        <v>1.9558</v>
      </c>
      <c r="W87" s="12">
        <v>0.18838299999999999</v>
      </c>
      <c r="X87" s="12">
        <v>6.2880126000000001</v>
      </c>
      <c r="Y87" s="12">
        <v>10.4739342</v>
      </c>
      <c r="Z87" s="12">
        <v>11.1844682</v>
      </c>
      <c r="AA87" s="12">
        <v>54.250419899999997</v>
      </c>
      <c r="AB87" s="12">
        <v>13.980660200000001</v>
      </c>
      <c r="AC87" s="12">
        <v>20.291671000000001</v>
      </c>
      <c r="AD87" s="12">
        <v>69.510011000000006</v>
      </c>
      <c r="AE87" s="12">
        <v>58.032434100000003</v>
      </c>
      <c r="AF87" s="12">
        <v>9.7142733000000003</v>
      </c>
      <c r="AG87" s="12">
        <v>22.271997800000001</v>
      </c>
    </row>
    <row r="88" spans="1:33" s="11" customFormat="1" hidden="1" outlineLevel="1" x14ac:dyDescent="0.3">
      <c r="A88" s="11" t="s">
        <v>94</v>
      </c>
      <c r="B88" s="12">
        <v>1.7730376000000001</v>
      </c>
      <c r="C88" s="12">
        <v>104.64</v>
      </c>
      <c r="D88" s="12">
        <v>1.9651152000000001</v>
      </c>
      <c r="E88" s="17">
        <v>0</v>
      </c>
      <c r="F88" s="13">
        <v>67.713333300000002</v>
      </c>
      <c r="G88" s="12">
        <v>6.1509786000000002</v>
      </c>
      <c r="H88" s="12">
        <v>5.1985593999999997</v>
      </c>
      <c r="I88" s="12">
        <v>-4.4357240999999998</v>
      </c>
      <c r="J88" s="12">
        <v>2.5483394000000001</v>
      </c>
      <c r="K88" s="12">
        <v>-0.51919680000000001</v>
      </c>
      <c r="L88" s="12">
        <v>7.3565296</v>
      </c>
      <c r="M88" s="12">
        <v>2.6333777999999999</v>
      </c>
      <c r="N88" s="12">
        <v>6.0433947000000003</v>
      </c>
      <c r="O88" s="12">
        <v>3.9869895</v>
      </c>
      <c r="P88" s="7">
        <v>3148.9</v>
      </c>
      <c r="Q88" s="7">
        <v>154.1</v>
      </c>
      <c r="R88" s="7">
        <v>4.7</v>
      </c>
      <c r="S88" s="12">
        <v>7.9316655999999996</v>
      </c>
      <c r="T88" s="12">
        <v>0</v>
      </c>
      <c r="U88" s="12">
        <v>103.33666669999999</v>
      </c>
      <c r="V88" s="12">
        <v>1.9558</v>
      </c>
      <c r="W88" s="12">
        <v>-0.62705290000000002</v>
      </c>
      <c r="X88" s="12">
        <v>8.1474455999999993</v>
      </c>
      <c r="Y88" s="12">
        <v>4.5514017999999998</v>
      </c>
      <c r="Z88" s="12">
        <v>-3.0422454000000001</v>
      </c>
      <c r="AA88" s="12">
        <v>61.570445200000002</v>
      </c>
      <c r="AB88" s="12">
        <v>17.803799699999999</v>
      </c>
      <c r="AC88" s="12">
        <v>21.437577600000001</v>
      </c>
      <c r="AD88" s="12">
        <v>59.409865000000003</v>
      </c>
      <c r="AE88" s="12">
        <v>60.222016699999998</v>
      </c>
      <c r="AF88" s="12">
        <v>11.2143961</v>
      </c>
      <c r="AG88" s="12">
        <v>22.112602800000001</v>
      </c>
    </row>
    <row r="89" spans="1:33" s="11" customFormat="1" hidden="1" outlineLevel="1" x14ac:dyDescent="0.3">
      <c r="A89" s="11" t="s">
        <v>95</v>
      </c>
      <c r="B89" s="12">
        <v>1.9308453999999999</v>
      </c>
      <c r="C89" s="12">
        <v>104.17</v>
      </c>
      <c r="D89" s="12">
        <v>1.5830191</v>
      </c>
      <c r="E89" s="17">
        <v>0</v>
      </c>
      <c r="F89" s="13">
        <v>63.17</v>
      </c>
      <c r="G89" s="12">
        <v>22.580723800000001</v>
      </c>
      <c r="H89" s="12">
        <v>23.3863135</v>
      </c>
      <c r="I89" s="12">
        <v>4.4547816999999998</v>
      </c>
      <c r="J89" s="12">
        <v>5.0957470000000002</v>
      </c>
      <c r="K89" s="12">
        <v>3.1673743000000001</v>
      </c>
      <c r="L89" s="12">
        <v>2.6406938000000002</v>
      </c>
      <c r="M89" s="12">
        <v>8.9982928999999992</v>
      </c>
      <c r="N89" s="12">
        <v>5.5442352000000001</v>
      </c>
      <c r="O89" s="12">
        <v>4.3424332999999997</v>
      </c>
      <c r="P89" s="7">
        <v>3147.8</v>
      </c>
      <c r="Q89" s="7">
        <v>165.3</v>
      </c>
      <c r="R89" s="7">
        <v>5</v>
      </c>
      <c r="S89" s="12">
        <v>12.103480100000001</v>
      </c>
      <c r="T89" s="12">
        <v>0</v>
      </c>
      <c r="U89" s="12">
        <v>103.7033333</v>
      </c>
      <c r="V89" s="12">
        <v>1.9558</v>
      </c>
      <c r="W89" s="12">
        <v>2.7947318000000001</v>
      </c>
      <c r="X89" s="12">
        <v>11.962393</v>
      </c>
      <c r="Y89" s="12">
        <v>6.6284559999999999</v>
      </c>
      <c r="Z89" s="12">
        <v>-0.98483560000000003</v>
      </c>
      <c r="AA89" s="12">
        <v>63.328151499999997</v>
      </c>
      <c r="AB89" s="12">
        <v>17.799348899999998</v>
      </c>
      <c r="AC89" s="12">
        <v>18.667204600000002</v>
      </c>
      <c r="AD89" s="12">
        <v>67.991392599999998</v>
      </c>
      <c r="AE89" s="12">
        <v>67.786097699999999</v>
      </c>
      <c r="AF89" s="12">
        <v>10.9905264</v>
      </c>
      <c r="AG89" s="12">
        <v>19.421980699999999</v>
      </c>
    </row>
    <row r="90" spans="1:33" s="11" customFormat="1" hidden="1" outlineLevel="1" x14ac:dyDescent="0.3">
      <c r="A90" s="11" t="s">
        <v>96</v>
      </c>
      <c r="B90" s="12">
        <v>1.5959346999999999</v>
      </c>
      <c r="C90" s="12">
        <v>105.7566667</v>
      </c>
      <c r="D90" s="12">
        <v>1.6760672000000001</v>
      </c>
      <c r="E90" s="17">
        <v>0</v>
      </c>
      <c r="F90" s="13">
        <v>68.923333299999996</v>
      </c>
      <c r="G90" s="12">
        <v>2.3392979999999999</v>
      </c>
      <c r="H90" s="12">
        <v>0.7618125</v>
      </c>
      <c r="I90" s="12">
        <v>3.9750475000000001</v>
      </c>
      <c r="J90" s="12">
        <v>4.3315368999999997</v>
      </c>
      <c r="K90" s="12">
        <v>6.9444249999999998</v>
      </c>
      <c r="L90" s="12">
        <v>-1.2419616</v>
      </c>
      <c r="M90" s="12">
        <v>7.2234084999999997</v>
      </c>
      <c r="N90" s="12">
        <v>1.2436958</v>
      </c>
      <c r="O90" s="12">
        <v>3.3004384999999998</v>
      </c>
      <c r="P90" s="7">
        <v>3262.8</v>
      </c>
      <c r="Q90" s="7">
        <v>142</v>
      </c>
      <c r="R90" s="7">
        <v>4.2</v>
      </c>
      <c r="S90" s="12">
        <v>11.8114875</v>
      </c>
      <c r="T90" s="12">
        <v>0</v>
      </c>
      <c r="U90" s="12">
        <v>104.69666669999999</v>
      </c>
      <c r="V90" s="12">
        <v>1.9558</v>
      </c>
      <c r="W90" s="12">
        <v>-0.25364609999999999</v>
      </c>
      <c r="X90" s="12">
        <v>5.1780545</v>
      </c>
      <c r="Y90" s="12">
        <v>4.5199645000000004</v>
      </c>
      <c r="Z90" s="12">
        <v>0.78890649999999996</v>
      </c>
      <c r="AA90" s="12">
        <v>57.946912300000001</v>
      </c>
      <c r="AB90" s="12">
        <v>16.783310499999999</v>
      </c>
      <c r="AC90" s="12">
        <v>24.066374700000001</v>
      </c>
      <c r="AD90" s="12">
        <v>62.141734800000002</v>
      </c>
      <c r="AE90" s="12">
        <v>60.9390024</v>
      </c>
      <c r="AF90" s="12">
        <v>8.1249468</v>
      </c>
      <c r="AG90" s="12">
        <v>19.416413200000001</v>
      </c>
    </row>
    <row r="91" spans="1:33" s="11" customFormat="1" hidden="1" outlineLevel="1" x14ac:dyDescent="0.3">
      <c r="A91" s="11" t="s">
        <v>97</v>
      </c>
      <c r="B91" s="12">
        <v>2.3612953000000001</v>
      </c>
      <c r="C91" s="12">
        <v>105.74</v>
      </c>
      <c r="D91" s="12">
        <v>1.3158734999999999</v>
      </c>
      <c r="E91" s="17">
        <v>0</v>
      </c>
      <c r="F91" s="13">
        <v>61.93</v>
      </c>
      <c r="G91" s="12">
        <v>4.6036868999999996</v>
      </c>
      <c r="H91" s="12">
        <v>8.9871420000000004</v>
      </c>
      <c r="I91" s="12">
        <v>4.9708499000000002</v>
      </c>
      <c r="J91" s="12">
        <v>3.4239462000000001</v>
      </c>
      <c r="K91" s="12">
        <v>6.5257940999999997</v>
      </c>
      <c r="L91" s="12">
        <v>2.1391944999999999</v>
      </c>
      <c r="M91" s="12">
        <v>-2.9479864</v>
      </c>
      <c r="N91" s="12">
        <v>6.5778417999999999</v>
      </c>
      <c r="O91" s="12">
        <v>7.2790448999999997</v>
      </c>
      <c r="P91" s="7">
        <v>3299.2</v>
      </c>
      <c r="Q91" s="7">
        <v>125.4</v>
      </c>
      <c r="R91" s="7">
        <v>3.7</v>
      </c>
      <c r="S91" s="12">
        <v>10.7469737</v>
      </c>
      <c r="T91" s="12">
        <v>0</v>
      </c>
      <c r="U91" s="12">
        <v>105.8433333</v>
      </c>
      <c r="V91" s="12">
        <v>1.9558</v>
      </c>
      <c r="W91" s="12">
        <v>-0.15669069999999999</v>
      </c>
      <c r="X91" s="12">
        <v>5.6151361</v>
      </c>
      <c r="Y91" s="12">
        <v>5.1676872999999999</v>
      </c>
      <c r="Z91" s="12">
        <v>9.4253063000000008</v>
      </c>
      <c r="AA91" s="12">
        <v>55.512567099999998</v>
      </c>
      <c r="AB91" s="12">
        <v>14.051807200000001</v>
      </c>
      <c r="AC91" s="12">
        <v>18.632007600000001</v>
      </c>
      <c r="AD91" s="12">
        <v>70.001313600000003</v>
      </c>
      <c r="AE91" s="12">
        <v>58.197382699999999</v>
      </c>
      <c r="AF91" s="12">
        <v>9.1485161999999995</v>
      </c>
      <c r="AG91" s="12">
        <v>19.849512199999999</v>
      </c>
    </row>
    <row r="92" spans="1:33" s="11" customFormat="1" hidden="1" outlineLevel="1" x14ac:dyDescent="0.3">
      <c r="A92" s="11" t="s">
        <v>98</v>
      </c>
      <c r="B92" s="12">
        <v>1.3592039</v>
      </c>
      <c r="C92" s="12">
        <v>106.0066667</v>
      </c>
      <c r="D92" s="12">
        <v>1.3060653</v>
      </c>
      <c r="E92" s="17">
        <v>0</v>
      </c>
      <c r="F92" s="13">
        <v>63.41</v>
      </c>
      <c r="G92" s="12">
        <v>4.2768185000000001</v>
      </c>
      <c r="H92" s="12">
        <v>5.0320437</v>
      </c>
      <c r="I92" s="12">
        <v>-3.9780145999999998</v>
      </c>
      <c r="J92" s="12">
        <v>3.5980300000000001</v>
      </c>
      <c r="K92" s="12">
        <v>6.8078097</v>
      </c>
      <c r="L92" s="12">
        <v>4.1943766</v>
      </c>
      <c r="M92" s="12">
        <v>3.8279025999999998</v>
      </c>
      <c r="N92" s="12">
        <v>2.2740874</v>
      </c>
      <c r="O92" s="12">
        <v>5.9138709</v>
      </c>
      <c r="P92" s="7">
        <v>3222.7</v>
      </c>
      <c r="Q92" s="7">
        <v>138.5</v>
      </c>
      <c r="R92" s="7">
        <v>4.0999999999999996</v>
      </c>
      <c r="S92" s="12">
        <v>11.5602035</v>
      </c>
      <c r="T92" s="12">
        <v>0</v>
      </c>
      <c r="U92" s="12">
        <v>105.7333333</v>
      </c>
      <c r="V92" s="12">
        <v>1.9558</v>
      </c>
      <c r="W92" s="12">
        <v>-0.1201923</v>
      </c>
      <c r="X92" s="12">
        <v>4.3850626000000004</v>
      </c>
      <c r="Y92" s="12">
        <v>4.7522273999999998</v>
      </c>
      <c r="Z92" s="12">
        <v>-2.2717504000000002</v>
      </c>
      <c r="AA92" s="12">
        <v>60.292958599999999</v>
      </c>
      <c r="AB92" s="12">
        <v>18.378950799999998</v>
      </c>
      <c r="AC92" s="12">
        <v>22.324474599999999</v>
      </c>
      <c r="AD92" s="12">
        <v>56.663317300000003</v>
      </c>
      <c r="AE92" s="12">
        <v>57.659701200000001</v>
      </c>
      <c r="AF92" s="12">
        <v>9.5257205999999996</v>
      </c>
      <c r="AG92" s="12">
        <v>20.008060400000002</v>
      </c>
    </row>
    <row r="93" spans="1:33" s="11" customFormat="1" hidden="1" outlineLevel="1" x14ac:dyDescent="0.3">
      <c r="A93" s="11" t="s">
        <v>99</v>
      </c>
      <c r="B93" s="12">
        <v>-2.2061226999999999</v>
      </c>
      <c r="C93" s="12">
        <v>105.74666670000001</v>
      </c>
      <c r="D93" s="12">
        <v>1.5135516</v>
      </c>
      <c r="E93" s="17">
        <v>0</v>
      </c>
      <c r="F93" s="13">
        <v>50.44</v>
      </c>
      <c r="G93" s="12">
        <v>-4.4655113999999996</v>
      </c>
      <c r="H93" s="12">
        <v>-10.136150600000001</v>
      </c>
      <c r="I93" s="12">
        <v>1.7169116</v>
      </c>
      <c r="J93" s="12">
        <v>-0.85082080000000004</v>
      </c>
      <c r="K93" s="12">
        <v>0.20149520000000001</v>
      </c>
      <c r="L93" s="12">
        <v>6.7005020999999996</v>
      </c>
      <c r="M93" s="12">
        <v>-11.7693124</v>
      </c>
      <c r="N93" s="12">
        <v>1.8773238999999999</v>
      </c>
      <c r="O93" s="12">
        <v>2.2483029000000001</v>
      </c>
      <c r="P93" s="7">
        <v>3107.2</v>
      </c>
      <c r="Q93" s="7">
        <v>148.9</v>
      </c>
      <c r="R93" s="7">
        <v>4.5999999999999996</v>
      </c>
      <c r="S93" s="12">
        <v>8.5714286000000008</v>
      </c>
      <c r="T93" s="12">
        <v>0</v>
      </c>
      <c r="U93" s="12">
        <v>106.7833333</v>
      </c>
      <c r="V93" s="12">
        <v>1.9558</v>
      </c>
      <c r="W93" s="12">
        <v>-2.59375</v>
      </c>
      <c r="X93" s="12">
        <v>0.89320259999999996</v>
      </c>
      <c r="Y93" s="12">
        <v>-1.9127398</v>
      </c>
      <c r="Z93" s="12">
        <v>1.2778389000000001</v>
      </c>
      <c r="AA93" s="12">
        <v>61.920687999999998</v>
      </c>
      <c r="AB93" s="12">
        <v>19.6912667</v>
      </c>
      <c r="AC93" s="12">
        <v>16.3184288</v>
      </c>
      <c r="AD93" s="12">
        <v>67.364307699999998</v>
      </c>
      <c r="AE93" s="12">
        <v>65.294691200000003</v>
      </c>
      <c r="AF93" s="12">
        <v>9.8873292999999993</v>
      </c>
      <c r="AG93" s="12">
        <v>20.015287300000001</v>
      </c>
    </row>
    <row r="94" spans="1:33" s="11" customFormat="1" hidden="1" outlineLevel="1" x14ac:dyDescent="0.3">
      <c r="A94" s="11" t="s">
        <v>100</v>
      </c>
      <c r="B94" s="12">
        <v>-13.380244299999999</v>
      </c>
      <c r="C94" s="12">
        <v>106.50333329999999</v>
      </c>
      <c r="D94" s="12">
        <v>0.70602319999999996</v>
      </c>
      <c r="E94" s="17">
        <v>0</v>
      </c>
      <c r="F94" s="13">
        <v>29.343333300000001</v>
      </c>
      <c r="G94" s="12">
        <v>12.6315276</v>
      </c>
      <c r="H94" s="12">
        <v>-4.9497422000000002</v>
      </c>
      <c r="I94" s="12">
        <v>-2.4125276000000002</v>
      </c>
      <c r="J94" s="12">
        <v>-8.9167650999999992</v>
      </c>
      <c r="K94" s="12">
        <v>-4.4770244999999997</v>
      </c>
      <c r="L94" s="12">
        <v>7.6995725000000004</v>
      </c>
      <c r="M94" s="12">
        <v>-23.7654417</v>
      </c>
      <c r="N94" s="12">
        <v>-16.753518400000001</v>
      </c>
      <c r="O94" s="12">
        <v>-14.0813694</v>
      </c>
      <c r="P94" s="7">
        <v>3079.6</v>
      </c>
      <c r="Q94" s="7">
        <v>192.2</v>
      </c>
      <c r="R94" s="7">
        <v>5.9</v>
      </c>
      <c r="S94" s="12">
        <v>5.6638567000000002</v>
      </c>
      <c r="T94" s="12">
        <v>0</v>
      </c>
      <c r="U94" s="12">
        <v>105.82</v>
      </c>
      <c r="V94" s="12">
        <v>1.9558</v>
      </c>
      <c r="W94" s="12">
        <v>-13.095995</v>
      </c>
      <c r="X94" s="12">
        <v>-19.8612371</v>
      </c>
      <c r="Y94" s="12">
        <v>-24.273963800000001</v>
      </c>
      <c r="Z94" s="12">
        <v>2.8264399999999998</v>
      </c>
      <c r="AA94" s="12">
        <v>56.938294900000002</v>
      </c>
      <c r="AB94" s="12">
        <v>19.4088575</v>
      </c>
      <c r="AC94" s="12">
        <v>19.757639399999999</v>
      </c>
      <c r="AD94" s="12">
        <v>53.119918800000001</v>
      </c>
      <c r="AE94" s="12">
        <v>49.224353299999997</v>
      </c>
      <c r="AF94" s="12">
        <v>7.9944696999999998</v>
      </c>
      <c r="AG94" s="12">
        <v>20.851937499999998</v>
      </c>
    </row>
    <row r="95" spans="1:33" s="11" customFormat="1" hidden="1" outlineLevel="1" x14ac:dyDescent="0.3">
      <c r="A95" s="11" t="s">
        <v>101</v>
      </c>
      <c r="B95" s="12">
        <v>-3.6984297000000002</v>
      </c>
      <c r="C95" s="12">
        <v>106.27</v>
      </c>
      <c r="D95" s="12">
        <v>0.50122940000000005</v>
      </c>
      <c r="E95" s="17">
        <v>0</v>
      </c>
      <c r="F95" s="13">
        <v>42.963333300000002</v>
      </c>
      <c r="G95" s="12">
        <v>16.677708800000001</v>
      </c>
      <c r="H95" s="12">
        <v>7.5228919999999997</v>
      </c>
      <c r="I95" s="12">
        <v>2.2579053999999998</v>
      </c>
      <c r="J95" s="12">
        <v>-2.0527934000000001</v>
      </c>
      <c r="K95" s="12">
        <v>3.7915470999999998</v>
      </c>
      <c r="L95" s="12">
        <v>7.3918159000000001</v>
      </c>
      <c r="M95" s="12">
        <v>6.5484464999999998</v>
      </c>
      <c r="N95" s="12">
        <v>-14.4601086</v>
      </c>
      <c r="O95" s="12">
        <v>-6.9098514</v>
      </c>
      <c r="P95" s="7">
        <v>3173.2</v>
      </c>
      <c r="Q95" s="7">
        <v>160.4</v>
      </c>
      <c r="R95" s="7">
        <v>4.8</v>
      </c>
      <c r="S95" s="12">
        <v>9.8107170999999997</v>
      </c>
      <c r="T95" s="12">
        <v>0</v>
      </c>
      <c r="U95" s="12">
        <v>106.43</v>
      </c>
      <c r="V95" s="12">
        <v>1.9558</v>
      </c>
      <c r="W95" s="12">
        <v>-4.8336471999999997</v>
      </c>
      <c r="X95" s="12">
        <v>-20.463323800000001</v>
      </c>
      <c r="Y95" s="12">
        <v>-10.723032099999999</v>
      </c>
      <c r="Z95" s="12">
        <v>0.80329010000000001</v>
      </c>
      <c r="AA95" s="12">
        <v>59.938315600000003</v>
      </c>
      <c r="AB95" s="12">
        <v>15.651888</v>
      </c>
      <c r="AC95" s="12">
        <v>20.790632299999999</v>
      </c>
      <c r="AD95" s="12">
        <v>54.197950300000002</v>
      </c>
      <c r="AE95" s="12">
        <v>50.578481699999998</v>
      </c>
      <c r="AF95" s="12">
        <v>7.5368849000000004</v>
      </c>
      <c r="AG95" s="12">
        <v>24.785131700000001</v>
      </c>
    </row>
    <row r="96" spans="1:33" s="11" customFormat="1" hidden="1" outlineLevel="1" x14ac:dyDescent="0.3">
      <c r="A96" s="11" t="s">
        <v>102</v>
      </c>
      <c r="B96" s="12">
        <v>-3.2236577</v>
      </c>
      <c r="C96" s="12">
        <v>106.2833333</v>
      </c>
      <c r="D96" s="12">
        <v>0.26098979999999999</v>
      </c>
      <c r="E96" s="17">
        <v>0</v>
      </c>
      <c r="F96" s="13">
        <v>44.29</v>
      </c>
      <c r="G96" s="12">
        <v>28.9055374</v>
      </c>
      <c r="H96" s="12">
        <v>-0.57366360000000005</v>
      </c>
      <c r="I96" s="12">
        <v>-15.0235254</v>
      </c>
      <c r="J96" s="12">
        <v>-3.7618670999999999</v>
      </c>
      <c r="K96" s="12">
        <v>-1.5024044999999999</v>
      </c>
      <c r="L96" s="12">
        <v>10.802076400000001</v>
      </c>
      <c r="M96" s="12">
        <v>9.4342345999999999</v>
      </c>
      <c r="N96" s="12">
        <v>-10.333528400000001</v>
      </c>
      <c r="O96" s="12">
        <v>1.6574973</v>
      </c>
      <c r="P96" s="7">
        <v>3126.9</v>
      </c>
      <c r="Q96" s="7">
        <v>173.1</v>
      </c>
      <c r="R96" s="7">
        <v>5.3</v>
      </c>
      <c r="S96" s="12">
        <v>9.2475298000000006</v>
      </c>
      <c r="T96" s="12">
        <v>0</v>
      </c>
      <c r="U96" s="12">
        <v>106.0633333</v>
      </c>
      <c r="V96" s="12">
        <v>1.9558</v>
      </c>
      <c r="W96" s="12">
        <v>-3.1889289999999999</v>
      </c>
      <c r="X96" s="12">
        <v>-6.4060408999999998</v>
      </c>
      <c r="Y96" s="12">
        <v>-5.5219734999999996</v>
      </c>
      <c r="Z96" s="12">
        <v>-3.9380304000000002</v>
      </c>
      <c r="AA96" s="12">
        <v>55.155244000000003</v>
      </c>
      <c r="AB96" s="12">
        <v>22.810487999999999</v>
      </c>
      <c r="AC96" s="12">
        <v>23.457583499999998</v>
      </c>
      <c r="AD96" s="12">
        <v>51.960448999999997</v>
      </c>
      <c r="AE96" s="12">
        <v>53.3831749</v>
      </c>
      <c r="AF96" s="12">
        <v>6.6292425000000001</v>
      </c>
      <c r="AG96" s="12">
        <v>24.5613831</v>
      </c>
    </row>
    <row r="97" spans="1:33" s="11" customFormat="1" hidden="1" outlineLevel="1" x14ac:dyDescent="0.3">
      <c r="A97" s="11" t="s">
        <v>103</v>
      </c>
      <c r="B97" s="12">
        <v>-0.1765746</v>
      </c>
      <c r="C97" s="12">
        <v>107.21</v>
      </c>
      <c r="D97" s="12">
        <v>1.3838102999999999</v>
      </c>
      <c r="E97" s="17">
        <v>0</v>
      </c>
      <c r="F97" s="13">
        <v>60.82</v>
      </c>
      <c r="G97" s="12">
        <v>30.7235753</v>
      </c>
      <c r="H97" s="12">
        <v>25.102282599999999</v>
      </c>
      <c r="I97" s="12">
        <v>4.6154100000000003E-2</v>
      </c>
      <c r="J97" s="12">
        <v>3.6904566000000001</v>
      </c>
      <c r="K97" s="12">
        <v>6.8967476999999997</v>
      </c>
      <c r="L97" s="12">
        <v>-2.0670985000000002</v>
      </c>
      <c r="M97" s="12">
        <v>3.9453718000000002</v>
      </c>
      <c r="N97" s="12">
        <v>2.8757560999999998</v>
      </c>
      <c r="O97" s="12">
        <v>4.8727951000000003</v>
      </c>
      <c r="P97" s="7">
        <v>3028.7</v>
      </c>
      <c r="Q97" s="7">
        <v>204</v>
      </c>
      <c r="R97" s="7">
        <v>6.3</v>
      </c>
      <c r="S97" s="12">
        <v>10.956477700000001</v>
      </c>
      <c r="T97" s="12">
        <v>0</v>
      </c>
      <c r="U97" s="12">
        <v>107.02666670000001</v>
      </c>
      <c r="V97" s="12">
        <v>1.9558</v>
      </c>
      <c r="W97" s="12">
        <v>-0.25665710000000003</v>
      </c>
      <c r="X97" s="12">
        <v>7.8796901000000004</v>
      </c>
      <c r="Y97" s="12">
        <v>8.4901160000000004</v>
      </c>
      <c r="Z97" s="12">
        <v>-2.2773750000000001</v>
      </c>
      <c r="AA97" s="12">
        <v>62.298119999999997</v>
      </c>
      <c r="AB97" s="12">
        <v>20.054116499999999</v>
      </c>
      <c r="AC97" s="12">
        <v>15.984103299999999</v>
      </c>
      <c r="AD97" s="12">
        <v>65.915048299999995</v>
      </c>
      <c r="AE97" s="12">
        <v>64.2513881</v>
      </c>
      <c r="AF97" s="12">
        <v>7.0832560999999998</v>
      </c>
      <c r="AG97" s="12">
        <v>21.498437899999999</v>
      </c>
    </row>
    <row r="98" spans="1:33" s="11" customFormat="1" hidden="1" outlineLevel="1" x14ac:dyDescent="0.3">
      <c r="A98" s="11" t="s">
        <v>104</v>
      </c>
      <c r="B98" s="12">
        <v>14.630134099999999</v>
      </c>
      <c r="C98" s="12">
        <v>108.82</v>
      </c>
      <c r="D98" s="12">
        <v>2.1752058000000001</v>
      </c>
      <c r="E98" s="17">
        <v>0</v>
      </c>
      <c r="F98" s="13">
        <v>68.833333300000007</v>
      </c>
      <c r="G98" s="12">
        <v>10.0685726</v>
      </c>
      <c r="H98" s="12">
        <v>18.353609800000001</v>
      </c>
      <c r="I98" s="12">
        <v>0.48834650000000002</v>
      </c>
      <c r="J98" s="12">
        <v>7.0630052000000001</v>
      </c>
      <c r="K98" s="12">
        <v>9.1800577000000008</v>
      </c>
      <c r="L98" s="12">
        <v>-2.2084275999999998</v>
      </c>
      <c r="M98" s="12">
        <v>9.9491826000000003</v>
      </c>
      <c r="N98" s="12">
        <v>23.881832599999999</v>
      </c>
      <c r="O98" s="12">
        <v>24.152528400000001</v>
      </c>
      <c r="P98" s="7">
        <v>3062.2</v>
      </c>
      <c r="Q98" s="7">
        <v>182.9</v>
      </c>
      <c r="R98" s="7">
        <v>5.6</v>
      </c>
      <c r="S98" s="12">
        <v>14.1111942</v>
      </c>
      <c r="T98" s="12">
        <v>0</v>
      </c>
      <c r="U98" s="12">
        <v>108.17</v>
      </c>
      <c r="V98" s="12">
        <v>1.9558</v>
      </c>
      <c r="W98" s="12">
        <v>17.044623300000001</v>
      </c>
      <c r="X98" s="12">
        <v>39.026604599999999</v>
      </c>
      <c r="Y98" s="12">
        <v>44.4873561</v>
      </c>
      <c r="Z98" s="12">
        <v>-0.93091279999999998</v>
      </c>
      <c r="AA98" s="12">
        <v>57.523133799999997</v>
      </c>
      <c r="AB98" s="12">
        <v>19.666848099999999</v>
      </c>
      <c r="AC98" s="12">
        <v>20.4499344</v>
      </c>
      <c r="AD98" s="12">
        <v>63.913699700000002</v>
      </c>
      <c r="AE98" s="12">
        <v>61.553616099999999</v>
      </c>
      <c r="AF98" s="12">
        <v>10.400551800000001</v>
      </c>
      <c r="AG98" s="12">
        <v>22.130617900000001</v>
      </c>
    </row>
    <row r="99" spans="1:33" s="11" customFormat="1" hidden="1" outlineLevel="1" x14ac:dyDescent="0.3">
      <c r="A99" s="11" t="s">
        <v>105</v>
      </c>
      <c r="B99" s="12">
        <v>4.8925850000000004</v>
      </c>
      <c r="C99" s="12">
        <v>109.55666669999999</v>
      </c>
      <c r="D99" s="12">
        <v>3.0927511999999999</v>
      </c>
      <c r="E99" s="17">
        <v>0</v>
      </c>
      <c r="F99" s="13">
        <v>73.47</v>
      </c>
      <c r="G99" s="12">
        <v>2.5089838000000002</v>
      </c>
      <c r="H99" s="12">
        <v>6.7884278</v>
      </c>
      <c r="I99" s="12">
        <v>3.4571478999999998</v>
      </c>
      <c r="J99" s="12">
        <v>8.5652834000000002</v>
      </c>
      <c r="K99" s="12">
        <v>9.8604073000000003</v>
      </c>
      <c r="L99" s="12">
        <v>2.9022204999999999</v>
      </c>
      <c r="M99" s="12">
        <v>21.010225699999999</v>
      </c>
      <c r="N99" s="12">
        <v>9.5731222000000002</v>
      </c>
      <c r="O99" s="12">
        <v>13.0364944</v>
      </c>
      <c r="P99" s="7">
        <v>3134.4</v>
      </c>
      <c r="Q99" s="7">
        <v>150.6</v>
      </c>
      <c r="R99" s="7">
        <v>4.5999999999999996</v>
      </c>
      <c r="S99" s="12">
        <v>10.730759900000001</v>
      </c>
      <c r="T99" s="12">
        <v>0</v>
      </c>
      <c r="U99" s="12">
        <v>109.54</v>
      </c>
      <c r="V99" s="12">
        <v>1.9558</v>
      </c>
      <c r="W99" s="12">
        <v>10.422163599999999</v>
      </c>
      <c r="X99" s="12">
        <v>29.202236899999999</v>
      </c>
      <c r="Y99" s="12">
        <v>26.787459200000001</v>
      </c>
      <c r="Z99" s="12">
        <v>1.4368486</v>
      </c>
      <c r="AA99" s="12">
        <v>56.3505933</v>
      </c>
      <c r="AB99" s="12">
        <v>16.269162300000001</v>
      </c>
      <c r="AC99" s="12">
        <v>22.304957399999999</v>
      </c>
      <c r="AD99" s="12">
        <v>60.259960800000002</v>
      </c>
      <c r="AE99" s="12">
        <v>55.184673799999999</v>
      </c>
      <c r="AF99" s="12">
        <v>11.756217899999999</v>
      </c>
      <c r="AG99" s="12">
        <v>22.273229000000001</v>
      </c>
    </row>
    <row r="100" spans="1:33" s="11" customFormat="1" hidden="1" outlineLevel="1" x14ac:dyDescent="0.3">
      <c r="A100" s="11" t="s">
        <v>106</v>
      </c>
      <c r="B100" s="12">
        <v>5.3916862999999999</v>
      </c>
      <c r="C100" s="12">
        <v>111.5333333</v>
      </c>
      <c r="D100" s="12">
        <v>4.9396268000000001</v>
      </c>
      <c r="E100" s="17">
        <v>0</v>
      </c>
      <c r="F100" s="13">
        <v>79.586666699999995</v>
      </c>
      <c r="G100" s="12">
        <v>21.063676699999998</v>
      </c>
      <c r="H100" s="12">
        <v>13.7564472</v>
      </c>
      <c r="I100" s="12">
        <v>-17.471829700000001</v>
      </c>
      <c r="J100" s="12">
        <v>10.300310100000001</v>
      </c>
      <c r="K100" s="12">
        <v>7.7753209999999999</v>
      </c>
      <c r="L100" s="12">
        <v>2.3005268000000001</v>
      </c>
      <c r="M100" s="12">
        <v>6.4858370000000001</v>
      </c>
      <c r="N100" s="12">
        <v>10.027407999999999</v>
      </c>
      <c r="O100" s="12">
        <v>3.1823419999999998</v>
      </c>
      <c r="P100" s="7">
        <v>3080.5</v>
      </c>
      <c r="Q100" s="7">
        <v>146.69999999999999</v>
      </c>
      <c r="R100" s="7">
        <v>4.5999999999999996</v>
      </c>
      <c r="S100" s="12">
        <v>12.152133600000001</v>
      </c>
      <c r="T100" s="12">
        <v>0</v>
      </c>
      <c r="U100" s="12">
        <v>112.44333330000001</v>
      </c>
      <c r="V100" s="12">
        <v>1.9558</v>
      </c>
      <c r="W100" s="12">
        <v>12.8029832</v>
      </c>
      <c r="X100" s="12">
        <v>30.1608059</v>
      </c>
      <c r="Y100" s="12">
        <v>30.3691855</v>
      </c>
      <c r="Z100" s="12">
        <v>-4.9793259000000001</v>
      </c>
      <c r="AA100" s="12">
        <v>57.407832300000003</v>
      </c>
      <c r="AB100" s="12">
        <v>20.143208399999999</v>
      </c>
      <c r="AC100" s="12">
        <v>24.026696300000001</v>
      </c>
      <c r="AD100" s="12">
        <v>57.265671400000002</v>
      </c>
      <c r="AE100" s="12">
        <v>58.843159100000001</v>
      </c>
      <c r="AF100" s="12">
        <v>13.400123199999999</v>
      </c>
      <c r="AG100" s="12">
        <v>23.942037500000001</v>
      </c>
    </row>
    <row r="101" spans="1:33" hidden="1" outlineLevel="1" x14ac:dyDescent="0.3">
      <c r="A101" t="s">
        <v>108</v>
      </c>
      <c r="B101" s="12">
        <v>5.7284746999999996</v>
      </c>
      <c r="C101" s="12">
        <v>114.2266667</v>
      </c>
      <c r="D101" s="12">
        <v>6.5447875</v>
      </c>
      <c r="E101" s="17">
        <v>0</v>
      </c>
      <c r="F101" s="12">
        <v>100.2966667</v>
      </c>
      <c r="G101" s="12">
        <v>11.232804700000001</v>
      </c>
      <c r="H101" s="12">
        <v>6.2717824999999996</v>
      </c>
      <c r="I101" s="12">
        <v>-1.8076133999999999</v>
      </c>
      <c r="J101" s="12">
        <v>4.9939552999999997</v>
      </c>
      <c r="K101" s="12">
        <v>3.1840147999999999</v>
      </c>
      <c r="L101" s="12">
        <v>3.1234660000000001</v>
      </c>
      <c r="M101" s="12">
        <v>47.610522000000003</v>
      </c>
      <c r="N101" s="12">
        <v>9.0081931999999991</v>
      </c>
      <c r="O101" s="12">
        <v>16.7296914</v>
      </c>
      <c r="P101" s="7">
        <v>3068.3</v>
      </c>
      <c r="Q101" s="7">
        <v>158.69999999999999</v>
      </c>
      <c r="R101" s="7">
        <v>4.9000000000000004</v>
      </c>
      <c r="S101" s="12">
        <v>9.7833523000000007</v>
      </c>
      <c r="T101" s="12">
        <v>0</v>
      </c>
      <c r="U101" s="12">
        <v>116.5166667</v>
      </c>
      <c r="V101" s="12">
        <v>1.9558</v>
      </c>
      <c r="W101" s="12">
        <v>17.2081056</v>
      </c>
      <c r="X101" s="12">
        <v>36.248928499999998</v>
      </c>
      <c r="Y101" s="12">
        <v>42.561451699999999</v>
      </c>
      <c r="Z101" s="12">
        <v>-5.0733645000000003</v>
      </c>
      <c r="AA101" s="12">
        <v>60.589634099999998</v>
      </c>
      <c r="AB101" s="12">
        <v>18.3869522</v>
      </c>
      <c r="AC101" s="12">
        <v>22.530896299999998</v>
      </c>
      <c r="AD101" s="12">
        <v>75.673068099999995</v>
      </c>
      <c r="AE101" s="12">
        <v>77.180253699999994</v>
      </c>
      <c r="AF101" s="12">
        <v>14.109240399999999</v>
      </c>
      <c r="AG101" s="12">
        <v>18.9224058</v>
      </c>
    </row>
    <row r="102" spans="1:33" hidden="1" outlineLevel="1" x14ac:dyDescent="0.3">
      <c r="A102" t="s">
        <v>109</v>
      </c>
      <c r="B102" s="12">
        <v>4.2015890999999996</v>
      </c>
      <c r="C102" s="12">
        <v>118.4333333</v>
      </c>
      <c r="D102" s="12">
        <v>8.8341604</v>
      </c>
      <c r="E102" s="17">
        <v>0</v>
      </c>
      <c r="F102" s="12">
        <v>113.5433333</v>
      </c>
      <c r="G102" s="12">
        <v>21.026217899999999</v>
      </c>
      <c r="H102" s="12">
        <v>15.01484</v>
      </c>
      <c r="I102" s="12">
        <v>-1.4944668999999999</v>
      </c>
      <c r="J102" s="12">
        <v>4.1890638999999998</v>
      </c>
      <c r="K102" s="12">
        <v>1.0969381</v>
      </c>
      <c r="L102" s="12">
        <v>10.017226300000001</v>
      </c>
      <c r="M102" s="12">
        <v>20.121023099999999</v>
      </c>
      <c r="N102" s="12">
        <v>12.130911100000001</v>
      </c>
      <c r="O102" s="12">
        <v>16.4821524</v>
      </c>
      <c r="P102" s="7">
        <v>3121</v>
      </c>
      <c r="Q102" s="7">
        <v>152.19999999999999</v>
      </c>
      <c r="R102" s="7">
        <v>4.7</v>
      </c>
      <c r="S102" s="12">
        <v>13.3712038</v>
      </c>
      <c r="T102" s="12">
        <v>0</v>
      </c>
      <c r="U102" s="12">
        <v>122.6733333</v>
      </c>
      <c r="V102" s="12">
        <v>1.9558</v>
      </c>
      <c r="W102" s="12">
        <v>17.28125</v>
      </c>
      <c r="X102" s="12">
        <v>46.1959248</v>
      </c>
      <c r="Y102" s="12">
        <v>48.521535800000002</v>
      </c>
      <c r="Z102" s="12">
        <v>1.5532494999999999</v>
      </c>
      <c r="AA102" s="12">
        <v>54.026031400000001</v>
      </c>
      <c r="AB102" s="12">
        <v>19.887235199999999</v>
      </c>
      <c r="AC102" s="12">
        <v>24.412191700000001</v>
      </c>
      <c r="AD102" s="12">
        <v>77.499115000000003</v>
      </c>
      <c r="AE102" s="12">
        <v>75.824573299999997</v>
      </c>
      <c r="AF102" s="12">
        <v>14.749428200000001</v>
      </c>
      <c r="AG102" s="12">
        <v>19.167386700000002</v>
      </c>
    </row>
    <row r="103" spans="1:33" hidden="1" outlineLevel="1" x14ac:dyDescent="0.3">
      <c r="A103" t="s">
        <v>110</v>
      </c>
      <c r="B103" s="12">
        <v>2.5907767000000002</v>
      </c>
      <c r="C103" s="12">
        <v>120.83</v>
      </c>
      <c r="D103" s="12">
        <v>10.289956500000001</v>
      </c>
      <c r="E103" s="17">
        <v>1.25</v>
      </c>
      <c r="F103" s="12">
        <v>100.7133333</v>
      </c>
      <c r="G103" s="12">
        <v>38.634169499999999</v>
      </c>
      <c r="H103" s="12">
        <v>20.317414800000002</v>
      </c>
      <c r="I103" s="12">
        <v>-1.5879325</v>
      </c>
      <c r="J103" s="12">
        <v>3.2696801999999998</v>
      </c>
      <c r="K103" s="12">
        <v>3.4122029999999999</v>
      </c>
      <c r="L103" s="12">
        <v>2.1436684000000001</v>
      </c>
      <c r="M103" s="12">
        <v>-1.5297871000000001</v>
      </c>
      <c r="N103" s="12">
        <v>13.4992947</v>
      </c>
      <c r="O103" s="12">
        <v>13.0526205</v>
      </c>
      <c r="P103" s="7">
        <v>3215.6</v>
      </c>
      <c r="Q103" s="7">
        <v>122.5</v>
      </c>
      <c r="R103" s="7">
        <v>3.7</v>
      </c>
      <c r="S103" s="12">
        <v>14.667835999999999</v>
      </c>
      <c r="T103" s="12">
        <v>0</v>
      </c>
      <c r="U103" s="12">
        <v>126.16</v>
      </c>
      <c r="V103" s="12">
        <v>1.9558</v>
      </c>
      <c r="W103" s="12">
        <v>14.068100400000001</v>
      </c>
      <c r="X103" s="12">
        <v>39.680771499999999</v>
      </c>
      <c r="Y103" s="12">
        <v>44.308769499999997</v>
      </c>
      <c r="Z103" s="12">
        <v>1.153257</v>
      </c>
      <c r="AA103" s="12">
        <v>58.618099000000001</v>
      </c>
      <c r="AB103" s="12">
        <v>15.4163327</v>
      </c>
      <c r="AC103" s="12">
        <v>22.185410900000001</v>
      </c>
      <c r="AD103" s="12">
        <v>70.1603657</v>
      </c>
      <c r="AE103" s="12">
        <v>66.380208400000001</v>
      </c>
      <c r="AF103" s="12">
        <v>15.257263099999999</v>
      </c>
      <c r="AG103" s="12">
        <v>21.805981800000001</v>
      </c>
    </row>
    <row r="104" spans="1:33" hidden="1" outlineLevel="1" x14ac:dyDescent="0.3">
      <c r="A104" t="s">
        <v>111</v>
      </c>
      <c r="B104" s="12">
        <v>1.4006327999999999</v>
      </c>
      <c r="C104" s="12">
        <v>123.8</v>
      </c>
      <c r="D104" s="12">
        <v>10.9982068</v>
      </c>
      <c r="E104" s="17">
        <v>2.5</v>
      </c>
      <c r="F104" s="12">
        <v>88.556666699999994</v>
      </c>
      <c r="G104" s="12">
        <v>12.5412129</v>
      </c>
      <c r="H104" s="12">
        <v>50.527949800000002</v>
      </c>
      <c r="I104" s="12">
        <v>-5.9591738999999997</v>
      </c>
      <c r="J104" s="12">
        <v>3.5888369999999998</v>
      </c>
      <c r="K104" s="12">
        <v>6.7519929999999997</v>
      </c>
      <c r="L104" s="12">
        <v>6.1797252</v>
      </c>
      <c r="M104" s="12">
        <v>-0.52155720000000005</v>
      </c>
      <c r="N104" s="12">
        <v>11.494846000000001</v>
      </c>
      <c r="O104" s="12">
        <v>13.7784961</v>
      </c>
      <c r="P104" s="7">
        <v>3197.1</v>
      </c>
      <c r="Q104" s="7">
        <v>128.30000000000001</v>
      </c>
      <c r="R104" s="7">
        <v>3.9</v>
      </c>
      <c r="S104" s="12">
        <v>16.563275399999998</v>
      </c>
      <c r="T104" s="12">
        <v>1.3</v>
      </c>
      <c r="U104" s="12">
        <v>128.74666669999999</v>
      </c>
      <c r="V104" s="12">
        <v>1.9558</v>
      </c>
      <c r="W104" s="12">
        <v>3.5261708</v>
      </c>
      <c r="X104" s="12">
        <v>23.137047899999999</v>
      </c>
      <c r="Y104" s="12">
        <v>26.382763499999999</v>
      </c>
      <c r="Z104" s="12">
        <v>-3.5877549000000002</v>
      </c>
      <c r="AA104" s="12">
        <v>59.124066800000001</v>
      </c>
      <c r="AB104" s="12">
        <v>19.738889700000001</v>
      </c>
      <c r="AC104" s="12">
        <v>24.240539200000001</v>
      </c>
      <c r="AD104" s="12">
        <v>57.314572400000003</v>
      </c>
      <c r="AE104" s="12">
        <v>60.4180682</v>
      </c>
      <c r="AF104" s="12">
        <v>14.595556800000001</v>
      </c>
      <c r="AG104" s="12">
        <v>22.5557032</v>
      </c>
    </row>
    <row r="105" spans="1:33" collapsed="1" x14ac:dyDescent="0.3">
      <c r="A105" t="s">
        <v>112</v>
      </c>
      <c r="B105" s="12">
        <v>1.3448477999999999</v>
      </c>
      <c r="C105" s="12">
        <v>124.9666667</v>
      </c>
      <c r="D105" s="12">
        <v>9.4023579000000002</v>
      </c>
      <c r="E105" s="17">
        <v>3.5</v>
      </c>
      <c r="F105" s="12">
        <v>81.173333299999996</v>
      </c>
      <c r="G105" s="12">
        <v>13.7734971</v>
      </c>
      <c r="H105" s="12">
        <v>13.5284076</v>
      </c>
      <c r="I105" s="12">
        <v>-1.7911104</v>
      </c>
      <c r="J105" s="12">
        <v>2.2223902</v>
      </c>
      <c r="K105" s="12">
        <v>4.7581315000000002</v>
      </c>
      <c r="L105" s="12">
        <v>3.4472391999999998</v>
      </c>
      <c r="M105" s="12">
        <v>-16.232506099999998</v>
      </c>
      <c r="N105" s="12">
        <v>-9.10358E-2</v>
      </c>
      <c r="O105" s="12">
        <v>-3.3966775999999999</v>
      </c>
      <c r="P105" s="7">
        <v>2928</v>
      </c>
      <c r="Q105" s="7">
        <v>134.9</v>
      </c>
      <c r="R105" s="7">
        <v>4.4000000000000004</v>
      </c>
      <c r="S105" s="12">
        <v>17.2829248</v>
      </c>
      <c r="T105" s="12">
        <v>2.17</v>
      </c>
      <c r="U105" s="12">
        <v>132.0733333</v>
      </c>
      <c r="V105" s="12">
        <v>1.9558</v>
      </c>
      <c r="W105" s="12">
        <v>-4.7200879000000002</v>
      </c>
      <c r="X105" s="12">
        <v>8.3831416000000001</v>
      </c>
      <c r="Y105" s="12">
        <v>2.4757391000000002</v>
      </c>
      <c r="Z105" s="12">
        <v>-1.5257959000000001</v>
      </c>
      <c r="AA105" s="12">
        <v>60.010220799999999</v>
      </c>
      <c r="AB105" s="12">
        <v>18.276979000000001</v>
      </c>
      <c r="AC105" s="12">
        <v>19.279556400000001</v>
      </c>
      <c r="AD105" s="12">
        <v>68.206865199999996</v>
      </c>
      <c r="AE105" s="12">
        <v>65.773621399999996</v>
      </c>
      <c r="AF105" s="12">
        <v>14.561047500000001</v>
      </c>
      <c r="AG105" s="12">
        <v>20.864112299999999</v>
      </c>
    </row>
    <row r="106" spans="1:33" x14ac:dyDescent="0.3">
      <c r="A106" t="s">
        <v>113</v>
      </c>
      <c r="B106" s="12">
        <v>0.20197219999999999</v>
      </c>
      <c r="C106" s="12">
        <v>126.9766667</v>
      </c>
      <c r="D106" s="12">
        <v>7.2136222999999999</v>
      </c>
      <c r="E106" s="17">
        <v>4</v>
      </c>
      <c r="F106" s="12">
        <v>78.316666699999999</v>
      </c>
      <c r="G106" s="12">
        <v>13.6860851</v>
      </c>
      <c r="H106" s="12">
        <v>12.7865109</v>
      </c>
      <c r="I106" s="12">
        <v>-1.8533101000000001</v>
      </c>
      <c r="J106" s="12">
        <v>1.8838086999999999</v>
      </c>
      <c r="K106" s="12">
        <v>9.5668565999999995</v>
      </c>
      <c r="L106" s="12">
        <v>-5.7869675000000003</v>
      </c>
      <c r="M106" s="12">
        <v>-33.295732000000001</v>
      </c>
      <c r="N106" s="12">
        <v>-2.3875619000000001</v>
      </c>
      <c r="O106" s="12">
        <v>-10.406747299999999</v>
      </c>
      <c r="P106" s="7">
        <v>2914.3</v>
      </c>
      <c r="Q106" s="7">
        <v>141</v>
      </c>
      <c r="R106" s="7">
        <v>4.5999999999999996</v>
      </c>
      <c r="S106" s="12">
        <v>13.1431875</v>
      </c>
      <c r="T106" s="12">
        <v>2.96</v>
      </c>
      <c r="U106" s="12">
        <v>133.46</v>
      </c>
      <c r="V106" s="12">
        <v>1.9558</v>
      </c>
      <c r="W106" s="12">
        <v>-10.658140100000001</v>
      </c>
      <c r="X106" s="12">
        <v>-9.1594108999999992</v>
      </c>
      <c r="Y106" s="12">
        <v>-13.160907</v>
      </c>
      <c r="Z106" s="12">
        <v>3.4629477999999998</v>
      </c>
      <c r="AA106" s="12">
        <v>62.422419599999998</v>
      </c>
      <c r="AB106" s="12">
        <v>16.902980199999998</v>
      </c>
      <c r="AC106" s="12">
        <v>16.537676600000001</v>
      </c>
      <c r="AD106" s="12">
        <v>63.939780800000001</v>
      </c>
      <c r="AE106" s="12">
        <v>59.802624199999997</v>
      </c>
      <c r="AF106" s="12">
        <v>14.0471863</v>
      </c>
      <c r="AG106" s="12">
        <v>20.712304400000001</v>
      </c>
    </row>
    <row r="107" spans="1:33" x14ac:dyDescent="0.3">
      <c r="A107" t="s">
        <v>114</v>
      </c>
      <c r="B107" s="12">
        <v>-0.19771859999999999</v>
      </c>
      <c r="C107" s="12">
        <v>127.6866667</v>
      </c>
      <c r="D107" s="12">
        <v>5.6746392999999999</v>
      </c>
      <c r="E107" s="17">
        <v>4.5</v>
      </c>
      <c r="F107" s="12">
        <v>86.66</v>
      </c>
      <c r="G107" s="12">
        <v>2.5252295</v>
      </c>
      <c r="H107" s="12">
        <v>1.5548978</v>
      </c>
      <c r="I107" s="12">
        <v>-1.8742998</v>
      </c>
      <c r="J107" s="12">
        <v>1.5366928</v>
      </c>
      <c r="K107" s="12">
        <v>4.8623060999999996</v>
      </c>
      <c r="L107" s="12">
        <v>0.30345149999999999</v>
      </c>
      <c r="M107" s="12">
        <v>-17.6764762</v>
      </c>
      <c r="N107" s="12">
        <v>-2.8469636</v>
      </c>
      <c r="O107" s="12">
        <v>-6.8488894</v>
      </c>
      <c r="P107" s="7">
        <v>2964.7</v>
      </c>
      <c r="Q107" s="7">
        <v>125</v>
      </c>
      <c r="R107" s="7">
        <v>4.0999999999999996</v>
      </c>
      <c r="S107" s="12">
        <v>14.7609943</v>
      </c>
      <c r="T107" s="12">
        <v>3.53</v>
      </c>
      <c r="U107" s="12">
        <v>135.26</v>
      </c>
      <c r="V107" s="12">
        <v>1.9558</v>
      </c>
      <c r="W107" s="12">
        <v>-11.1547526</v>
      </c>
      <c r="X107" s="12">
        <v>-7.1728185</v>
      </c>
      <c r="Y107" s="12">
        <v>-13.7816986</v>
      </c>
      <c r="Z107" s="12">
        <v>1.8546689000000001</v>
      </c>
      <c r="AA107" s="12">
        <v>58.415057099999999</v>
      </c>
      <c r="AB107" s="12">
        <v>16.128592999999999</v>
      </c>
      <c r="AC107" s="12">
        <v>17.996083899999999</v>
      </c>
      <c r="AD107" s="12">
        <v>61.530636899999998</v>
      </c>
      <c r="AE107" s="12">
        <v>54.070577200000002</v>
      </c>
      <c r="AF107" s="12">
        <v>14.020971899999999</v>
      </c>
      <c r="AG107" s="12">
        <v>20.533405299999998</v>
      </c>
    </row>
    <row r="108" spans="1:33" x14ac:dyDescent="0.3">
      <c r="A108" t="s">
        <v>115</v>
      </c>
      <c r="B108" s="7" t="s">
        <v>107</v>
      </c>
      <c r="C108" s="12">
        <v>127.9933333</v>
      </c>
      <c r="D108" s="12">
        <v>3.3871836000000002</v>
      </c>
      <c r="E108" s="17">
        <v>4.5</v>
      </c>
      <c r="F108" s="12">
        <v>83.723333299999993</v>
      </c>
      <c r="G108" s="7" t="s">
        <v>107</v>
      </c>
      <c r="H108" s="7" t="s">
        <v>107</v>
      </c>
      <c r="I108" s="7" t="s">
        <v>107</v>
      </c>
      <c r="J108" s="7" t="s">
        <v>107</v>
      </c>
      <c r="K108" s="7" t="s">
        <v>107</v>
      </c>
      <c r="L108" s="7" t="s">
        <v>107</v>
      </c>
      <c r="M108" s="7" t="s">
        <v>107</v>
      </c>
      <c r="N108" s="7" t="s">
        <v>107</v>
      </c>
      <c r="O108" s="7" t="s">
        <v>107</v>
      </c>
      <c r="P108" s="7" t="s">
        <v>107</v>
      </c>
      <c r="Q108" s="7" t="s">
        <v>107</v>
      </c>
      <c r="R108" s="7" t="s">
        <v>107</v>
      </c>
      <c r="S108" s="7" t="s">
        <v>107</v>
      </c>
      <c r="T108" s="12">
        <v>3.8</v>
      </c>
      <c r="U108" s="12">
        <v>135.79</v>
      </c>
      <c r="V108" s="12">
        <v>1.9558</v>
      </c>
      <c r="W108" s="7" t="s">
        <v>107</v>
      </c>
      <c r="X108" s="7" t="s">
        <v>107</v>
      </c>
      <c r="Y108" s="7" t="s">
        <v>107</v>
      </c>
      <c r="Z108" s="7" t="s">
        <v>107</v>
      </c>
      <c r="AA108" s="7" t="s">
        <v>107</v>
      </c>
      <c r="AB108" s="7" t="s">
        <v>107</v>
      </c>
      <c r="AC108" s="7" t="s">
        <v>107</v>
      </c>
      <c r="AD108" s="7" t="s">
        <v>107</v>
      </c>
      <c r="AE108" s="7" t="s">
        <v>107</v>
      </c>
      <c r="AF108" s="12">
        <v>15.906497</v>
      </c>
      <c r="AG108" s="7" t="s">
        <v>107</v>
      </c>
    </row>
  </sheetData>
  <pageMargins left="0.7" right="0.7" top="0.75" bottom="0.75" header="0.3" footer="0.3"/>
  <pageSetup paperSize="9" orientation="portrait" horizontalDpi="90" verticalDpi="9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C666C-D266-4818-8740-8935720F28FA}">
  <sheetPr codeName="Tabelle8">
    <tabColor rgb="FFFFC000"/>
  </sheetPr>
  <dimension ref="A1:AG108"/>
  <sheetViews>
    <sheetView workbookViewId="0">
      <pane xSplit="1" ySplit="12" topLeftCell="S13" activePane="bottomRight" state="frozen"/>
      <selection activeCell="E12" sqref="E12"/>
      <selection pane="topRight" activeCell="E12" sqref="E12"/>
      <selection pane="bottomLeft" activeCell="E12" sqref="E12"/>
      <selection pane="bottomRight" activeCell="AG1" sqref="AG1"/>
    </sheetView>
  </sheetViews>
  <sheetFormatPr defaultColWidth="9.109375" defaultRowHeight="14.4" outlineLevelRow="1" x14ac:dyDescent="0.3"/>
  <cols>
    <col min="2" max="2" width="11.5546875" bestFit="1" customWidth="1"/>
    <col min="4" max="4" width="12.44140625" customWidth="1"/>
    <col min="7" max="7" width="12.44140625" bestFit="1" customWidth="1"/>
    <col min="8" max="8" width="12.33203125" customWidth="1"/>
    <col min="18" max="18" width="11.109375" bestFit="1" customWidth="1"/>
    <col min="19" max="19" width="12.44140625" bestFit="1" customWidth="1"/>
    <col min="24" max="24" width="12.5546875" bestFit="1" customWidth="1"/>
    <col min="25" max="25" width="12.6640625" bestFit="1" customWidth="1"/>
    <col min="27" max="27" width="13.6640625" customWidth="1"/>
  </cols>
  <sheetData>
    <row r="1" spans="1:33" s="8" customFormat="1" x14ac:dyDescent="0.3">
      <c r="A1" s="8" t="s">
        <v>0</v>
      </c>
      <c r="B1" s="8" t="s">
        <v>1</v>
      </c>
      <c r="C1" s="8" t="s">
        <v>2</v>
      </c>
      <c r="D1" s="8" t="s">
        <v>3</v>
      </c>
      <c r="E1" s="14" t="s">
        <v>4</v>
      </c>
      <c r="F1" s="8" t="s">
        <v>5</v>
      </c>
      <c r="G1" s="8" t="s">
        <v>6</v>
      </c>
      <c r="H1" s="8" t="s">
        <v>254</v>
      </c>
      <c r="I1" s="8" t="s">
        <v>7</v>
      </c>
      <c r="J1" s="8" t="s">
        <v>230</v>
      </c>
      <c r="K1" s="8" t="s">
        <v>231</v>
      </c>
      <c r="L1" s="8" t="s">
        <v>232</v>
      </c>
      <c r="M1" s="8" t="s">
        <v>233</v>
      </c>
      <c r="N1" s="8" t="s">
        <v>234</v>
      </c>
      <c r="O1" s="8" t="s">
        <v>235</v>
      </c>
      <c r="P1" s="8" t="s">
        <v>8</v>
      </c>
      <c r="Q1" s="8" t="s">
        <v>9</v>
      </c>
      <c r="R1" s="8" t="s">
        <v>10</v>
      </c>
      <c r="S1" s="8" t="s">
        <v>11</v>
      </c>
      <c r="T1" s="14" t="s">
        <v>12</v>
      </c>
      <c r="U1" s="8" t="s">
        <v>13</v>
      </c>
      <c r="V1" s="8" t="s">
        <v>14</v>
      </c>
      <c r="W1" s="8" t="s">
        <v>15</v>
      </c>
      <c r="X1" s="8" t="s">
        <v>16</v>
      </c>
      <c r="Y1" s="8" t="s">
        <v>17</v>
      </c>
      <c r="Z1" s="8" t="s">
        <v>18</v>
      </c>
      <c r="AA1" s="9" t="s">
        <v>248</v>
      </c>
      <c r="AB1" s="8" t="s">
        <v>236</v>
      </c>
      <c r="AC1" s="8" t="s">
        <v>237</v>
      </c>
      <c r="AD1" s="8" t="s">
        <v>238</v>
      </c>
      <c r="AE1" s="8" t="s">
        <v>239</v>
      </c>
      <c r="AF1" s="14" t="s">
        <v>255</v>
      </c>
      <c r="AG1" s="14" t="s">
        <v>1317</v>
      </c>
    </row>
    <row r="2" spans="1:33" s="10" customFormat="1" outlineLevel="1" x14ac:dyDescent="0.3">
      <c r="A2" s="16" t="s">
        <v>1292</v>
      </c>
      <c r="B2" s="26"/>
      <c r="C2" s="26"/>
      <c r="D2" s="26" t="s">
        <v>198</v>
      </c>
      <c r="E2" s="26"/>
      <c r="F2" s="26"/>
      <c r="G2" s="26" t="s">
        <v>539</v>
      </c>
      <c r="H2" s="26" t="s">
        <v>541</v>
      </c>
      <c r="I2" s="26"/>
      <c r="J2" s="26" t="s">
        <v>544</v>
      </c>
      <c r="K2" s="26" t="s">
        <v>546</v>
      </c>
      <c r="L2" s="26" t="s">
        <v>548</v>
      </c>
      <c r="M2" s="26" t="s">
        <v>550</v>
      </c>
      <c r="N2" s="26" t="s">
        <v>552</v>
      </c>
      <c r="O2" s="26" t="s">
        <v>554</v>
      </c>
      <c r="P2" s="26"/>
      <c r="Q2" s="26"/>
      <c r="R2" s="26"/>
      <c r="S2" s="26" t="s">
        <v>535</v>
      </c>
      <c r="T2" s="26"/>
      <c r="U2" s="26"/>
      <c r="V2" s="26"/>
      <c r="W2" s="26" t="s">
        <v>562</v>
      </c>
      <c r="X2" s="26" t="s">
        <v>564</v>
      </c>
      <c r="Y2" s="26" t="s">
        <v>566</v>
      </c>
      <c r="Z2" s="26"/>
      <c r="AA2" s="26" t="s">
        <v>569</v>
      </c>
      <c r="AB2" s="26"/>
      <c r="AC2" s="26"/>
      <c r="AD2" s="26"/>
      <c r="AE2" s="26"/>
      <c r="AF2" s="26" t="s">
        <v>908</v>
      </c>
      <c r="AG2" s="26"/>
    </row>
    <row r="3" spans="1:33" outlineLevel="1" x14ac:dyDescent="0.3">
      <c r="A3" s="16" t="s">
        <v>1293</v>
      </c>
      <c r="B3" s="27" t="s">
        <v>123</v>
      </c>
      <c r="C3" s="27" t="s">
        <v>195</v>
      </c>
      <c r="D3" s="27" t="s">
        <v>195</v>
      </c>
      <c r="E3" s="27" t="s">
        <v>186</v>
      </c>
      <c r="F3" s="27" t="s">
        <v>125</v>
      </c>
      <c r="G3" s="27" t="s">
        <v>277</v>
      </c>
      <c r="H3" s="27" t="s">
        <v>277</v>
      </c>
      <c r="I3" s="27" t="s">
        <v>277</v>
      </c>
      <c r="J3" s="27" t="s">
        <v>123</v>
      </c>
      <c r="K3" s="27" t="s">
        <v>125</v>
      </c>
      <c r="L3" s="27" t="s">
        <v>125</v>
      </c>
      <c r="M3" s="27" t="s">
        <v>125</v>
      </c>
      <c r="N3" s="27" t="s">
        <v>125</v>
      </c>
      <c r="O3" s="27" t="s">
        <v>125</v>
      </c>
      <c r="P3" s="27" t="s">
        <v>1267</v>
      </c>
      <c r="Q3" s="27" t="s">
        <v>1267</v>
      </c>
      <c r="R3" s="27" t="s">
        <v>1267</v>
      </c>
      <c r="S3" s="27" t="s">
        <v>1276</v>
      </c>
      <c r="T3" s="27" t="s">
        <v>559</v>
      </c>
      <c r="U3" s="27" t="s">
        <v>195</v>
      </c>
      <c r="V3" s="27" t="s">
        <v>284</v>
      </c>
      <c r="W3" s="27" t="s">
        <v>125</v>
      </c>
      <c r="X3" s="27" t="s">
        <v>207</v>
      </c>
      <c r="Y3" s="27" t="s">
        <v>207</v>
      </c>
      <c r="Z3" s="27" t="s">
        <v>203</v>
      </c>
      <c r="AA3" s="27" t="s">
        <v>125</v>
      </c>
      <c r="AB3" s="27" t="s">
        <v>125</v>
      </c>
      <c r="AC3" s="27" t="s">
        <v>125</v>
      </c>
      <c r="AD3" s="27" t="s">
        <v>125</v>
      </c>
      <c r="AE3" s="27" t="s">
        <v>125</v>
      </c>
      <c r="AF3" s="27" t="s">
        <v>125</v>
      </c>
      <c r="AG3" s="27" t="s">
        <v>125</v>
      </c>
    </row>
    <row r="4" spans="1:33" outlineLevel="1" x14ac:dyDescent="0.3">
      <c r="A4" s="16" t="s">
        <v>1288</v>
      </c>
      <c r="B4" s="2">
        <v>144396</v>
      </c>
      <c r="C4" s="2">
        <v>77811</v>
      </c>
      <c r="D4" s="2">
        <v>77812</v>
      </c>
      <c r="E4" s="2">
        <v>144399</v>
      </c>
      <c r="F4" s="27">
        <v>101874</v>
      </c>
      <c r="G4" s="2">
        <v>32794</v>
      </c>
      <c r="H4" s="2">
        <v>32793</v>
      </c>
      <c r="I4" s="2">
        <v>89166</v>
      </c>
      <c r="J4" s="2">
        <v>88640</v>
      </c>
      <c r="K4" s="27">
        <v>90869</v>
      </c>
      <c r="L4" s="27">
        <v>90913</v>
      </c>
      <c r="M4" s="27">
        <v>90935</v>
      </c>
      <c r="N4" s="27">
        <v>90979</v>
      </c>
      <c r="O4" s="27">
        <v>91001</v>
      </c>
      <c r="P4" s="2">
        <v>32647</v>
      </c>
      <c r="Q4" s="2">
        <v>32675</v>
      </c>
      <c r="R4" s="2">
        <v>32693</v>
      </c>
      <c r="S4" s="2">
        <v>313</v>
      </c>
      <c r="T4" s="2">
        <v>761</v>
      </c>
      <c r="U4" s="2">
        <v>1713</v>
      </c>
      <c r="V4" s="2">
        <v>962</v>
      </c>
      <c r="W4" s="27">
        <v>32208</v>
      </c>
      <c r="X4" s="2">
        <v>87263</v>
      </c>
      <c r="Y4" s="2">
        <v>87300</v>
      </c>
      <c r="Z4" s="2">
        <v>88732</v>
      </c>
      <c r="AA4" s="27">
        <v>90341</v>
      </c>
      <c r="AB4" s="27">
        <v>90385</v>
      </c>
      <c r="AC4" s="27">
        <v>90407</v>
      </c>
      <c r="AD4" s="27">
        <v>90495</v>
      </c>
      <c r="AE4" s="27">
        <v>90517</v>
      </c>
      <c r="AF4" s="27">
        <v>89615</v>
      </c>
      <c r="AG4" s="27">
        <v>144766</v>
      </c>
    </row>
    <row r="5" spans="1:33" outlineLevel="1" x14ac:dyDescent="0.3">
      <c r="A5" t="s">
        <v>1291</v>
      </c>
      <c r="B5" s="27" t="s">
        <v>221</v>
      </c>
      <c r="C5" s="27" t="s">
        <v>194</v>
      </c>
      <c r="D5" s="27" t="s">
        <v>199</v>
      </c>
      <c r="E5" s="27" t="s">
        <v>253</v>
      </c>
      <c r="F5" s="27" t="s">
        <v>189</v>
      </c>
      <c r="G5" s="27" t="s">
        <v>540</v>
      </c>
      <c r="H5" s="27" t="s">
        <v>542</v>
      </c>
      <c r="I5" s="27" t="s">
        <v>543</v>
      </c>
      <c r="J5" s="27" t="s">
        <v>545</v>
      </c>
      <c r="K5" s="27" t="s">
        <v>547</v>
      </c>
      <c r="L5" s="27" t="s">
        <v>549</v>
      </c>
      <c r="M5" s="27" t="s">
        <v>551</v>
      </c>
      <c r="N5" s="27" t="s">
        <v>553</v>
      </c>
      <c r="O5" s="27" t="s">
        <v>555</v>
      </c>
      <c r="P5" s="27" t="s">
        <v>556</v>
      </c>
      <c r="Q5" s="27" t="s">
        <v>557</v>
      </c>
      <c r="R5" s="27" t="s">
        <v>558</v>
      </c>
      <c r="S5" s="27" t="s">
        <v>536</v>
      </c>
      <c r="T5" s="27" t="s">
        <v>1297</v>
      </c>
      <c r="U5" s="27" t="s">
        <v>560</v>
      </c>
      <c r="V5" s="27" t="s">
        <v>561</v>
      </c>
      <c r="W5" s="27" t="s">
        <v>563</v>
      </c>
      <c r="X5" s="27" t="s">
        <v>565</v>
      </c>
      <c r="Y5" s="27" t="s">
        <v>567</v>
      </c>
      <c r="Z5" s="27" t="s">
        <v>568</v>
      </c>
      <c r="AA5" s="27" t="s">
        <v>570</v>
      </c>
      <c r="AB5" s="27" t="s">
        <v>571</v>
      </c>
      <c r="AC5" s="27" t="s">
        <v>572</v>
      </c>
      <c r="AD5" s="27" t="s">
        <v>573</v>
      </c>
      <c r="AE5" s="27" t="s">
        <v>574</v>
      </c>
      <c r="AF5" s="27" t="s">
        <v>909</v>
      </c>
      <c r="AG5" s="27" t="s">
        <v>575</v>
      </c>
    </row>
    <row r="6" spans="1:33" outlineLevel="1" x14ac:dyDescent="0.3">
      <c r="A6" t="s">
        <v>1289</v>
      </c>
      <c r="B6" s="27" t="s">
        <v>222</v>
      </c>
      <c r="C6" s="27" t="s">
        <v>196</v>
      </c>
      <c r="D6" s="27" t="s">
        <v>196</v>
      </c>
      <c r="E6" s="27" t="s">
        <v>187</v>
      </c>
      <c r="F6" s="27" t="s">
        <v>190</v>
      </c>
      <c r="G6" s="27" t="s">
        <v>537</v>
      </c>
      <c r="H6" s="27" t="s">
        <v>537</v>
      </c>
      <c r="I6" s="27" t="s">
        <v>537</v>
      </c>
      <c r="J6" s="27" t="s">
        <v>537</v>
      </c>
      <c r="K6" s="27" t="s">
        <v>537</v>
      </c>
      <c r="L6" s="27" t="s">
        <v>537</v>
      </c>
      <c r="M6" s="27" t="s">
        <v>537</v>
      </c>
      <c r="N6" s="27" t="s">
        <v>537</v>
      </c>
      <c r="O6" s="27" t="s">
        <v>537</v>
      </c>
      <c r="P6" s="27" t="s">
        <v>537</v>
      </c>
      <c r="Q6" s="27" t="s">
        <v>537</v>
      </c>
      <c r="R6" s="27" t="s">
        <v>537</v>
      </c>
      <c r="S6" s="27" t="s">
        <v>537</v>
      </c>
      <c r="T6" s="27" t="s">
        <v>537</v>
      </c>
      <c r="U6" s="27" t="s">
        <v>537</v>
      </c>
      <c r="V6" s="27" t="s">
        <v>537</v>
      </c>
      <c r="W6" s="27" t="s">
        <v>537</v>
      </c>
      <c r="X6" s="27" t="s">
        <v>537</v>
      </c>
      <c r="Y6" s="27" t="s">
        <v>537</v>
      </c>
      <c r="Z6" s="27" t="s">
        <v>537</v>
      </c>
      <c r="AA6" s="27" t="s">
        <v>537</v>
      </c>
      <c r="AB6" s="27" t="s">
        <v>537</v>
      </c>
      <c r="AC6" s="27" t="s">
        <v>537</v>
      </c>
      <c r="AD6" s="27" t="s">
        <v>537</v>
      </c>
      <c r="AE6" s="27" t="s">
        <v>537</v>
      </c>
      <c r="AF6" s="27" t="s">
        <v>537</v>
      </c>
      <c r="AG6" s="27" t="s">
        <v>537</v>
      </c>
    </row>
    <row r="7" spans="1:33" outlineLevel="1" x14ac:dyDescent="0.3">
      <c r="A7" t="s">
        <v>1290</v>
      </c>
      <c r="B7" s="27" t="s">
        <v>223</v>
      </c>
      <c r="C7" s="27" t="s">
        <v>197</v>
      </c>
      <c r="D7" s="27" t="s">
        <v>197</v>
      </c>
      <c r="E7" s="27" t="s">
        <v>188</v>
      </c>
      <c r="F7" s="27" t="s">
        <v>191</v>
      </c>
      <c r="G7" s="27" t="s">
        <v>538</v>
      </c>
      <c r="H7" s="27" t="s">
        <v>538</v>
      </c>
      <c r="I7" s="27" t="s">
        <v>538</v>
      </c>
      <c r="J7" s="27" t="s">
        <v>538</v>
      </c>
      <c r="K7" s="27" t="s">
        <v>538</v>
      </c>
      <c r="L7" s="27" t="s">
        <v>538</v>
      </c>
      <c r="M7" s="27" t="s">
        <v>538</v>
      </c>
      <c r="N7" s="27" t="s">
        <v>538</v>
      </c>
      <c r="O7" s="27" t="s">
        <v>538</v>
      </c>
      <c r="P7" s="27" t="s">
        <v>538</v>
      </c>
      <c r="Q7" s="27" t="s">
        <v>538</v>
      </c>
      <c r="R7" s="27" t="s">
        <v>538</v>
      </c>
      <c r="S7" s="27" t="s">
        <v>538</v>
      </c>
      <c r="T7" s="27" t="s">
        <v>538</v>
      </c>
      <c r="U7" s="27" t="s">
        <v>538</v>
      </c>
      <c r="V7" s="27" t="s">
        <v>538</v>
      </c>
      <c r="W7" s="27" t="s">
        <v>538</v>
      </c>
      <c r="X7" s="27" t="s">
        <v>538</v>
      </c>
      <c r="Y7" s="27" t="s">
        <v>538</v>
      </c>
      <c r="Z7" s="27" t="s">
        <v>538</v>
      </c>
      <c r="AA7" s="27" t="s">
        <v>538</v>
      </c>
      <c r="AB7" s="27" t="s">
        <v>538</v>
      </c>
      <c r="AC7" s="27" t="s">
        <v>538</v>
      </c>
      <c r="AD7" s="27" t="s">
        <v>538</v>
      </c>
      <c r="AE7" s="27" t="s">
        <v>538</v>
      </c>
      <c r="AF7" s="27" t="s">
        <v>538</v>
      </c>
      <c r="AG7" s="27" t="s">
        <v>538</v>
      </c>
    </row>
    <row r="8" spans="1:33" outlineLevel="1" x14ac:dyDescent="0.3">
      <c r="A8" s="16" t="s">
        <v>489</v>
      </c>
      <c r="B8" s="27" t="s">
        <v>120</v>
      </c>
      <c r="C8" s="27" t="s">
        <v>163</v>
      </c>
      <c r="D8" s="27" t="s">
        <v>163</v>
      </c>
      <c r="E8" s="27" t="s">
        <v>159</v>
      </c>
      <c r="F8" s="27"/>
      <c r="G8" s="27" t="s">
        <v>290</v>
      </c>
      <c r="H8" s="27" t="s">
        <v>293</v>
      </c>
      <c r="I8" s="27" t="s">
        <v>278</v>
      </c>
      <c r="J8" s="27" t="s">
        <v>120</v>
      </c>
      <c r="K8" s="27" t="s">
        <v>126</v>
      </c>
      <c r="L8" s="27" t="s">
        <v>129</v>
      </c>
      <c r="M8" s="27" t="s">
        <v>132</v>
      </c>
      <c r="N8" s="27" t="s">
        <v>135</v>
      </c>
      <c r="O8" s="27" t="s">
        <v>138</v>
      </c>
      <c r="P8" s="27" t="s">
        <v>141</v>
      </c>
      <c r="Q8" s="27" t="s">
        <v>146</v>
      </c>
      <c r="R8" s="27" t="s">
        <v>149</v>
      </c>
      <c r="S8" s="27" t="s">
        <v>154</v>
      </c>
      <c r="T8" s="27" t="s">
        <v>159</v>
      </c>
      <c r="U8" s="27" t="s">
        <v>163</v>
      </c>
      <c r="V8" s="27" t="s">
        <v>168</v>
      </c>
      <c r="W8" s="27" t="s">
        <v>217</v>
      </c>
      <c r="X8" s="27" t="s">
        <v>208</v>
      </c>
      <c r="Y8" s="27" t="s">
        <v>213</v>
      </c>
      <c r="Z8" s="27" t="s">
        <v>204</v>
      </c>
      <c r="AA8" s="27" t="s">
        <v>126</v>
      </c>
      <c r="AB8" s="27" t="s">
        <v>129</v>
      </c>
      <c r="AC8" s="27" t="s">
        <v>132</v>
      </c>
      <c r="AD8" s="27" t="s">
        <v>135</v>
      </c>
      <c r="AE8" s="27" t="s">
        <v>138</v>
      </c>
      <c r="AF8" s="27" t="s">
        <v>351</v>
      </c>
      <c r="AG8" s="27" t="s">
        <v>402</v>
      </c>
    </row>
    <row r="9" spans="1:33" outlineLevel="1" x14ac:dyDescent="0.3">
      <c r="A9" s="16" t="s">
        <v>490</v>
      </c>
      <c r="B9" s="27" t="s">
        <v>121</v>
      </c>
      <c r="C9" s="27" t="s">
        <v>164</v>
      </c>
      <c r="D9" s="27" t="s">
        <v>164</v>
      </c>
      <c r="E9" s="27" t="s">
        <v>160</v>
      </c>
      <c r="F9" s="27"/>
      <c r="G9" s="27" t="s">
        <v>291</v>
      </c>
      <c r="H9" s="27" t="s">
        <v>294</v>
      </c>
      <c r="I9" s="27" t="s">
        <v>279</v>
      </c>
      <c r="J9" s="27" t="s">
        <v>121</v>
      </c>
      <c r="K9" s="27" t="s">
        <v>127</v>
      </c>
      <c r="L9" s="27" t="s">
        <v>130</v>
      </c>
      <c r="M9" s="27" t="s">
        <v>133</v>
      </c>
      <c r="N9" s="27" t="s">
        <v>136</v>
      </c>
      <c r="O9" s="27" t="s">
        <v>139</v>
      </c>
      <c r="P9" s="27" t="s">
        <v>142</v>
      </c>
      <c r="Q9" s="27" t="s">
        <v>147</v>
      </c>
      <c r="R9" s="27" t="s">
        <v>150</v>
      </c>
      <c r="S9" s="27" t="s">
        <v>155</v>
      </c>
      <c r="T9" s="27" t="s">
        <v>160</v>
      </c>
      <c r="U9" s="27" t="s">
        <v>164</v>
      </c>
      <c r="V9" s="27" t="s">
        <v>169</v>
      </c>
      <c r="W9" s="27" t="s">
        <v>218</v>
      </c>
      <c r="X9" s="27" t="s">
        <v>209</v>
      </c>
      <c r="Y9" s="27" t="s">
        <v>214</v>
      </c>
      <c r="Z9" s="27" t="s">
        <v>205</v>
      </c>
      <c r="AA9" s="27" t="s">
        <v>127</v>
      </c>
      <c r="AB9" s="27" t="s">
        <v>130</v>
      </c>
      <c r="AC9" s="27" t="s">
        <v>133</v>
      </c>
      <c r="AD9" s="27" t="s">
        <v>136</v>
      </c>
      <c r="AE9" s="27" t="s">
        <v>139</v>
      </c>
      <c r="AF9" s="27" t="s">
        <v>352</v>
      </c>
      <c r="AG9" s="28" t="s">
        <v>403</v>
      </c>
    </row>
    <row r="10" spans="1:33" outlineLevel="1" x14ac:dyDescent="0.3">
      <c r="A10" s="16" t="s">
        <v>491</v>
      </c>
      <c r="B10" s="27" t="s">
        <v>224</v>
      </c>
      <c r="C10" s="27" t="s">
        <v>165</v>
      </c>
      <c r="D10" s="27" t="s">
        <v>200</v>
      </c>
      <c r="E10" s="27" t="s">
        <v>226</v>
      </c>
      <c r="F10" s="27"/>
      <c r="G10" s="27" t="s">
        <v>175</v>
      </c>
      <c r="H10" s="27" t="s">
        <v>175</v>
      </c>
      <c r="I10" s="27" t="s">
        <v>184</v>
      </c>
      <c r="J10" s="27" t="s">
        <v>122</v>
      </c>
      <c r="K10" s="27" t="s">
        <v>122</v>
      </c>
      <c r="L10" s="27" t="s">
        <v>122</v>
      </c>
      <c r="M10" s="27" t="s">
        <v>122</v>
      </c>
      <c r="N10" s="27" t="s">
        <v>122</v>
      </c>
      <c r="O10" s="27" t="s">
        <v>122</v>
      </c>
      <c r="P10" s="27" t="s">
        <v>143</v>
      </c>
      <c r="Q10" s="27" t="s">
        <v>143</v>
      </c>
      <c r="R10" s="27" t="s">
        <v>151</v>
      </c>
      <c r="S10" s="27" t="s">
        <v>156</v>
      </c>
      <c r="T10" s="27" t="s">
        <v>447</v>
      </c>
      <c r="U10" s="27" t="s">
        <v>165</v>
      </c>
      <c r="V10" s="27" t="s">
        <v>170</v>
      </c>
      <c r="W10" s="27" t="s">
        <v>219</v>
      </c>
      <c r="X10" s="27" t="s">
        <v>210</v>
      </c>
      <c r="Y10" s="27" t="s">
        <v>210</v>
      </c>
      <c r="Z10" s="27" t="s">
        <v>184</v>
      </c>
      <c r="AA10" s="27" t="s">
        <v>184</v>
      </c>
      <c r="AB10" s="27" t="s">
        <v>184</v>
      </c>
      <c r="AC10" s="27" t="s">
        <v>184</v>
      </c>
      <c r="AD10" s="27" t="s">
        <v>184</v>
      </c>
      <c r="AE10" s="27" t="s">
        <v>184</v>
      </c>
      <c r="AF10" s="27" t="s">
        <v>156</v>
      </c>
      <c r="AG10" s="27" t="s">
        <v>184</v>
      </c>
    </row>
    <row r="11" spans="1:33" ht="15.6" customHeight="1" outlineLevel="1" x14ac:dyDescent="0.3">
      <c r="A11" s="16" t="s">
        <v>492</v>
      </c>
      <c r="B11" s="27" t="s">
        <v>225</v>
      </c>
      <c r="C11" s="27" t="s">
        <v>166</v>
      </c>
      <c r="D11" s="27" t="s">
        <v>201</v>
      </c>
      <c r="E11" s="27" t="s">
        <v>227</v>
      </c>
      <c r="F11" s="27"/>
      <c r="G11" s="27" t="s">
        <v>176</v>
      </c>
      <c r="H11" s="27" t="s">
        <v>176</v>
      </c>
      <c r="I11" s="27" t="s">
        <v>185</v>
      </c>
      <c r="J11" s="27" t="s">
        <v>118</v>
      </c>
      <c r="K11" s="27" t="s">
        <v>118</v>
      </c>
      <c r="L11" s="27" t="s">
        <v>118</v>
      </c>
      <c r="M11" s="27" t="s">
        <v>118</v>
      </c>
      <c r="N11" s="27" t="s">
        <v>118</v>
      </c>
      <c r="O11" s="27" t="s">
        <v>118</v>
      </c>
      <c r="P11" s="27" t="s">
        <v>144</v>
      </c>
      <c r="Q11" s="27" t="s">
        <v>144</v>
      </c>
      <c r="R11" s="27" t="s">
        <v>152</v>
      </c>
      <c r="S11" s="27" t="s">
        <v>157</v>
      </c>
      <c r="T11" s="27" t="s">
        <v>448</v>
      </c>
      <c r="U11" s="27" t="s">
        <v>166</v>
      </c>
      <c r="V11" s="27" t="s">
        <v>171</v>
      </c>
      <c r="W11" s="27" t="s">
        <v>220</v>
      </c>
      <c r="X11" s="27" t="s">
        <v>211</v>
      </c>
      <c r="Y11" s="27" t="s">
        <v>211</v>
      </c>
      <c r="Z11" s="27" t="s">
        <v>185</v>
      </c>
      <c r="AA11" s="27" t="s">
        <v>185</v>
      </c>
      <c r="AB11" s="27" t="s">
        <v>185</v>
      </c>
      <c r="AC11" s="27" t="s">
        <v>185</v>
      </c>
      <c r="AD11" s="27" t="s">
        <v>185</v>
      </c>
      <c r="AE11" s="27" t="s">
        <v>185</v>
      </c>
      <c r="AF11" s="27" t="s">
        <v>157</v>
      </c>
      <c r="AG11" s="27" t="s">
        <v>185</v>
      </c>
    </row>
    <row r="12" spans="1:33" outlineLevel="1" x14ac:dyDescent="0.3">
      <c r="B12" s="4" t="str">
        <f>INDEX({"31/01/2024 @ 15:42","macro_id=DBGlobal","label_id=144396","time=Q","year_from=2000","year_to=2023","direction=V","opt_font=true","fontsize=8","opt_color=true","col_desc=Calculation:10;Footnote 1:9;ID:8;Label:7;Reporter:6:s;Reporter:5:long;Indicator:4:s;Indicator:3:l;Unit:2:s;Unit:1:long;","numberformat=0.00","auto_tr=1999|2015","com=true","comp=4"},1,1)</f>
        <v>31/01/2024 @ 15:42</v>
      </c>
      <c r="C12" s="4" t="str">
        <f>INDEX({"31/01/2024 @ 15:42","macro_id=DBGlobal","label_id=77811","time=Q","year_from=2000","year_to=2023","direction=V","opt_font=true","fontsize=8","opt_color=true","col_desc=Calculation:10;Footnote 1:9;ID:8;Label:7;Reporter:6:s;Reporter:5:long;Indicator:4:s;Indicator:3:l;Unit:2:s;Unit:1:long;","numberformat=0.00","auto_tr=1999|2015","com=true","comp=4"},1,1)</f>
        <v>31/01/2024 @ 15:42</v>
      </c>
      <c r="D12" s="6" t="str">
        <f>INDEX({"31/01/2024 @ 15:42","macro_id=DBGlobal","label_id=77812","calc=SubScal(L_77812,100)","time=Q","year_from=2000","year_to=2023","direction=V","opt_font=true","fontsize=8","opt_color=true","col_desc=Calculation:10;Footnote 1:9;ID:8;Label:7;Reporter:6:s;Reporter:5:long;Indicator:4:s;Indicator:3:l;Unit:2:s;Unit:1:long;","numberformat=0.00","auto_tr=1999|2015","com=true","comp=4"},1,1)</f>
        <v>31/01/2024 @ 15:42</v>
      </c>
      <c r="E12" s="4" t="str">
        <f>INDEX({"31/01/2024 @ 15:42","macro_id=DBGlobal","label_id=144399","time=Q","year_from=2000","year_to=2023","direction=V","opt_font=true","fontsize=8","opt_color=true","col_desc=Calculation:10;Footnote 1:9;ID:8;Label:7;Reporter:6:s;Reporter:5:long;Indicator:4:s;Indicator:3:l;Unit:2:s;Unit:1:long;","numberformat=0.00","auto_tr=1999|2015","com=true","comp=4"},1,1)</f>
        <v>31/01/2024 @ 15:42</v>
      </c>
      <c r="F12" s="4" t="str">
        <f>INDEX({"31/01/2024 @ 15:42","macro_id=DBGlobal","label_id=101874","time=Q","year_from=2000","year_to=2023","direction=V","opt_font=true","fontsize=8","opt_color=true","col_desc=Calculation:10;Footnote 1:9;ID:8;Label:7;Reporter:6:s;Reporter:5:long;Indicator:4:s;Indicator:3:l;Unit:2:s;Unit:1:long;","numberformat=0.00","auto_tr=1999|2015","com=true","comp=4"},1,1)</f>
        <v>31/01/2024 @ 15:42</v>
      </c>
      <c r="G12" s="5" t="str">
        <f>INDEX({"31/01/2024 @ 15:42","macro_id=DBGlobal","label_id=32794","calc=SubScal(CPPY=100(L_32794),100)","time=Q","year_from=2000","year_to=2023","direction=V","opt_font=true","fontsize=8","opt_color=true","col_desc=Calculation:10;Footnote 1:9;ID:8;Label:7;Reporter:6:s;Reporter:5:long;Indicator:4:s;Indicator:3:l;Unit:2:s;Unit:1:long;","numberformat=0.00","auto_tr=1999|2015","com=true","comp=4"},1,1)</f>
        <v>31/01/2024 @ 15:42</v>
      </c>
      <c r="H12" s="5" t="str">
        <f>INDEX({"31/01/2024 @ 15:42","macro_id=DBGlobal","label_id=32793","calc=SubScal(CPPY=100(L_32793),100)","time=Q","year_from=2000","year_to=2023","direction=V","opt_font=true","fontsize=8","opt_color=true","col_desc=Calculation:10;Footnote 1:9;ID:8;Label:7;Reporter:6:s;Reporter:5:long;Indicator:4:s;Indicator:3:l;Unit:2:s;Unit:1:long;","numberformat=0.00","auto_tr=1999|2015","com=true","comp=4"},1,1)</f>
        <v>31/01/2024 @ 15:42</v>
      </c>
      <c r="I12" s="1" t="str">
        <f>INDEX({"31/01/2024 @ 15:42","macro_id=DBGlobal","label_id=89166","time=Q","year_from=2000","year_to=2023","direction=V","opt_font=true","fontsize=8","opt_color=true","col_desc=Calculation:10;Footnote 1:9;ID:8;Label:7;Reporter:6:s;Reporter:5:long;Indicator:4:s;Indicator:3:l;Unit:2:s;Unit:1:long;","numberformat=0.00","auto_tr=1999|2015","com=true","comp=4"},1,1)</f>
        <v>31/01/2024 @ 15:42</v>
      </c>
      <c r="J12" s="5" t="str">
        <f>INDEX({"31/01/2024 @ 15:42","macro_id=DBGlobal","label_id=88640","calc=SubScal(CPPY=100(L_88640),100)","time=Q","year_from=2000","year_to=2023","direction=V","opt_font=true","fontsize=8","opt_color=true","col_desc=Calculation:10;Footnote 1:9;ID:8;Label:7;Reporter:6:s;Reporter:5:long;Indicator:4:s;Indicator:3:l;Unit:2:s;Unit:1:long;","numberformat=0.00","auto_tr=1999|2015","com=true","comp=4"},1,1)</f>
        <v>31/01/2024 @ 15:42</v>
      </c>
      <c r="K12" s="5" t="str">
        <f>INDEX({"31/01/2024 @ 15:42","macro_id=DBGlobal","label_id=90869","calc=SubScal(CPPY=100(L_90869),100)","time=Q","year_from=2000","year_to=2023","direction=V","opt_font=true","fontsize=8","opt_color=true","col_desc=Calculation:10;Footnote 1:9;ID:8;Label:7;Reporter:6:s;Reporter:5:long;Indicator:4:s;Indicator:3:l;Unit:2:s;Unit:1:long;","numberformat=0.00","auto_tr=1999|2015","com=true","comp=4"},1,1)</f>
        <v>31/01/2024 @ 15:42</v>
      </c>
      <c r="L12" s="5" t="str">
        <f>INDEX({"31/01/2024 @ 15:42","macro_id=DBGlobal","label_id=90913","calc=SubScal(CPPY=100(L_90913),100)","time=Q","year_from=2000","year_to=2023","direction=V","opt_font=true","fontsize=8","opt_color=true","col_desc=Calculation:10;Footnote 1:9;ID:8;Label:7;Reporter:6:s;Reporter:5:long;Indicator:4:s;Indicator:3:l;Unit:2:s;Unit:1:long;","numberformat=0.00","auto_tr=1999|2015","com=true","comp=4"},1,1)</f>
        <v>31/01/2024 @ 15:42</v>
      </c>
      <c r="M12" s="5" t="str">
        <f>INDEX({"31/01/2024 @ 15:42","macro_id=DBGlobal","label_id=90935","calc=SubScal(CPPY=100(L_90935),100)","time=Q","year_from=2000","year_to=2023","direction=V","opt_font=true","fontsize=8","opt_color=true","col_desc=Calculation:10;Footnote 1:9;ID:8;Label:7;Reporter:6:s;Reporter:5:long;Indicator:4:s;Indicator:3:l;Unit:2:s;Unit:1:long;","numberformat=0.00","auto_tr=1999|2015","com=true","comp=4"},1,1)</f>
        <v>31/01/2024 @ 15:42</v>
      </c>
      <c r="N12" s="5" t="str">
        <f>INDEX({"31/01/2024 @ 15:42","macro_id=DBGlobal","label_id=90979","calc=SubScal(CPPY=100(L_90979),100)","time=Q","year_from=2000","year_to=2023","direction=V","opt_font=true","fontsize=8","opt_color=true","col_desc=Calculation:10;Footnote 1:9;ID:8;Label:7;Reporter:6:s;Reporter:5:long;Indicator:4:s;Indicator:3:l;Unit:2:s;Unit:1:long;","numberformat=0.00","auto_tr=1999|2015","com=true","comp=4"},1,1)</f>
        <v>31/01/2024 @ 15:42</v>
      </c>
      <c r="O12" s="5" t="str">
        <f>INDEX({"31/01/2024 @ 15:42","macro_id=DBGlobal","label_id=91001","calc=SubScal(CPPY=100(L_91001),100)","time=Q","year_from=2000","year_to=2023","direction=V","opt_font=true","fontsize=8","opt_color=true","col_desc=Calculation:10;Footnote 1:9;ID:8;Label:7;Reporter:6:s;Reporter:5:long;Indicator:4:s;Indicator:3:l;Unit:2:s;Unit:1:long;","numberformat=0.00","auto_tr=1999|2015","com=true","comp=4"},1,1)</f>
        <v>31/01/2024 @ 15:42</v>
      </c>
      <c r="P12" s="1" t="str">
        <f>INDEX({"31/01/2024 @ 15:42","macro_id=DBGlobal","label_id=32647","time=Q","year_from=2000","year_to=2023","direction=V","opt_font=true","fontsize=8","opt_color=true","col_desc=Calculation:10;Footnote 1:9;ID:8;Label:7;Reporter:6:s;Reporter:5:long;Indicator:4:s;Indicator:3:l;Unit:2:s;Unit:1:long;","numberformat=0.00","auto_tr=1999|2015","com=true","comp=4"},1,1)</f>
        <v>31/01/2024 @ 15:42</v>
      </c>
      <c r="Q12" s="1" t="str">
        <f>INDEX({"31/01/2024 @ 15:42","macro_id=DBGlobal","label_id=32675","time=Q","year_from=2000","year_to=2023","direction=V","opt_font=true","fontsize=8","opt_color=true","col_desc=Calculation:10;Footnote 1:9;ID:8;Label:7;Reporter:6:s;Reporter:5:long;Indicator:4:s;Indicator:3:l;Unit:2:s;Unit:1:long;","numberformat=0.00","auto_tr=1999|2015","com=true","comp=4"},1,1)</f>
        <v>31/01/2024 @ 15:42</v>
      </c>
      <c r="R12" s="1" t="str">
        <f>INDEX({"31/01/2024 @ 15:42","macro_id=DBGlobal","label_id=32693","time=Q","year_from=2000","year_to=2023","direction=V","opt_font=true","fontsize=8","opt_color=true","col_desc=Calculation:10;Footnote 1:9;ID:8;Label:7;Reporter:6:s;Reporter:5:long;Indicator:4:s;Indicator:3:l;Unit:2:s;Unit:1:long;","numberformat=0.00","auto_tr=1999|2015","com=true","comp=4"},1,1)</f>
        <v>31/01/2024 @ 15:42</v>
      </c>
      <c r="S12" s="5" t="str">
        <f>INDEX({"31/01/2024 @ 15:42","macro_id=DBGlobal","label_id=313","calc=SubScal(L_313,100)","time=Q","year_from=2000","year_to=2023","direction=V","opt_font=true","fontsize=8","opt_color=true","col_desc=Calculation:10;Footnote 1:9;ID:8;Label:7;Reporter:6:s;Reporter:5:long;Indicator:4:s;Indicator:3:l;Unit:2:s;Unit:1:long;","numberformat=0.00","auto_tr=1999|2015","com=true","comp=4"},1,1)</f>
        <v>31/01/2024 @ 15:42</v>
      </c>
      <c r="T12" s="1" t="str">
        <f>INDEX({"31/01/2024 @ 15:42","macro_id=DBGlobal","label_id=761","time=Q","year_from=2000","year_to=2023","direction=V","opt_font=true","fontsize=8","opt_color=true","col_desc=Calculation:10;Footnote 1:9;ID:8;Label:7;Reporter:6:s;Reporter:5:long;Indicator:4:s;Indicator:3:l;Unit:2:s;Unit:1:long;","numberformat=0.00","auto_tr=1999|2015","com=true","comp=4"},1,1)</f>
        <v>31/01/2024 @ 15:42</v>
      </c>
      <c r="U12" s="1" t="str">
        <f>INDEX({"31/01/2024 @ 15:42","macro_id=DBGlobal","label_id=1713","time=Q","year_from=2000","year_to=2023","direction=V","opt_font=true","fontsize=8","opt_color=true","col_desc=Calculation:10;Footnote 1:9;ID:8;Label:7;Reporter:6:s;Reporter:5:long;Indicator:4:s;Indicator:3:l;Unit:2:s;Unit:1:long;","numberformat=0.00","auto_tr=1999|2015","com=true","comp=4"},1,1)</f>
        <v>31/01/2024 @ 15:42</v>
      </c>
      <c r="V12" s="1" t="str">
        <f>INDEX({"31/01/2024 @ 15:42","macro_id=DBGlobal","label_id=962","time=Q","year_from=2000","year_to=2023","direction=V","opt_font=true","fontsize=8","opt_color=true","col_desc=Calculation:10;Footnote 1:9;ID:8;Label:7;Reporter:6:s;Reporter:5:long;Indicator:4:s;Indicator:3:l;Unit:2:s;Unit:1:long;","numberformat=0.00","auto_tr=1999|2015","com=true","comp=4"},1,1)</f>
        <v>31/01/2024 @ 15:42</v>
      </c>
      <c r="W12" s="5" t="str">
        <f>INDEX({"31/01/2024 @ 15:42","macro_id=DBGlobal","label_id=32208","calc=SubScal(L_32208,100)","time=Q","year_from=2000","year_to=2023","direction=V","opt_font=true","fontsize=8","opt_color=true","col_desc=Calculation:10;Footnote 1:9;ID:8;Label:7;Reporter:6:s;Reporter:5:long;Indicator:4:s;Indicator:3:l;Unit:2:s;Unit:1:long;","numberformat=0.00","auto_tr=1999|2015","com=true","comp=4"},1,1)</f>
        <v>31/01/2024 @ 15:42</v>
      </c>
      <c r="X12" s="6" t="str">
        <f>INDEX({"31/01/2024 @ 15:42","macro_id=DBGlobal","label_id=87263","calc=SubScal(CPPY=100(AddNull(L_87263,L_87337)),100)","time=Q","year_from=2000","year_to=2023","direction=V","opt_font=true","fontsize=8","opt_color=true","col_desc=Calculation:10;Footnote 1:9;ID:8;Label:7;Reporter:6:s;Reporter:5:long;Indicator:4:s;Indicator:3:l;Unit:2:s;Unit:1:long;","numberformat=0.00","auto_tr=1999|2015","com=true","comp=4"},1,1)</f>
        <v>31/01/2024 @ 15:42</v>
      </c>
      <c r="Y12" s="6" t="str">
        <f>INDEX({"31/01/2024 @ 15:42","macro_id=DBGlobal","label_id=87300","calc=SubScal(CPPY=100(AddNull(L_87300,L_87374)),100)","time=Q","year_from=2000","year_to=2023","direction=V","opt_font=true","fontsize=8","opt_color=true","col_desc=Calculation:10;Footnote 1:9;ID:8;Label:7;Reporter:6:s;Reporter:5:long;Indicator:4:s;Indicator:3:l;Unit:2:s;Unit:1:long;","numberformat=0.00","auto_tr=1999|2015","com=true","comp=4"},1,1)</f>
        <v>31/01/2024 @ 15:42</v>
      </c>
      <c r="Z12" s="1" t="str">
        <f>INDEX({"31/01/2024 @ 15:42","macro_id=DBGlobal","label_id=88732","time=Q","year_from=2000","year_to=2023","direction=V","opt_font=true","fontsize=8","opt_color=true","col_desc=Calculation:10;Footnote 1:9;ID:8;Label:7;Reporter:6:s;Reporter:5:long;Indicator:4:s;Indicator:3:l;Unit:2:s;Unit:1:long;","numberformat=0.00","auto_tr=1999|2015","com=true","comp=4"},1,1)</f>
        <v>31/01/2024 @ 15:42</v>
      </c>
      <c r="AA12" s="5" t="str">
        <f>INDEX({"31/01/2024 @ 15:42","macro_id=DBGlobal","label_id=90341","calc=AddNull(L_90341,L_90363)","time=Q","year_from=2000","year_to=2023","direction=V","opt_font=true","fontsize=8","opt_color=true","col_desc=Calculation:10;Footnote 1:9;ID:8;Label:7;Reporter:6:s;Reporter:5:long;Indicator:4:s;Indicator:3:l;Unit:2:s;Unit:1:long;","numberformat=0.00","auto_tr=1999|2015","com=true","comp=4"},1,1)</f>
        <v>31/01/2024 @ 15:42</v>
      </c>
      <c r="AB12" s="1" t="str">
        <f>INDEX({"31/01/2024 @ 15:42","macro_id=DBGlobal","label_id=90385","time=Q","year_from=2000","year_to=2023","direction=V","opt_font=true","fontsize=8","opt_color=true","col_desc=Calculation:10;Footnote 1:9;ID:8;Label:7;Reporter:6:s;Reporter:5:long;Indicator:4:s;Indicator:3:l;Unit:2:s;Unit:1:long;","numberformat=0.00","auto_tr=1999|2015","com=true","comp=4"},1,1)</f>
        <v>31/01/2024 @ 15:42</v>
      </c>
      <c r="AC12" s="1" t="str">
        <f>INDEX({"31/01/2024 @ 15:42","macro_id=DBGlobal","label_id=90407","time=Q","year_from=2000","year_to=2023","direction=V","opt_font=true","fontsize=8","opt_color=true","col_desc=Calculation:10;Footnote 1:9;ID:8;Label:7;Reporter:6:s;Reporter:5:long;Indicator:4:s;Indicator:3:l;Unit:2:s;Unit:1:long;","numberformat=0.00","auto_tr=1999|2015","com=true","comp=4"},1,1)</f>
        <v>31/01/2024 @ 15:42</v>
      </c>
      <c r="AD12" s="1" t="str">
        <f>INDEX({"31/01/2024 @ 15:42","macro_id=DBGlobal","label_id=90495","time=Q","year_from=2000","year_to=2023","direction=V","opt_font=true","fontsize=8","opt_color=true","col_desc=Calculation:10;Footnote 1:9;ID:8;Label:7;Reporter:6:s;Reporter:5:long;Indicator:4:s;Indicator:3:l;Unit:2:s;Unit:1:long;","numberformat=0.00","auto_tr=1999|2015","com=true","comp=4"},1,1)</f>
        <v>31/01/2024 @ 15:42</v>
      </c>
      <c r="AE12" s="1" t="str">
        <f>INDEX({"31/01/2024 @ 15:42","macro_id=DBGlobal","label_id=90517","time=Q","year_from=2000","year_to=2023","direction=V","opt_font=true","fontsize=8","opt_color=true","col_desc=Calculation:10;Footnote 1:9;ID:8;Label:7;Reporter:6:s;Reporter:5:long;Indicator:4:s;Indicator:3:l;Unit:2:s;Unit:1:long;","numberformat=0.00","auto_tr=1999|2015","com=true","comp=4"},1,1)</f>
        <v>31/01/2024 @ 15:42</v>
      </c>
      <c r="AF12" s="5" t="str">
        <f>INDEX({"31/01/2024 @ 15:42","macro_id=DBGlobal","label_id=89615","calc=SubScal(L_89615,100)","time=Q","year_from=2000","year_to=2023","direction=V","opt_font=true","fontsize=8","opt_color=true","col_desc=Calculation:10;Footnote 1:9;ID:8;Label:7;Reporter:6:s;Reporter:5:long;Indicator:4:s;Indicator:3:l;Unit:2:s;Unit:1:long;","numberformat=0.00","auto_tr=1999|2015","com=true","comp=4"},1,1)</f>
        <v>31/01/2024 @ 15:42</v>
      </c>
      <c r="AG12" s="4" t="str">
        <f>INDEX({"31/01/2024 @ 15:42","macro_id=DBGlobal","label_id=144766","time=Q","year_from=2000","year_to=2023","direction=V","opt_font=true","fontsize=8","opt_color=true","col_desc=Calculation:10;Footnote 1:9;ID:8;Label:7;Reporter:6:s;Reporter:5:long;Indicator:4:s;Indicator:3:l;Unit:2:s;Unit:1:long;","numberformat=0.00","auto_tr=1999|2015","com=true","comp=4"},1,1)</f>
        <v>31/01/2024 @ 15:42</v>
      </c>
    </row>
    <row r="13" spans="1:33" s="11" customFormat="1" x14ac:dyDescent="0.3">
      <c r="A13" s="11" t="s">
        <v>19</v>
      </c>
      <c r="B13" s="12">
        <v>4.8214176000000002</v>
      </c>
      <c r="C13" s="12">
        <v>73.989999999999995</v>
      </c>
      <c r="D13" s="12">
        <v>1.7557532</v>
      </c>
      <c r="E13" s="12">
        <v>3.25</v>
      </c>
      <c r="F13" s="13">
        <v>26.926666699999998</v>
      </c>
      <c r="G13" s="12">
        <v>7.6971201000000002</v>
      </c>
      <c r="H13" s="12">
        <v>23.9908067</v>
      </c>
      <c r="I13" s="12">
        <v>-1.3115840999999999</v>
      </c>
      <c r="J13" s="12">
        <v>5.4132952999999997</v>
      </c>
      <c r="K13" s="12">
        <v>2.8418359</v>
      </c>
      <c r="L13" s="12">
        <v>-3.2835385000000001</v>
      </c>
      <c r="M13" s="12">
        <v>17.557642399999999</v>
      </c>
      <c r="N13" s="12">
        <v>24.694227300000001</v>
      </c>
      <c r="O13" s="12">
        <v>22.5229936</v>
      </c>
      <c r="P13" s="7">
        <v>3803.7</v>
      </c>
      <c r="Q13" s="7">
        <v>274.60000000000002</v>
      </c>
      <c r="R13" s="7">
        <v>6.7</v>
      </c>
      <c r="S13" s="12">
        <v>13.155225400000001</v>
      </c>
      <c r="T13" s="12">
        <v>12</v>
      </c>
      <c r="U13" s="12">
        <v>50.2</v>
      </c>
      <c r="V13" s="12">
        <v>256.03666670000001</v>
      </c>
      <c r="W13" s="7" t="s">
        <v>107</v>
      </c>
      <c r="X13" s="7" t="s">
        <v>107</v>
      </c>
      <c r="Y13" s="7" t="s">
        <v>107</v>
      </c>
      <c r="Z13" s="12">
        <v>-9.5939759000000002</v>
      </c>
      <c r="AA13" s="12">
        <v>58.874740899999999</v>
      </c>
      <c r="AB13" s="12">
        <v>21.794286</v>
      </c>
      <c r="AC13" s="12">
        <v>24.485680899999998</v>
      </c>
      <c r="AD13" s="12">
        <v>62.083517499999999</v>
      </c>
      <c r="AE13" s="12">
        <v>67.238225200000002</v>
      </c>
      <c r="AF13" s="7" t="s">
        <v>107</v>
      </c>
      <c r="AG13" s="12">
        <v>54.1078495</v>
      </c>
    </row>
    <row r="14" spans="1:33" s="11" customFormat="1" hidden="1" outlineLevel="1" x14ac:dyDescent="0.3">
      <c r="A14" s="11" t="s">
        <v>20</v>
      </c>
      <c r="B14" s="12">
        <v>4.3154814000000004</v>
      </c>
      <c r="C14" s="12">
        <v>74.493333300000003</v>
      </c>
      <c r="D14" s="12">
        <v>1.6742492</v>
      </c>
      <c r="E14" s="12">
        <v>3.9166666999999999</v>
      </c>
      <c r="F14" s="13">
        <v>26.766666699999998</v>
      </c>
      <c r="G14" s="12">
        <v>7.8537686999999998</v>
      </c>
      <c r="H14" s="12">
        <v>16.8201453</v>
      </c>
      <c r="I14" s="12">
        <v>-0.22031980000000001</v>
      </c>
      <c r="J14" s="12">
        <v>4.8438648000000004</v>
      </c>
      <c r="K14" s="12">
        <v>2.9501233999999998</v>
      </c>
      <c r="L14" s="12">
        <v>-1.5054114000000001</v>
      </c>
      <c r="M14" s="12">
        <v>-0.10669090000000001</v>
      </c>
      <c r="N14" s="12">
        <v>26.186433099999999</v>
      </c>
      <c r="O14" s="12">
        <v>18.280184999999999</v>
      </c>
      <c r="P14" s="7">
        <v>3834.9</v>
      </c>
      <c r="Q14" s="7">
        <v>268.89999999999998</v>
      </c>
      <c r="R14" s="7">
        <v>6.6</v>
      </c>
      <c r="S14" s="12">
        <v>13.133639499999999</v>
      </c>
      <c r="T14" s="12">
        <v>11</v>
      </c>
      <c r="U14" s="12">
        <v>51.376666700000001</v>
      </c>
      <c r="V14" s="12">
        <v>259.06666669999998</v>
      </c>
      <c r="W14" s="7" t="s">
        <v>107</v>
      </c>
      <c r="X14" s="7" t="s">
        <v>107</v>
      </c>
      <c r="Y14" s="7" t="s">
        <v>107</v>
      </c>
      <c r="Z14" s="12">
        <v>-7.2500067000000001</v>
      </c>
      <c r="AA14" s="12">
        <v>53.900798700000003</v>
      </c>
      <c r="AB14" s="12">
        <v>20.324562199999999</v>
      </c>
      <c r="AC14" s="12">
        <v>27.030015299999999</v>
      </c>
      <c r="AD14" s="12">
        <v>65.1843839</v>
      </c>
      <c r="AE14" s="12">
        <v>66.439760199999995</v>
      </c>
      <c r="AF14" s="7" t="s">
        <v>107</v>
      </c>
      <c r="AG14" s="12">
        <v>54.338079700000002</v>
      </c>
    </row>
    <row r="15" spans="1:33" s="11" customFormat="1" hidden="1" outlineLevel="1" x14ac:dyDescent="0.3">
      <c r="A15" s="11" t="s">
        <v>21</v>
      </c>
      <c r="B15" s="12">
        <v>3.5071058000000002</v>
      </c>
      <c r="C15" s="12">
        <v>74.819999999999993</v>
      </c>
      <c r="D15" s="12">
        <v>1.9670194000000001</v>
      </c>
      <c r="E15" s="17">
        <v>4.3333332999999996</v>
      </c>
      <c r="F15" s="13">
        <v>30.673333299999999</v>
      </c>
      <c r="G15" s="12">
        <v>9.5357413999999991</v>
      </c>
      <c r="H15" s="12">
        <v>14.4221358</v>
      </c>
      <c r="I15" s="12">
        <v>-1.7023724</v>
      </c>
      <c r="J15" s="12">
        <v>3.9184290000000002</v>
      </c>
      <c r="K15" s="12">
        <v>3.3325442000000001</v>
      </c>
      <c r="L15" s="12">
        <v>-4.2905902999999999</v>
      </c>
      <c r="M15" s="12">
        <v>10.2024525</v>
      </c>
      <c r="N15" s="12">
        <v>23.764988200000001</v>
      </c>
      <c r="O15" s="12">
        <v>22.815921899999999</v>
      </c>
      <c r="P15" s="7">
        <v>3881.2</v>
      </c>
      <c r="Q15" s="7">
        <v>261.39999999999998</v>
      </c>
      <c r="R15" s="7">
        <v>6.3</v>
      </c>
      <c r="S15" s="12">
        <v>13.026597900000001</v>
      </c>
      <c r="T15" s="12">
        <v>11</v>
      </c>
      <c r="U15" s="12">
        <v>52.5966667</v>
      </c>
      <c r="V15" s="12">
        <v>261.14999999999998</v>
      </c>
      <c r="W15" s="7" t="s">
        <v>107</v>
      </c>
      <c r="X15" s="7" t="s">
        <v>107</v>
      </c>
      <c r="Y15" s="7" t="s">
        <v>107</v>
      </c>
      <c r="Z15" s="12">
        <v>-6.3291709999999997</v>
      </c>
      <c r="AA15" s="12">
        <v>53.108349199999999</v>
      </c>
      <c r="AB15" s="12">
        <v>19.344890500000002</v>
      </c>
      <c r="AC15" s="12">
        <v>29.6718206</v>
      </c>
      <c r="AD15" s="12">
        <v>67.671164000000005</v>
      </c>
      <c r="AE15" s="12">
        <v>69.796224300000006</v>
      </c>
      <c r="AF15" s="7" t="s">
        <v>107</v>
      </c>
      <c r="AG15" s="12">
        <v>54.315916799999997</v>
      </c>
    </row>
    <row r="16" spans="1:33" s="11" customFormat="1" hidden="1" outlineLevel="1" x14ac:dyDescent="0.3">
      <c r="A16" s="11" t="s">
        <v>22</v>
      </c>
      <c r="B16" s="12">
        <v>2.8994336000000001</v>
      </c>
      <c r="C16" s="12">
        <v>75.3</v>
      </c>
      <c r="D16" s="12">
        <v>2.2218200000000001</v>
      </c>
      <c r="E16" s="17">
        <v>4.75</v>
      </c>
      <c r="F16" s="13">
        <v>29.7233333</v>
      </c>
      <c r="G16" s="12">
        <v>15.829507599999999</v>
      </c>
      <c r="H16" s="12">
        <v>10.6450333</v>
      </c>
      <c r="I16" s="12">
        <v>-8.1612387999999996</v>
      </c>
      <c r="J16" s="12">
        <v>3.9057800999999999</v>
      </c>
      <c r="K16" s="12">
        <v>2.7388986000000002</v>
      </c>
      <c r="L16" s="12">
        <v>25.79616</v>
      </c>
      <c r="M16" s="12">
        <v>-0.87465289999999996</v>
      </c>
      <c r="N16" s="12">
        <v>25.379671200000001</v>
      </c>
      <c r="O16" s="12">
        <v>28.227369899999999</v>
      </c>
      <c r="P16" s="7">
        <v>3904.8</v>
      </c>
      <c r="Q16" s="7">
        <v>250</v>
      </c>
      <c r="R16" s="7">
        <v>6</v>
      </c>
      <c r="S16" s="12">
        <v>14.572705300000001</v>
      </c>
      <c r="T16" s="12">
        <v>11</v>
      </c>
      <c r="U16" s="12">
        <v>53.633333299999997</v>
      </c>
      <c r="V16" s="12">
        <v>263.98333330000003</v>
      </c>
      <c r="W16" s="7" t="s">
        <v>107</v>
      </c>
      <c r="X16" s="7" t="s">
        <v>107</v>
      </c>
      <c r="Y16" s="7" t="s">
        <v>107</v>
      </c>
      <c r="Z16" s="12">
        <v>-10.7852386</v>
      </c>
      <c r="AA16" s="12">
        <v>52.595122699999997</v>
      </c>
      <c r="AB16" s="12">
        <v>23.2237683</v>
      </c>
      <c r="AC16" s="12">
        <v>30.324709599999998</v>
      </c>
      <c r="AD16" s="12">
        <v>71.372936699999997</v>
      </c>
      <c r="AE16" s="12">
        <v>77.516537200000002</v>
      </c>
      <c r="AF16" s="7" t="s">
        <v>107</v>
      </c>
      <c r="AG16" s="12">
        <v>55.705418999999999</v>
      </c>
    </row>
    <row r="17" spans="1:33" s="11" customFormat="1" hidden="1" outlineLevel="1" x14ac:dyDescent="0.3">
      <c r="A17" s="11" t="s">
        <v>23</v>
      </c>
      <c r="B17" s="12">
        <v>3.0047543999999999</v>
      </c>
      <c r="C17" s="12">
        <v>75.393333299999995</v>
      </c>
      <c r="D17" s="12">
        <v>1.8966527</v>
      </c>
      <c r="E17" s="17">
        <v>4.75</v>
      </c>
      <c r="F17" s="13">
        <v>25.873333299999999</v>
      </c>
      <c r="G17" s="12">
        <v>11.9766759</v>
      </c>
      <c r="H17" s="12">
        <v>8.7566317999999992</v>
      </c>
      <c r="I17" s="12">
        <v>-2.5607012</v>
      </c>
      <c r="J17" s="12">
        <v>4.4859833</v>
      </c>
      <c r="K17" s="12">
        <v>2.5357611000000002</v>
      </c>
      <c r="L17" s="12">
        <v>0.77758890000000003</v>
      </c>
      <c r="M17" s="12">
        <v>9.4294046999999992</v>
      </c>
      <c r="N17" s="12">
        <v>18.629231000000001</v>
      </c>
      <c r="O17" s="12">
        <v>16.6128295</v>
      </c>
      <c r="P17" s="7">
        <v>3860</v>
      </c>
      <c r="Q17" s="7">
        <v>246.9</v>
      </c>
      <c r="R17" s="7">
        <v>6</v>
      </c>
      <c r="S17" s="12">
        <v>16.545828100000001</v>
      </c>
      <c r="T17" s="12">
        <v>11</v>
      </c>
      <c r="U17" s="12">
        <v>55.316666699999999</v>
      </c>
      <c r="V17" s="12">
        <v>265.72000000000003</v>
      </c>
      <c r="W17" s="12">
        <v>11.050060999999999</v>
      </c>
      <c r="X17" s="7" t="s">
        <v>107</v>
      </c>
      <c r="Y17" s="7" t="s">
        <v>107</v>
      </c>
      <c r="Z17" s="12">
        <v>-9.2496232999999997</v>
      </c>
      <c r="AA17" s="12">
        <v>57.826327999999997</v>
      </c>
      <c r="AB17" s="12">
        <v>21.1222788</v>
      </c>
      <c r="AC17" s="12">
        <v>25.814367900000001</v>
      </c>
      <c r="AD17" s="12">
        <v>69.293166600000006</v>
      </c>
      <c r="AE17" s="12">
        <v>74.056141299999993</v>
      </c>
      <c r="AF17" s="12">
        <v>45.256616800000003</v>
      </c>
      <c r="AG17" s="12">
        <v>48.974225099999998</v>
      </c>
    </row>
    <row r="18" spans="1:33" s="11" customFormat="1" hidden="1" outlineLevel="1" x14ac:dyDescent="0.3">
      <c r="A18" s="11" t="s">
        <v>24</v>
      </c>
      <c r="B18" s="12">
        <v>2.2522867999999998</v>
      </c>
      <c r="C18" s="12">
        <v>76.483333299999998</v>
      </c>
      <c r="D18" s="12">
        <v>2.6713800000000001</v>
      </c>
      <c r="E18" s="17">
        <v>4.5833332999999996</v>
      </c>
      <c r="F18" s="13">
        <v>27.273333300000001</v>
      </c>
      <c r="G18" s="12">
        <v>15.3332134</v>
      </c>
      <c r="H18" s="12">
        <v>14.895914100000001</v>
      </c>
      <c r="I18" s="12">
        <v>-0.37435849999999998</v>
      </c>
      <c r="J18" s="12">
        <v>4.4943184</v>
      </c>
      <c r="K18" s="12">
        <v>4.9225618000000004</v>
      </c>
      <c r="L18" s="12">
        <v>5.2488593000000003</v>
      </c>
      <c r="M18" s="12">
        <v>4.3867111999999997</v>
      </c>
      <c r="N18" s="12">
        <v>13.0513599</v>
      </c>
      <c r="O18" s="12">
        <v>13.478499100000001</v>
      </c>
      <c r="P18" s="7">
        <v>3859</v>
      </c>
      <c r="Q18" s="7">
        <v>231.1</v>
      </c>
      <c r="R18" s="7">
        <v>5.7</v>
      </c>
      <c r="S18" s="12">
        <v>17.6356848</v>
      </c>
      <c r="T18" s="12">
        <v>11</v>
      </c>
      <c r="U18" s="12">
        <v>56.763333299999999</v>
      </c>
      <c r="V18" s="12">
        <v>257.51</v>
      </c>
      <c r="W18" s="12">
        <v>6.1429416000000003</v>
      </c>
      <c r="X18" s="7" t="s">
        <v>107</v>
      </c>
      <c r="Y18" s="7" t="s">
        <v>107</v>
      </c>
      <c r="Z18" s="12">
        <v>-7.3225027999999996</v>
      </c>
      <c r="AA18" s="12">
        <v>52.320664399999998</v>
      </c>
      <c r="AB18" s="12">
        <v>19.995658899999999</v>
      </c>
      <c r="AC18" s="12">
        <v>28.968938999999999</v>
      </c>
      <c r="AD18" s="12">
        <v>64.966580899999997</v>
      </c>
      <c r="AE18" s="12">
        <v>66.251843100000002</v>
      </c>
      <c r="AF18" s="12">
        <v>47.7674643</v>
      </c>
      <c r="AG18" s="12">
        <v>48.9681791</v>
      </c>
    </row>
    <row r="19" spans="1:33" s="11" customFormat="1" hidden="1" outlineLevel="1" x14ac:dyDescent="0.3">
      <c r="A19" s="11" t="s">
        <v>25</v>
      </c>
      <c r="B19" s="12">
        <v>1.8991327</v>
      </c>
      <c r="C19" s="12">
        <v>76.516666700000002</v>
      </c>
      <c r="D19" s="12">
        <v>2.2676647000000001</v>
      </c>
      <c r="E19" s="17">
        <v>4.1666667000000004</v>
      </c>
      <c r="F19" s="13">
        <v>25.303333299999998</v>
      </c>
      <c r="G19" s="12">
        <v>14.1153788</v>
      </c>
      <c r="H19" s="12">
        <v>15.9100263</v>
      </c>
      <c r="I19" s="12">
        <v>-1.0275886999999999</v>
      </c>
      <c r="J19" s="12">
        <v>4.1411560999999999</v>
      </c>
      <c r="K19" s="12">
        <v>5.9066897999999997</v>
      </c>
      <c r="L19" s="12">
        <v>6.4108647000000003</v>
      </c>
      <c r="M19" s="12">
        <v>-16.445242100000002</v>
      </c>
      <c r="N19" s="12">
        <v>7.7011655000000001</v>
      </c>
      <c r="O19" s="12">
        <v>0.62527869999999997</v>
      </c>
      <c r="P19" s="7">
        <v>3891</v>
      </c>
      <c r="Q19" s="7">
        <v>230.9</v>
      </c>
      <c r="R19" s="7">
        <v>5.6</v>
      </c>
      <c r="S19" s="12">
        <v>16.753100799999999</v>
      </c>
      <c r="T19" s="12">
        <v>11</v>
      </c>
      <c r="U19" s="12">
        <v>57.14</v>
      </c>
      <c r="V19" s="12">
        <v>251.96666669999999</v>
      </c>
      <c r="W19" s="12">
        <v>-1.4156287000000001</v>
      </c>
      <c r="X19" s="7" t="s">
        <v>107</v>
      </c>
      <c r="Y19" s="7" t="s">
        <v>107</v>
      </c>
      <c r="Z19" s="12">
        <v>-1.3195969000000001</v>
      </c>
      <c r="AA19" s="12">
        <v>52.661151099999998</v>
      </c>
      <c r="AB19" s="12">
        <v>19.2879538</v>
      </c>
      <c r="AC19" s="12">
        <v>25.769333199999998</v>
      </c>
      <c r="AD19" s="12">
        <v>63.1924049</v>
      </c>
      <c r="AE19" s="12">
        <v>60.910843</v>
      </c>
      <c r="AF19" s="12">
        <v>49.001926400000002</v>
      </c>
      <c r="AG19" s="12">
        <v>50.857767199999998</v>
      </c>
    </row>
    <row r="20" spans="1:33" s="11" customFormat="1" hidden="1" outlineLevel="1" x14ac:dyDescent="0.3">
      <c r="A20" s="11" t="s">
        <v>26</v>
      </c>
      <c r="B20" s="12">
        <v>1.4300580000000001</v>
      </c>
      <c r="C20" s="12">
        <v>76.746666700000006</v>
      </c>
      <c r="D20" s="12">
        <v>1.9212041</v>
      </c>
      <c r="E20" s="17">
        <v>3.4166666999999999</v>
      </c>
      <c r="F20" s="13">
        <v>19.350000000000001</v>
      </c>
      <c r="G20" s="12">
        <v>18.704367099999999</v>
      </c>
      <c r="H20" s="12">
        <v>11.6729561</v>
      </c>
      <c r="I20" s="12">
        <v>-11.446569999999999</v>
      </c>
      <c r="J20" s="12">
        <v>3.2778659000000001</v>
      </c>
      <c r="K20" s="12">
        <v>4.8003121000000002</v>
      </c>
      <c r="L20" s="12">
        <v>3.5436695</v>
      </c>
      <c r="M20" s="12">
        <v>-7.4587916999999999</v>
      </c>
      <c r="N20" s="12">
        <v>-1.0016252999999999</v>
      </c>
      <c r="O20" s="12">
        <v>-3.7435572000000001</v>
      </c>
      <c r="P20" s="7">
        <v>3863.1</v>
      </c>
      <c r="Q20" s="7">
        <v>227.6</v>
      </c>
      <c r="R20" s="7">
        <v>5.6</v>
      </c>
      <c r="S20" s="12">
        <v>20.640464099999999</v>
      </c>
      <c r="T20" s="12">
        <v>9.75</v>
      </c>
      <c r="U20" s="12">
        <v>57.463333300000002</v>
      </c>
      <c r="V20" s="12">
        <v>251.3</v>
      </c>
      <c r="W20" s="12">
        <v>-0.1066097</v>
      </c>
      <c r="X20" s="7" t="s">
        <v>107</v>
      </c>
      <c r="Y20" s="7" t="s">
        <v>107</v>
      </c>
      <c r="Z20" s="12">
        <v>-6.5573858999999999</v>
      </c>
      <c r="AA20" s="12">
        <v>53.621181300000003</v>
      </c>
      <c r="AB20" s="12">
        <v>23.799269299999999</v>
      </c>
      <c r="AC20" s="12">
        <v>24.455459399999999</v>
      </c>
      <c r="AD20" s="12">
        <v>62.7869563</v>
      </c>
      <c r="AE20" s="12">
        <v>64.662890300000001</v>
      </c>
      <c r="AF20" s="12">
        <v>46.673202500000002</v>
      </c>
      <c r="AG20" s="12">
        <v>52.253359000000003</v>
      </c>
    </row>
    <row r="21" spans="1:33" s="11" customFormat="1" hidden="1" outlineLevel="1" x14ac:dyDescent="0.3">
      <c r="A21" s="11" t="s">
        <v>27</v>
      </c>
      <c r="B21" s="12">
        <v>7.1740499999999999E-2</v>
      </c>
      <c r="C21" s="12">
        <v>77.180000000000007</v>
      </c>
      <c r="D21" s="12">
        <v>2.3697940000000002</v>
      </c>
      <c r="E21" s="17">
        <v>3.25</v>
      </c>
      <c r="F21" s="13">
        <v>21.1333333</v>
      </c>
      <c r="G21" s="12">
        <v>22.7533773</v>
      </c>
      <c r="H21" s="12">
        <v>12.811794300000001</v>
      </c>
      <c r="I21" s="12">
        <v>-6.4514718000000002</v>
      </c>
      <c r="J21" s="12">
        <v>4.4922940000000002</v>
      </c>
      <c r="K21" s="12">
        <v>7.4807220000000001</v>
      </c>
      <c r="L21" s="12">
        <v>5.0715006000000002</v>
      </c>
      <c r="M21" s="12">
        <v>-1.3636744999999999</v>
      </c>
      <c r="N21" s="12">
        <v>6.5379098999999998</v>
      </c>
      <c r="O21" s="12">
        <v>7.0791336999999999</v>
      </c>
      <c r="P21" s="7">
        <v>3840</v>
      </c>
      <c r="Q21" s="7">
        <v>236.2</v>
      </c>
      <c r="R21" s="7">
        <v>5.8</v>
      </c>
      <c r="S21" s="12">
        <v>19.4503299</v>
      </c>
      <c r="T21" s="12">
        <v>8.5</v>
      </c>
      <c r="U21" s="12">
        <v>58.77</v>
      </c>
      <c r="V21" s="12">
        <v>244.0433333</v>
      </c>
      <c r="W21" s="12">
        <v>-0.1099504</v>
      </c>
      <c r="X21" s="7" t="s">
        <v>107</v>
      </c>
      <c r="Y21" s="7" t="s">
        <v>107</v>
      </c>
      <c r="Z21" s="12">
        <v>-6.6630696</v>
      </c>
      <c r="AA21" s="12">
        <v>57.4276622</v>
      </c>
      <c r="AB21" s="12">
        <v>22.3495496</v>
      </c>
      <c r="AC21" s="12">
        <v>23.246352000000002</v>
      </c>
      <c r="AD21" s="12">
        <v>61.3007937</v>
      </c>
      <c r="AE21" s="12">
        <v>64.324357500000005</v>
      </c>
      <c r="AF21" s="12">
        <v>46.845998299999998</v>
      </c>
      <c r="AG21" s="12">
        <v>48.3075434</v>
      </c>
    </row>
    <row r="22" spans="1:33" s="11" customFormat="1" hidden="1" outlineLevel="1" x14ac:dyDescent="0.3">
      <c r="A22" s="11" t="s">
        <v>28</v>
      </c>
      <c r="B22" s="12">
        <v>1.2490021</v>
      </c>
      <c r="C22" s="12">
        <v>77.933333300000001</v>
      </c>
      <c r="D22" s="12">
        <v>1.8958379000000001</v>
      </c>
      <c r="E22" s="17">
        <v>3.25</v>
      </c>
      <c r="F22" s="13">
        <v>25.053333299999998</v>
      </c>
      <c r="G22" s="12">
        <v>19.959955300000001</v>
      </c>
      <c r="H22" s="12">
        <v>7.8411223999999997</v>
      </c>
      <c r="I22" s="12">
        <v>-5.0556701999999998</v>
      </c>
      <c r="J22" s="12">
        <v>4.6410207999999997</v>
      </c>
      <c r="K22" s="12">
        <v>5.9646938</v>
      </c>
      <c r="L22" s="12">
        <v>5.7317767999999996</v>
      </c>
      <c r="M22" s="12">
        <v>-0.9116746</v>
      </c>
      <c r="N22" s="12">
        <v>8.1283142999999995</v>
      </c>
      <c r="O22" s="12">
        <v>7.1950995999999998</v>
      </c>
      <c r="P22" s="7">
        <v>3867.5</v>
      </c>
      <c r="Q22" s="7">
        <v>229.4</v>
      </c>
      <c r="R22" s="7">
        <v>5.6</v>
      </c>
      <c r="S22" s="12">
        <v>17.403215200000002</v>
      </c>
      <c r="T22" s="12">
        <v>9</v>
      </c>
      <c r="U22" s="12">
        <v>59.856666699999998</v>
      </c>
      <c r="V22" s="12">
        <v>242.9233333</v>
      </c>
      <c r="W22" s="12">
        <v>1.9476907000000001</v>
      </c>
      <c r="X22" s="7" t="s">
        <v>107</v>
      </c>
      <c r="Y22" s="7" t="s">
        <v>107</v>
      </c>
      <c r="Z22" s="12">
        <v>-5.9609851999999997</v>
      </c>
      <c r="AA22" s="12">
        <v>53.225492699999997</v>
      </c>
      <c r="AB22" s="12">
        <v>20.8617615</v>
      </c>
      <c r="AC22" s="12">
        <v>25.4791083</v>
      </c>
      <c r="AD22" s="12">
        <v>61.016021799999997</v>
      </c>
      <c r="AE22" s="12">
        <v>60.582384300000001</v>
      </c>
      <c r="AF22" s="12">
        <v>52.118614399999998</v>
      </c>
      <c r="AG22" s="12">
        <v>49.913877399999997</v>
      </c>
    </row>
    <row r="23" spans="1:33" s="11" customFormat="1" hidden="1" outlineLevel="1" x14ac:dyDescent="0.3">
      <c r="A23" s="11" t="s">
        <v>29</v>
      </c>
      <c r="B23" s="12">
        <v>1.6677649999999999</v>
      </c>
      <c r="C23" s="12">
        <v>77.973333299999993</v>
      </c>
      <c r="D23" s="12">
        <v>1.9037246000000001</v>
      </c>
      <c r="E23" s="17">
        <v>3.25</v>
      </c>
      <c r="F23" s="13">
        <v>26.93</v>
      </c>
      <c r="G23" s="12">
        <v>21.1076485</v>
      </c>
      <c r="H23" s="12">
        <v>7.6240125000000001</v>
      </c>
      <c r="I23" s="12">
        <v>-6.2143839999999999</v>
      </c>
      <c r="J23" s="12">
        <v>4.8152831999999997</v>
      </c>
      <c r="K23" s="12">
        <v>9.7120806000000002</v>
      </c>
      <c r="L23" s="12">
        <v>5.0627199000000003</v>
      </c>
      <c r="M23" s="12">
        <v>6.3964467999999997</v>
      </c>
      <c r="N23" s="12">
        <v>5.3679379000000003</v>
      </c>
      <c r="O23" s="12">
        <v>9.7424874999999993</v>
      </c>
      <c r="P23" s="7">
        <v>3886.2</v>
      </c>
      <c r="Q23" s="7">
        <v>245.5</v>
      </c>
      <c r="R23" s="7">
        <v>5.9</v>
      </c>
      <c r="S23" s="12">
        <v>18.3732203</v>
      </c>
      <c r="T23" s="12">
        <v>9.5</v>
      </c>
      <c r="U23" s="12">
        <v>59.7</v>
      </c>
      <c r="V23" s="12">
        <v>245.30333329999999</v>
      </c>
      <c r="W23" s="12">
        <v>6.2033313999999997</v>
      </c>
      <c r="X23" s="7" t="s">
        <v>107</v>
      </c>
      <c r="Y23" s="7" t="s">
        <v>107</v>
      </c>
      <c r="Z23" s="12">
        <v>-4.3405519000000004</v>
      </c>
      <c r="AA23" s="12">
        <v>54.922635499999998</v>
      </c>
      <c r="AB23" s="12">
        <v>19.706720000000001</v>
      </c>
      <c r="AC23" s="12">
        <v>25.549458300000001</v>
      </c>
      <c r="AD23" s="12">
        <v>57.348762000000001</v>
      </c>
      <c r="AE23" s="12">
        <v>57.527575900000002</v>
      </c>
      <c r="AF23" s="12">
        <v>63.311642599999999</v>
      </c>
      <c r="AG23" s="12">
        <v>52.289450100000003</v>
      </c>
    </row>
    <row r="24" spans="1:33" s="11" customFormat="1" hidden="1" outlineLevel="1" x14ac:dyDescent="0.3">
      <c r="A24" s="11" t="s">
        <v>30</v>
      </c>
      <c r="B24" s="12">
        <v>1.208337</v>
      </c>
      <c r="C24" s="12">
        <v>78.4033333</v>
      </c>
      <c r="D24" s="12">
        <v>2.158617</v>
      </c>
      <c r="E24" s="17">
        <v>3.0833333000000001</v>
      </c>
      <c r="F24" s="13">
        <v>26.736666700000001</v>
      </c>
      <c r="G24" s="12">
        <v>24.193076300000001</v>
      </c>
      <c r="H24" s="12">
        <v>13.470383099999999</v>
      </c>
      <c r="I24" s="12">
        <v>-16.5542652</v>
      </c>
      <c r="J24" s="12">
        <v>4.9754500000000004</v>
      </c>
      <c r="K24" s="12">
        <v>8.1735007999999993</v>
      </c>
      <c r="L24" s="12">
        <v>5.9400424999999997</v>
      </c>
      <c r="M24" s="12">
        <v>15.535531199999999</v>
      </c>
      <c r="N24" s="12">
        <v>3.1854019999999998</v>
      </c>
      <c r="O24" s="12">
        <v>10.5539079</v>
      </c>
      <c r="P24" s="7">
        <v>3888.9</v>
      </c>
      <c r="Q24" s="7">
        <v>244.2</v>
      </c>
      <c r="R24" s="7">
        <v>5.9</v>
      </c>
      <c r="S24" s="12">
        <v>17.778541000000001</v>
      </c>
      <c r="T24" s="12">
        <v>8.5</v>
      </c>
      <c r="U24" s="12">
        <v>60.24</v>
      </c>
      <c r="V24" s="12">
        <v>239.28333330000001</v>
      </c>
      <c r="W24" s="12">
        <v>4.8559231</v>
      </c>
      <c r="X24" s="7" t="s">
        <v>107</v>
      </c>
      <c r="Y24" s="7" t="s">
        <v>107</v>
      </c>
      <c r="Z24" s="12">
        <v>-10.137904799999999</v>
      </c>
      <c r="AA24" s="12">
        <v>53.1172045</v>
      </c>
      <c r="AB24" s="12">
        <v>24.390439099999998</v>
      </c>
      <c r="AC24" s="12">
        <v>27.722694700000002</v>
      </c>
      <c r="AD24" s="12">
        <v>53.6401982</v>
      </c>
      <c r="AE24" s="12">
        <v>58.870536399999999</v>
      </c>
      <c r="AF24" s="12">
        <v>67.212797699999996</v>
      </c>
      <c r="AG24" s="12">
        <v>55.579369999999997</v>
      </c>
    </row>
    <row r="25" spans="1:33" s="11" customFormat="1" hidden="1" outlineLevel="1" x14ac:dyDescent="0.3">
      <c r="A25" s="11" t="s">
        <v>31</v>
      </c>
      <c r="B25" s="12">
        <v>1.0748135000000001</v>
      </c>
      <c r="C25" s="12">
        <v>78.856666700000005</v>
      </c>
      <c r="D25" s="12">
        <v>2.1724109</v>
      </c>
      <c r="E25" s="17">
        <v>2.6666666999999999</v>
      </c>
      <c r="F25" s="13">
        <v>31.52</v>
      </c>
      <c r="G25" s="12">
        <v>9.7506666000000006</v>
      </c>
      <c r="H25" s="12">
        <v>7.7073969</v>
      </c>
      <c r="I25" s="12">
        <v>-7.5045335</v>
      </c>
      <c r="J25" s="12">
        <v>3.409834</v>
      </c>
      <c r="K25" s="12">
        <v>9.6855440000000002</v>
      </c>
      <c r="L25" s="12">
        <v>14.5956785</v>
      </c>
      <c r="M25" s="12">
        <v>-14.4130558</v>
      </c>
      <c r="N25" s="12">
        <v>1.1850149999999999</v>
      </c>
      <c r="O25" s="12">
        <v>4.0541631000000002</v>
      </c>
      <c r="P25" s="7">
        <v>3859.6</v>
      </c>
      <c r="Q25" s="7">
        <v>264.7</v>
      </c>
      <c r="R25" s="7">
        <v>6.4</v>
      </c>
      <c r="S25" s="12">
        <v>15.2487449</v>
      </c>
      <c r="T25" s="12">
        <v>6.5</v>
      </c>
      <c r="U25" s="12">
        <v>61.556666700000001</v>
      </c>
      <c r="V25" s="12">
        <v>243.7033333</v>
      </c>
      <c r="W25" s="12">
        <v>3.9625756999999999</v>
      </c>
      <c r="X25" s="7" t="s">
        <v>107</v>
      </c>
      <c r="Y25" s="7" t="s">
        <v>107</v>
      </c>
      <c r="Z25" s="12">
        <v>-8.3480386000000006</v>
      </c>
      <c r="AA25" s="12">
        <v>60.946393499999999</v>
      </c>
      <c r="AB25" s="12">
        <v>25.6293629</v>
      </c>
      <c r="AC25" s="12">
        <v>18.000824900000001</v>
      </c>
      <c r="AD25" s="12">
        <v>56.912609199999999</v>
      </c>
      <c r="AE25" s="12">
        <v>61.489190399999998</v>
      </c>
      <c r="AF25" s="12">
        <v>72.113720000000001</v>
      </c>
      <c r="AG25" s="12">
        <v>54.099310199999998</v>
      </c>
    </row>
    <row r="26" spans="1:33" s="11" customFormat="1" hidden="1" outlineLevel="1" x14ac:dyDescent="0.3">
      <c r="A26" s="11" t="s">
        <v>32</v>
      </c>
      <c r="B26" s="12">
        <v>0.33264589999999999</v>
      </c>
      <c r="C26" s="12">
        <v>79.37</v>
      </c>
      <c r="D26" s="12">
        <v>1.843456</v>
      </c>
      <c r="E26" s="17">
        <v>2.3333333000000001</v>
      </c>
      <c r="F26" s="13">
        <v>26.17</v>
      </c>
      <c r="G26" s="12">
        <v>10.965250899999999</v>
      </c>
      <c r="H26" s="12">
        <v>11.8629386</v>
      </c>
      <c r="I26" s="12">
        <v>-4.7907472999999996</v>
      </c>
      <c r="J26" s="12">
        <v>4.1089582</v>
      </c>
      <c r="K26" s="12">
        <v>9.3686015000000005</v>
      </c>
      <c r="L26" s="12">
        <v>5.9072950999999998</v>
      </c>
      <c r="M26" s="12">
        <v>10.666167</v>
      </c>
      <c r="N26" s="12">
        <v>0.41859039999999997</v>
      </c>
      <c r="O26" s="12">
        <v>8.0141475999999994</v>
      </c>
      <c r="P26" s="7">
        <v>3923.9</v>
      </c>
      <c r="Q26" s="7">
        <v>241.2</v>
      </c>
      <c r="R26" s="7">
        <v>5.8</v>
      </c>
      <c r="S26" s="12">
        <v>13.2162451</v>
      </c>
      <c r="T26" s="12">
        <v>9.5</v>
      </c>
      <c r="U26" s="12">
        <v>62.2</v>
      </c>
      <c r="V26" s="12">
        <v>250.86</v>
      </c>
      <c r="W26" s="12">
        <v>4.8034933999999998</v>
      </c>
      <c r="X26" s="7" t="s">
        <v>107</v>
      </c>
      <c r="Y26" s="7" t="s">
        <v>107</v>
      </c>
      <c r="Z26" s="12">
        <v>-9.0640467999999998</v>
      </c>
      <c r="AA26" s="12">
        <v>55.420751199999998</v>
      </c>
      <c r="AB26" s="12">
        <v>22.003426099999999</v>
      </c>
      <c r="AC26" s="12">
        <v>26.762088800000001</v>
      </c>
      <c r="AD26" s="12">
        <v>54.918735099999999</v>
      </c>
      <c r="AE26" s="12">
        <v>59.105001199999997</v>
      </c>
      <c r="AF26" s="12">
        <v>70.882832199999996</v>
      </c>
      <c r="AG26" s="12">
        <v>56.185493000000001</v>
      </c>
    </row>
    <row r="27" spans="1:33" s="11" customFormat="1" hidden="1" outlineLevel="1" x14ac:dyDescent="0.3">
      <c r="A27" s="11" t="s">
        <v>33</v>
      </c>
      <c r="B27" s="12">
        <v>0.71308099999999996</v>
      </c>
      <c r="C27" s="12">
        <v>79.47</v>
      </c>
      <c r="D27" s="12">
        <v>1.9194597</v>
      </c>
      <c r="E27" s="17">
        <v>2</v>
      </c>
      <c r="F27" s="13">
        <v>28.45</v>
      </c>
      <c r="G27" s="12">
        <v>6.9988891999999998</v>
      </c>
      <c r="H27" s="12">
        <v>8.9905387000000001</v>
      </c>
      <c r="I27" s="12">
        <v>-5.3230817999999998</v>
      </c>
      <c r="J27" s="12">
        <v>4.3980312000000001</v>
      </c>
      <c r="K27" s="12">
        <v>8.9442330999999999</v>
      </c>
      <c r="L27" s="12">
        <v>5.4393083999999998</v>
      </c>
      <c r="M27" s="12">
        <v>11.717325900000001</v>
      </c>
      <c r="N27" s="12">
        <v>7.4612067</v>
      </c>
      <c r="O27" s="12">
        <v>14.565315200000001</v>
      </c>
      <c r="P27" s="7">
        <v>3952.2</v>
      </c>
      <c r="Q27" s="7">
        <v>240.3</v>
      </c>
      <c r="R27" s="7">
        <v>5.7</v>
      </c>
      <c r="S27" s="12">
        <v>12.275780599999999</v>
      </c>
      <c r="T27" s="12">
        <v>9.5</v>
      </c>
      <c r="U27" s="12">
        <v>62.506666699999997</v>
      </c>
      <c r="V27" s="12">
        <v>259.58333329999999</v>
      </c>
      <c r="W27" s="12">
        <v>7.1930775000000002</v>
      </c>
      <c r="X27" s="7" t="s">
        <v>107</v>
      </c>
      <c r="Y27" s="7" t="s">
        <v>107</v>
      </c>
      <c r="Z27" s="12">
        <v>-6.7925354999999996</v>
      </c>
      <c r="AA27" s="12">
        <v>57.394736299999998</v>
      </c>
      <c r="AB27" s="12">
        <v>21.187511099999998</v>
      </c>
      <c r="AC27" s="12">
        <v>25.056421799999999</v>
      </c>
      <c r="AD27" s="12">
        <v>57.548681899999998</v>
      </c>
      <c r="AE27" s="12">
        <v>61.187351100000001</v>
      </c>
      <c r="AF27" s="12">
        <v>63.365901299999997</v>
      </c>
      <c r="AG27" s="12">
        <v>57.606218800000001</v>
      </c>
    </row>
    <row r="28" spans="1:33" s="11" customFormat="1" hidden="1" outlineLevel="1" x14ac:dyDescent="0.3">
      <c r="A28" s="11" t="s">
        <v>34</v>
      </c>
      <c r="B28" s="12">
        <v>1.3127310999999999</v>
      </c>
      <c r="C28" s="12">
        <v>79.913333300000005</v>
      </c>
      <c r="D28" s="12">
        <v>1.9259385</v>
      </c>
      <c r="E28" s="17">
        <v>2</v>
      </c>
      <c r="F28" s="13">
        <v>29.39</v>
      </c>
      <c r="G28" s="12">
        <v>-1.6089389000000001</v>
      </c>
      <c r="H28" s="12">
        <v>7.8067082000000001</v>
      </c>
      <c r="I28" s="12">
        <v>-10.7119924</v>
      </c>
      <c r="J28" s="12">
        <v>4.2952266000000003</v>
      </c>
      <c r="K28" s="12">
        <v>5.9512583000000001</v>
      </c>
      <c r="L28" s="12">
        <v>-2.7552009000000002</v>
      </c>
      <c r="M28" s="12">
        <v>-2.6507691000000002</v>
      </c>
      <c r="N28" s="12">
        <v>15.5601056</v>
      </c>
      <c r="O28" s="12">
        <v>10.866667</v>
      </c>
      <c r="P28" s="7">
        <v>3952.3</v>
      </c>
      <c r="Q28" s="7">
        <v>231.9</v>
      </c>
      <c r="R28" s="7">
        <v>5.5</v>
      </c>
      <c r="S28" s="12">
        <v>8.4236714999999993</v>
      </c>
      <c r="T28" s="12">
        <v>12.5</v>
      </c>
      <c r="U28" s="12">
        <v>63.4566667</v>
      </c>
      <c r="V28" s="12">
        <v>259.94</v>
      </c>
      <c r="W28" s="12">
        <v>11.1450382</v>
      </c>
      <c r="X28" s="7" t="s">
        <v>107</v>
      </c>
      <c r="Y28" s="7" t="s">
        <v>107</v>
      </c>
      <c r="Z28" s="12">
        <v>-7.3864633</v>
      </c>
      <c r="AA28" s="12">
        <v>52.521948399999999</v>
      </c>
      <c r="AB28" s="12">
        <v>23.523985799999998</v>
      </c>
      <c r="AC28" s="12">
        <v>27.4601352</v>
      </c>
      <c r="AD28" s="12">
        <v>56.058938300000001</v>
      </c>
      <c r="AE28" s="12">
        <v>59.565007700000002</v>
      </c>
      <c r="AF28" s="12">
        <v>60.673522800000001</v>
      </c>
      <c r="AG28" s="12">
        <v>58.109903899999999</v>
      </c>
    </row>
    <row r="29" spans="1:33" s="11" customFormat="1" hidden="1" outlineLevel="1" x14ac:dyDescent="0.3">
      <c r="A29" s="11" t="s">
        <v>35</v>
      </c>
      <c r="B29" s="12">
        <v>2.4350660999999998</v>
      </c>
      <c r="C29" s="12">
        <v>80.113333299999994</v>
      </c>
      <c r="D29" s="12">
        <v>1.5936086</v>
      </c>
      <c r="E29" s="17">
        <v>2</v>
      </c>
      <c r="F29" s="13">
        <v>31.923333299999999</v>
      </c>
      <c r="G29" s="12">
        <v>9.9089627</v>
      </c>
      <c r="H29" s="12">
        <v>15.837262600000001</v>
      </c>
      <c r="I29" s="12">
        <v>-4.9926681999999998</v>
      </c>
      <c r="J29" s="12">
        <v>4.5844199999999997</v>
      </c>
      <c r="K29" s="12">
        <v>-1.6276543000000001</v>
      </c>
      <c r="L29" s="12">
        <v>1.7286634000000001</v>
      </c>
      <c r="M29" s="12">
        <v>15.845046999999999</v>
      </c>
      <c r="N29" s="12">
        <v>19.102486599999999</v>
      </c>
      <c r="O29" s="12">
        <v>14.922555300000001</v>
      </c>
      <c r="P29" s="7">
        <v>3891.5</v>
      </c>
      <c r="Q29" s="7">
        <v>252.2</v>
      </c>
      <c r="R29" s="7">
        <v>6.1</v>
      </c>
      <c r="S29" s="12">
        <v>9.1224667000000004</v>
      </c>
      <c r="T29" s="12">
        <v>12.25</v>
      </c>
      <c r="U29" s="12">
        <v>65.733333299999998</v>
      </c>
      <c r="V29" s="12">
        <v>260.26666669999997</v>
      </c>
      <c r="W29" s="12">
        <v>11.011116899999999</v>
      </c>
      <c r="X29" s="7" t="s">
        <v>107</v>
      </c>
      <c r="Y29" s="7" t="s">
        <v>107</v>
      </c>
      <c r="Z29" s="12">
        <v>-7.0350524999999999</v>
      </c>
      <c r="AA29" s="12">
        <v>56.510642599999997</v>
      </c>
      <c r="AB29" s="12">
        <v>22.972069300000001</v>
      </c>
      <c r="AC29" s="12">
        <v>23.206674400000001</v>
      </c>
      <c r="AD29" s="12">
        <v>61.020095499999996</v>
      </c>
      <c r="AE29" s="12">
        <v>63.709460800000002</v>
      </c>
      <c r="AF29" s="12">
        <v>55.008198299999997</v>
      </c>
      <c r="AG29" s="12">
        <v>54.775233</v>
      </c>
    </row>
    <row r="30" spans="1:33" s="11" customFormat="1" hidden="1" outlineLevel="1" x14ac:dyDescent="0.3">
      <c r="A30" s="11" t="s">
        <v>36</v>
      </c>
      <c r="B30" s="12">
        <v>2.9592486</v>
      </c>
      <c r="C30" s="12">
        <v>81.069999999999993</v>
      </c>
      <c r="D30" s="12">
        <v>2.1418672000000001</v>
      </c>
      <c r="E30" s="17">
        <v>2</v>
      </c>
      <c r="F30" s="13">
        <v>35.446666700000002</v>
      </c>
      <c r="G30" s="12">
        <v>16.601916299999999</v>
      </c>
      <c r="H30" s="12">
        <v>10.5201546</v>
      </c>
      <c r="I30" s="12">
        <v>-7.1670017000000001</v>
      </c>
      <c r="J30" s="12">
        <v>5.3842647000000001</v>
      </c>
      <c r="K30" s="12">
        <v>3.9940905</v>
      </c>
      <c r="L30" s="12">
        <v>3.4417608</v>
      </c>
      <c r="M30" s="12">
        <v>17.152716699999999</v>
      </c>
      <c r="N30" s="12">
        <v>22.318113799999999</v>
      </c>
      <c r="O30" s="12">
        <v>24.584122600000001</v>
      </c>
      <c r="P30" s="7">
        <v>3894.1</v>
      </c>
      <c r="Q30" s="7">
        <v>241.6</v>
      </c>
      <c r="R30" s="7">
        <v>5.8</v>
      </c>
      <c r="S30" s="12">
        <v>7.4561403999999998</v>
      </c>
      <c r="T30" s="12">
        <v>11.5</v>
      </c>
      <c r="U30" s="12">
        <v>66.8</v>
      </c>
      <c r="V30" s="12">
        <v>252.11333329999999</v>
      </c>
      <c r="W30" s="12">
        <v>10.3125</v>
      </c>
      <c r="X30" s="7" t="s">
        <v>107</v>
      </c>
      <c r="Y30" s="7" t="s">
        <v>107</v>
      </c>
      <c r="Z30" s="12">
        <v>-10.5499118</v>
      </c>
      <c r="AA30" s="12">
        <v>53.671066600000003</v>
      </c>
      <c r="AB30" s="12">
        <v>22.046618599999999</v>
      </c>
      <c r="AC30" s="12">
        <v>30.371945799999999</v>
      </c>
      <c r="AD30" s="12">
        <v>59.0501535</v>
      </c>
      <c r="AE30" s="12">
        <v>65.139784500000005</v>
      </c>
      <c r="AF30" s="12">
        <v>43.277091900000002</v>
      </c>
      <c r="AG30" s="12">
        <v>57.376580500000003</v>
      </c>
    </row>
    <row r="31" spans="1:33" s="11" customFormat="1" hidden="1" outlineLevel="1" x14ac:dyDescent="0.3">
      <c r="A31" s="11" t="s">
        <v>37</v>
      </c>
      <c r="B31" s="12">
        <v>2.4141233999999998</v>
      </c>
      <c r="C31" s="12">
        <v>81.156666700000002</v>
      </c>
      <c r="D31" s="12">
        <v>2.1223942</v>
      </c>
      <c r="E31" s="17">
        <v>2</v>
      </c>
      <c r="F31" s="13">
        <v>41.386666699999999</v>
      </c>
      <c r="G31" s="12">
        <v>13.9821293</v>
      </c>
      <c r="H31" s="12">
        <v>7.0656068999999997</v>
      </c>
      <c r="I31" s="12">
        <v>-8.0790997999999998</v>
      </c>
      <c r="J31" s="12">
        <v>5.1526249999999996</v>
      </c>
      <c r="K31" s="12">
        <v>3.9111826000000001</v>
      </c>
      <c r="L31" s="12">
        <v>3.5661668999999998</v>
      </c>
      <c r="M31" s="12">
        <v>15.9471691</v>
      </c>
      <c r="N31" s="12">
        <v>16.560926200000001</v>
      </c>
      <c r="O31" s="12">
        <v>18.706851</v>
      </c>
      <c r="P31" s="7">
        <v>3906.6</v>
      </c>
      <c r="Q31" s="7">
        <v>254.6</v>
      </c>
      <c r="R31" s="7">
        <v>6.1</v>
      </c>
      <c r="S31" s="12">
        <v>6.5656476000000001</v>
      </c>
      <c r="T31" s="12">
        <v>11</v>
      </c>
      <c r="U31" s="12">
        <v>66.896666699999997</v>
      </c>
      <c r="V31" s="12">
        <v>248.8</v>
      </c>
      <c r="W31" s="12">
        <v>5.2472249</v>
      </c>
      <c r="X31" s="7" t="s">
        <v>107</v>
      </c>
      <c r="Y31" s="7" t="s">
        <v>107</v>
      </c>
      <c r="Z31" s="12">
        <v>-8.3928428000000004</v>
      </c>
      <c r="AA31" s="12">
        <v>56.873543599999998</v>
      </c>
      <c r="AB31" s="12">
        <v>21.600036599999999</v>
      </c>
      <c r="AC31" s="12">
        <v>26.1205967</v>
      </c>
      <c r="AD31" s="12">
        <v>59.540090599999999</v>
      </c>
      <c r="AE31" s="12">
        <v>64.134267699999995</v>
      </c>
      <c r="AF31" s="12">
        <v>33.440042900000002</v>
      </c>
      <c r="AG31" s="12">
        <v>58.5920816</v>
      </c>
    </row>
    <row r="32" spans="1:33" s="11" customFormat="1" hidden="1" outlineLevel="1" x14ac:dyDescent="0.3">
      <c r="A32" s="11" t="s">
        <v>38</v>
      </c>
      <c r="B32" s="12">
        <v>2.308249</v>
      </c>
      <c r="C32" s="12">
        <v>81.663333300000005</v>
      </c>
      <c r="D32" s="12">
        <v>2.1898724000000001</v>
      </c>
      <c r="E32" s="17">
        <v>2</v>
      </c>
      <c r="F32" s="13">
        <v>44.163333299999998</v>
      </c>
      <c r="G32" s="12">
        <v>-5.06963E-2</v>
      </c>
      <c r="H32" s="12">
        <v>10.491659</v>
      </c>
      <c r="I32" s="12">
        <v>-5.9794445999999999</v>
      </c>
      <c r="J32" s="12">
        <v>4.8650514999999999</v>
      </c>
      <c r="K32" s="12">
        <v>1.0482340000000001</v>
      </c>
      <c r="L32" s="12">
        <v>-4.3908037000000002</v>
      </c>
      <c r="M32" s="12">
        <v>22.376759100000001</v>
      </c>
      <c r="N32" s="12">
        <v>14.278912999999999</v>
      </c>
      <c r="O32" s="12">
        <v>14.0616938</v>
      </c>
      <c r="P32" s="7">
        <v>3909.2</v>
      </c>
      <c r="Q32" s="7">
        <v>263.3</v>
      </c>
      <c r="R32" s="7">
        <v>6.3</v>
      </c>
      <c r="S32" s="12">
        <v>2.0062885000000001</v>
      </c>
      <c r="T32" s="12">
        <v>9.5</v>
      </c>
      <c r="U32" s="12">
        <v>67.196666699999994</v>
      </c>
      <c r="V32" s="12">
        <v>245.95</v>
      </c>
      <c r="W32" s="12">
        <v>5.0824176000000003</v>
      </c>
      <c r="X32" s="7" t="s">
        <v>107</v>
      </c>
      <c r="Y32" s="7" t="s">
        <v>107</v>
      </c>
      <c r="Z32" s="12">
        <v>-7.7469872000000004</v>
      </c>
      <c r="AA32" s="12">
        <v>52.897400900000001</v>
      </c>
      <c r="AB32" s="12">
        <v>21.598314299999998</v>
      </c>
      <c r="AC32" s="12">
        <v>29.265807200000001</v>
      </c>
      <c r="AD32" s="12">
        <v>58.842172300000001</v>
      </c>
      <c r="AE32" s="12">
        <v>62.6036948</v>
      </c>
      <c r="AF32" s="12">
        <v>27.641262699999999</v>
      </c>
      <c r="AG32" s="12">
        <v>58.847433799999997</v>
      </c>
    </row>
    <row r="33" spans="1:33" s="11" customFormat="1" hidden="1" outlineLevel="1" x14ac:dyDescent="0.3">
      <c r="A33" s="11" t="s">
        <v>39</v>
      </c>
      <c r="B33" s="12">
        <v>1.1277817999999999</v>
      </c>
      <c r="C33" s="12">
        <v>81.773333300000004</v>
      </c>
      <c r="D33" s="12">
        <v>2.0720646</v>
      </c>
      <c r="E33" s="17">
        <v>2</v>
      </c>
      <c r="F33" s="13">
        <v>47.696666700000002</v>
      </c>
      <c r="G33" s="12">
        <v>18.302739599999999</v>
      </c>
      <c r="H33" s="12">
        <v>1.2788522</v>
      </c>
      <c r="I33" s="12">
        <v>-13.0243559</v>
      </c>
      <c r="J33" s="12">
        <v>3.2635196</v>
      </c>
      <c r="K33" s="12">
        <v>3.7485259000000002</v>
      </c>
      <c r="L33" s="12">
        <v>2.4132045999999998</v>
      </c>
      <c r="M33" s="12">
        <v>0.7097386</v>
      </c>
      <c r="N33" s="12">
        <v>11.3964111</v>
      </c>
      <c r="O33" s="12">
        <v>10.271288500000001</v>
      </c>
      <c r="P33" s="7">
        <v>3870.5</v>
      </c>
      <c r="Q33" s="7">
        <v>294.2</v>
      </c>
      <c r="R33" s="7">
        <v>7.1</v>
      </c>
      <c r="S33" s="12">
        <v>13.807121799999999</v>
      </c>
      <c r="T33" s="12">
        <v>7.75</v>
      </c>
      <c r="U33" s="12">
        <v>68.06</v>
      </c>
      <c r="V33" s="12">
        <v>244.99333329999999</v>
      </c>
      <c r="W33" s="12">
        <v>1.5736767</v>
      </c>
      <c r="X33" s="7" t="s">
        <v>107</v>
      </c>
      <c r="Y33" s="7" t="s">
        <v>107</v>
      </c>
      <c r="Z33" s="12">
        <v>-7.8673465</v>
      </c>
      <c r="AA33" s="12">
        <v>59.161979600000002</v>
      </c>
      <c r="AB33" s="12">
        <v>25.147183099999999</v>
      </c>
      <c r="AC33" s="12">
        <v>18.4224362</v>
      </c>
      <c r="AD33" s="12">
        <v>63.802557200000003</v>
      </c>
      <c r="AE33" s="12">
        <v>66.534156100000004</v>
      </c>
      <c r="AF33" s="12">
        <v>23.883068099999999</v>
      </c>
      <c r="AG33" s="12">
        <v>58.617282299999999</v>
      </c>
    </row>
    <row r="34" spans="1:33" s="11" customFormat="1" hidden="1" outlineLevel="1" x14ac:dyDescent="0.3">
      <c r="A34" s="11" t="s">
        <v>40</v>
      </c>
      <c r="B34" s="12">
        <v>2.2042253999999999</v>
      </c>
      <c r="C34" s="12">
        <v>82.71</v>
      </c>
      <c r="D34" s="12">
        <v>2.0229431</v>
      </c>
      <c r="E34" s="17">
        <v>2</v>
      </c>
      <c r="F34" s="13">
        <v>51.626666700000001</v>
      </c>
      <c r="G34" s="12">
        <v>3.8888425</v>
      </c>
      <c r="H34" s="12">
        <v>4.8472154999999999</v>
      </c>
      <c r="I34" s="12">
        <v>-6.6770566000000002</v>
      </c>
      <c r="J34" s="12">
        <v>4.8110692999999998</v>
      </c>
      <c r="K34" s="12">
        <v>2.6874587999999999</v>
      </c>
      <c r="L34" s="12">
        <v>4.6286632000000001</v>
      </c>
      <c r="M34" s="12">
        <v>-7.6006616999999999</v>
      </c>
      <c r="N34" s="12">
        <v>13.317228200000001</v>
      </c>
      <c r="O34" s="12">
        <v>5.2697893999999996</v>
      </c>
      <c r="P34" s="7">
        <v>3891.5</v>
      </c>
      <c r="Q34" s="7">
        <v>298.10000000000002</v>
      </c>
      <c r="R34" s="7">
        <v>7.1</v>
      </c>
      <c r="S34" s="12">
        <v>7.9745043999999998</v>
      </c>
      <c r="T34" s="12">
        <v>7</v>
      </c>
      <c r="U34" s="12">
        <v>69.236666700000001</v>
      </c>
      <c r="V34" s="12">
        <v>249.72666670000001</v>
      </c>
      <c r="W34" s="12">
        <v>9.3012276000000007</v>
      </c>
      <c r="X34" s="7" t="s">
        <v>107</v>
      </c>
      <c r="Y34" s="7" t="s">
        <v>107</v>
      </c>
      <c r="Z34" s="12">
        <v>-7.4908058999999998</v>
      </c>
      <c r="AA34" s="12">
        <v>53.840370700000001</v>
      </c>
      <c r="AB34" s="12">
        <v>21.733405399999999</v>
      </c>
      <c r="AC34" s="12">
        <v>26.538707899999999</v>
      </c>
      <c r="AD34" s="12">
        <v>63.042143299999999</v>
      </c>
      <c r="AE34" s="12">
        <v>65.154627399999995</v>
      </c>
      <c r="AF34" s="12">
        <v>23.761152599999999</v>
      </c>
      <c r="AG34" s="12">
        <v>60.773142999999997</v>
      </c>
    </row>
    <row r="35" spans="1:33" s="11" customFormat="1" hidden="1" outlineLevel="1" x14ac:dyDescent="0.3">
      <c r="A35" s="11" t="s">
        <v>41</v>
      </c>
      <c r="B35" s="12">
        <v>2.0830310000000001</v>
      </c>
      <c r="C35" s="12">
        <v>83.016666700000002</v>
      </c>
      <c r="D35" s="12">
        <v>2.2918634999999998</v>
      </c>
      <c r="E35" s="17">
        <v>2</v>
      </c>
      <c r="F35" s="13">
        <v>61.47</v>
      </c>
      <c r="G35" s="12">
        <v>3.2343061999999998</v>
      </c>
      <c r="H35" s="12">
        <v>8.8167618000000001</v>
      </c>
      <c r="I35" s="12">
        <v>-5.6567068000000003</v>
      </c>
      <c r="J35" s="12">
        <v>4.3296767999999997</v>
      </c>
      <c r="K35" s="12">
        <v>0.60184230000000005</v>
      </c>
      <c r="L35" s="12">
        <v>2.4853184000000001</v>
      </c>
      <c r="M35" s="12">
        <v>2.3331187</v>
      </c>
      <c r="N35" s="12">
        <v>13.468007699999999</v>
      </c>
      <c r="O35" s="12">
        <v>8.1706160000000008</v>
      </c>
      <c r="P35" s="7">
        <v>3927.6</v>
      </c>
      <c r="Q35" s="7">
        <v>307.7</v>
      </c>
      <c r="R35" s="7">
        <v>7.3</v>
      </c>
      <c r="S35" s="12">
        <v>7.3550525999999996</v>
      </c>
      <c r="T35" s="12">
        <v>6</v>
      </c>
      <c r="U35" s="12">
        <v>69.28</v>
      </c>
      <c r="V35" s="12">
        <v>245.59666669999999</v>
      </c>
      <c r="W35" s="12">
        <v>8.3413231000000003</v>
      </c>
      <c r="X35" s="7" t="s">
        <v>107</v>
      </c>
      <c r="Y35" s="7" t="s">
        <v>107</v>
      </c>
      <c r="Z35" s="12">
        <v>-7.5269516999999997</v>
      </c>
      <c r="AA35" s="12">
        <v>55.047352600000004</v>
      </c>
      <c r="AB35" s="12">
        <v>20.225942799999999</v>
      </c>
      <c r="AC35" s="12">
        <v>28.002906100000001</v>
      </c>
      <c r="AD35" s="12">
        <v>61.690793599999999</v>
      </c>
      <c r="AE35" s="12">
        <v>64.966994999999997</v>
      </c>
      <c r="AF35" s="12">
        <v>25.594541899999999</v>
      </c>
      <c r="AG35" s="12">
        <v>61.770236799999999</v>
      </c>
    </row>
    <row r="36" spans="1:33" s="11" customFormat="1" hidden="1" outlineLevel="1" x14ac:dyDescent="0.3">
      <c r="A36" s="11" t="s">
        <v>42</v>
      </c>
      <c r="B36" s="12">
        <v>2.0666498999999998</v>
      </c>
      <c r="C36" s="12">
        <v>83.51</v>
      </c>
      <c r="D36" s="12">
        <v>2.2613167999999999</v>
      </c>
      <c r="E36" s="17">
        <v>2.0833333000000001</v>
      </c>
      <c r="F36" s="13">
        <v>56.88</v>
      </c>
      <c r="G36" s="12">
        <v>8.8301175000000001</v>
      </c>
      <c r="H36" s="12">
        <v>6.9145403999999999</v>
      </c>
      <c r="I36" s="12">
        <v>-6.6471688000000002</v>
      </c>
      <c r="J36" s="12">
        <v>4.6442512000000002</v>
      </c>
      <c r="K36" s="12">
        <v>4.1399594999999998</v>
      </c>
      <c r="L36" s="12">
        <v>-1.2757145000000001</v>
      </c>
      <c r="M36" s="12">
        <v>1.4853282000000001</v>
      </c>
      <c r="N36" s="12">
        <v>13.151791899999999</v>
      </c>
      <c r="O36" s="12">
        <v>8.7333669999999994</v>
      </c>
      <c r="P36" s="7">
        <v>3916.3</v>
      </c>
      <c r="Q36" s="7">
        <v>308.8</v>
      </c>
      <c r="R36" s="7">
        <v>7.3</v>
      </c>
      <c r="S36" s="12">
        <v>6.4355606999999999</v>
      </c>
      <c r="T36" s="12">
        <v>6</v>
      </c>
      <c r="U36" s="12">
        <v>69.3466667</v>
      </c>
      <c r="V36" s="12">
        <v>251.85666670000001</v>
      </c>
      <c r="W36" s="12">
        <v>7.6252722999999998</v>
      </c>
      <c r="X36" s="7" t="s">
        <v>107</v>
      </c>
      <c r="Y36" s="7" t="s">
        <v>107</v>
      </c>
      <c r="Z36" s="12">
        <v>-6.3656946999999997</v>
      </c>
      <c r="AA36" s="12">
        <v>51.626992600000001</v>
      </c>
      <c r="AB36" s="12">
        <v>21.872230200000001</v>
      </c>
      <c r="AC36" s="12">
        <v>29.471821800000001</v>
      </c>
      <c r="AD36" s="12">
        <v>61.797656099999998</v>
      </c>
      <c r="AE36" s="12">
        <v>64.768700600000003</v>
      </c>
      <c r="AF36" s="12">
        <v>26.430462599999998</v>
      </c>
      <c r="AG36" s="12">
        <v>60.518334000000003</v>
      </c>
    </row>
    <row r="37" spans="1:33" s="11" customFormat="1" hidden="1" outlineLevel="1" x14ac:dyDescent="0.3">
      <c r="A37" s="11" t="s">
        <v>43</v>
      </c>
      <c r="B37" s="12">
        <v>3.8191847000000001</v>
      </c>
      <c r="C37" s="12">
        <v>83.573333300000002</v>
      </c>
      <c r="D37" s="12">
        <v>2.2012065999999999</v>
      </c>
      <c r="E37" s="17">
        <v>2.3333333000000001</v>
      </c>
      <c r="F37" s="13">
        <v>61.753333300000001</v>
      </c>
      <c r="G37" s="12">
        <v>13.238378000000001</v>
      </c>
      <c r="H37" s="12">
        <v>4.7781758999999999</v>
      </c>
      <c r="I37" s="12">
        <v>-16.916284399999999</v>
      </c>
      <c r="J37" s="12">
        <v>4.9268884000000002</v>
      </c>
      <c r="K37" s="12">
        <v>3.5344418000000002</v>
      </c>
      <c r="L37" s="12">
        <v>9.9014226999999995</v>
      </c>
      <c r="M37" s="12">
        <v>-0.4119816</v>
      </c>
      <c r="N37" s="12">
        <v>20.839437400000001</v>
      </c>
      <c r="O37" s="12">
        <v>18.8584721</v>
      </c>
      <c r="P37" s="7">
        <v>3893.1</v>
      </c>
      <c r="Q37" s="7">
        <v>323.5</v>
      </c>
      <c r="R37" s="7">
        <v>7.7</v>
      </c>
      <c r="S37" s="12">
        <v>7.3770747999999999</v>
      </c>
      <c r="T37" s="12">
        <v>6</v>
      </c>
      <c r="U37" s="12">
        <v>69.666666699999993</v>
      </c>
      <c r="V37" s="12">
        <v>254.37666669999999</v>
      </c>
      <c r="W37" s="12">
        <v>12.816901400000001</v>
      </c>
      <c r="X37" s="7" t="s">
        <v>107</v>
      </c>
      <c r="Y37" s="7" t="s">
        <v>107</v>
      </c>
      <c r="Z37" s="12">
        <v>-9.2403438999999992</v>
      </c>
      <c r="AA37" s="12">
        <v>57.694145499999998</v>
      </c>
      <c r="AB37" s="12">
        <v>26.224050600000002</v>
      </c>
      <c r="AC37" s="12">
        <v>19.637125600000001</v>
      </c>
      <c r="AD37" s="12">
        <v>73.917056099999996</v>
      </c>
      <c r="AE37" s="12">
        <v>77.472377800000004</v>
      </c>
      <c r="AF37" s="12">
        <v>29.3690897</v>
      </c>
      <c r="AG37" s="12">
        <v>61.9846395</v>
      </c>
    </row>
    <row r="38" spans="1:33" s="11" customFormat="1" hidden="1" outlineLevel="1" x14ac:dyDescent="0.3">
      <c r="A38" s="11" t="s">
        <v>44</v>
      </c>
      <c r="B38" s="12">
        <v>2.9723983</v>
      </c>
      <c r="C38" s="12">
        <v>84.693333300000006</v>
      </c>
      <c r="D38" s="12">
        <v>2.3979365000000001</v>
      </c>
      <c r="E38" s="17">
        <v>2.5833333000000001</v>
      </c>
      <c r="F38" s="13">
        <v>69.533333299999995</v>
      </c>
      <c r="G38" s="12">
        <v>10.3787862</v>
      </c>
      <c r="H38" s="12">
        <v>10.048689</v>
      </c>
      <c r="I38" s="12">
        <v>-6.9744567000000002</v>
      </c>
      <c r="J38" s="12">
        <v>3.6412659000000001</v>
      </c>
      <c r="K38" s="12">
        <v>1.7694497</v>
      </c>
      <c r="L38" s="12">
        <v>0.12796779999999999</v>
      </c>
      <c r="M38" s="12">
        <v>-0.76457790000000003</v>
      </c>
      <c r="N38" s="12">
        <v>16.421273200000002</v>
      </c>
      <c r="O38" s="12">
        <v>11.1803729</v>
      </c>
      <c r="P38" s="7">
        <v>3937.2</v>
      </c>
      <c r="Q38" s="7">
        <v>305.7</v>
      </c>
      <c r="R38" s="7">
        <v>7.2</v>
      </c>
      <c r="S38" s="12">
        <v>7.1015427999999998</v>
      </c>
      <c r="T38" s="12">
        <v>6.25</v>
      </c>
      <c r="U38" s="12">
        <v>71.12</v>
      </c>
      <c r="V38" s="12">
        <v>266.74333330000002</v>
      </c>
      <c r="W38" s="12">
        <v>7.5161987000000003</v>
      </c>
      <c r="X38" s="7" t="s">
        <v>107</v>
      </c>
      <c r="Y38" s="7" t="s">
        <v>107</v>
      </c>
      <c r="Z38" s="12">
        <v>-6.7834395000000001</v>
      </c>
      <c r="AA38" s="12">
        <v>51.866782499999999</v>
      </c>
      <c r="AB38" s="12">
        <v>21.5149829</v>
      </c>
      <c r="AC38" s="12">
        <v>27.1943327</v>
      </c>
      <c r="AD38" s="12">
        <v>72.662677700000003</v>
      </c>
      <c r="AE38" s="12">
        <v>73.238759400000006</v>
      </c>
      <c r="AF38" s="12">
        <v>33.282263100000002</v>
      </c>
      <c r="AG38" s="12">
        <v>64.254989499999994</v>
      </c>
    </row>
    <row r="39" spans="1:33" s="11" customFormat="1" hidden="1" outlineLevel="1" x14ac:dyDescent="0.3">
      <c r="A39" s="11" t="s">
        <v>45</v>
      </c>
      <c r="B39" s="12">
        <v>3.3099788999999999</v>
      </c>
      <c r="C39" s="12">
        <v>84.873333299999999</v>
      </c>
      <c r="D39" s="12">
        <v>2.2364986</v>
      </c>
      <c r="E39" s="17">
        <v>2.9166666999999999</v>
      </c>
      <c r="F39" s="13">
        <v>69.62</v>
      </c>
      <c r="G39" s="12">
        <v>10.5387714</v>
      </c>
      <c r="H39" s="12">
        <v>11.150099600000001</v>
      </c>
      <c r="I39" s="12">
        <v>-5.5415448999999999</v>
      </c>
      <c r="J39" s="12">
        <v>3.7651596999999999</v>
      </c>
      <c r="K39" s="12">
        <v>1.9179687000000001</v>
      </c>
      <c r="L39" s="12">
        <v>-5.0318813999999996</v>
      </c>
      <c r="M39" s="12">
        <v>3.8195291999999998</v>
      </c>
      <c r="N39" s="12">
        <v>18.1288284</v>
      </c>
      <c r="O39" s="12">
        <v>12.763226700000001</v>
      </c>
      <c r="P39" s="7">
        <v>3948.1</v>
      </c>
      <c r="Q39" s="7">
        <v>318.3</v>
      </c>
      <c r="R39" s="7">
        <v>7.5</v>
      </c>
      <c r="S39" s="12">
        <v>8.9514338999999996</v>
      </c>
      <c r="T39" s="12">
        <v>7.75</v>
      </c>
      <c r="U39" s="12">
        <v>72.45</v>
      </c>
      <c r="V39" s="12">
        <v>275.44</v>
      </c>
      <c r="W39" s="12">
        <v>9.9115044999999995</v>
      </c>
      <c r="X39" s="7" t="s">
        <v>107</v>
      </c>
      <c r="Y39" s="7" t="s">
        <v>107</v>
      </c>
      <c r="Z39" s="12">
        <v>-6.6557963000000004</v>
      </c>
      <c r="AA39" s="12">
        <v>53.542459100000002</v>
      </c>
      <c r="AB39" s="12">
        <v>18.966889299999998</v>
      </c>
      <c r="AC39" s="12">
        <v>28.952611600000001</v>
      </c>
      <c r="AD39" s="12">
        <v>74.389853099999996</v>
      </c>
      <c r="AE39" s="12">
        <v>75.851813000000007</v>
      </c>
      <c r="AF39" s="12">
        <v>29.949825799999999</v>
      </c>
      <c r="AG39" s="12">
        <v>65.645128400000004</v>
      </c>
    </row>
    <row r="40" spans="1:33" s="11" customFormat="1" hidden="1" outlineLevel="1" x14ac:dyDescent="0.3">
      <c r="A40" s="11" t="s">
        <v>46</v>
      </c>
      <c r="B40" s="12">
        <v>3.7478780999999999</v>
      </c>
      <c r="C40" s="12">
        <v>85.166666699999993</v>
      </c>
      <c r="D40" s="12">
        <v>1.9837944000000001</v>
      </c>
      <c r="E40" s="17">
        <v>3.3333333000000001</v>
      </c>
      <c r="F40" s="13">
        <v>59.68</v>
      </c>
      <c r="G40" s="12">
        <v>14.281321</v>
      </c>
      <c r="H40" s="12">
        <v>10.2715338</v>
      </c>
      <c r="I40" s="12">
        <v>-8.7505048999999993</v>
      </c>
      <c r="J40" s="12">
        <v>3.5917183000000001</v>
      </c>
      <c r="K40" s="12">
        <v>4.5042499999999999E-2</v>
      </c>
      <c r="L40" s="12">
        <v>2.2599914000000001</v>
      </c>
      <c r="M40" s="12">
        <v>2.2949264</v>
      </c>
      <c r="N40" s="12">
        <v>22.624691299999999</v>
      </c>
      <c r="O40" s="12">
        <v>17.87848</v>
      </c>
      <c r="P40" s="7">
        <v>3952.9</v>
      </c>
      <c r="Q40" s="7">
        <v>319.60000000000002</v>
      </c>
      <c r="R40" s="7">
        <v>7.5</v>
      </c>
      <c r="S40" s="12">
        <v>9.4141124000000005</v>
      </c>
      <c r="T40" s="12">
        <v>8</v>
      </c>
      <c r="U40" s="12">
        <v>73.816666699999999</v>
      </c>
      <c r="V40" s="12">
        <v>259.97000000000003</v>
      </c>
      <c r="W40" s="12">
        <v>9.5951416999999992</v>
      </c>
      <c r="X40" s="7" t="s">
        <v>107</v>
      </c>
      <c r="Y40" s="7" t="s">
        <v>107</v>
      </c>
      <c r="Z40" s="12">
        <v>-6.3897665999999997</v>
      </c>
      <c r="AA40" s="12">
        <v>50.605814700000003</v>
      </c>
      <c r="AB40" s="12">
        <v>21.905601799999999</v>
      </c>
      <c r="AC40" s="12">
        <v>28.034703400000001</v>
      </c>
      <c r="AD40" s="12">
        <v>74.118218299999995</v>
      </c>
      <c r="AE40" s="12">
        <v>74.664338299999997</v>
      </c>
      <c r="AF40" s="12">
        <v>25.502234099999999</v>
      </c>
      <c r="AG40" s="12">
        <v>64.426800099999994</v>
      </c>
    </row>
    <row r="41" spans="1:33" s="11" customFormat="1" hidden="1" outlineLevel="1" x14ac:dyDescent="0.3">
      <c r="A41" s="11" t="s">
        <v>47</v>
      </c>
      <c r="B41" s="12">
        <v>3.5234725999999998</v>
      </c>
      <c r="C41" s="12">
        <v>85.39</v>
      </c>
      <c r="D41" s="12">
        <v>2.1737397000000001</v>
      </c>
      <c r="E41" s="17">
        <v>3.5833333000000001</v>
      </c>
      <c r="F41" s="13">
        <v>57.763333299999999</v>
      </c>
      <c r="G41" s="12">
        <v>1.7598168000000001</v>
      </c>
      <c r="H41" s="12">
        <v>21.282485000000001</v>
      </c>
      <c r="I41" s="12">
        <v>-8.3254888999999999</v>
      </c>
      <c r="J41" s="12">
        <v>1.550389</v>
      </c>
      <c r="K41" s="12">
        <v>1.802532</v>
      </c>
      <c r="L41" s="12">
        <v>-12.374059799999999</v>
      </c>
      <c r="M41" s="12">
        <v>5.7717634999999996</v>
      </c>
      <c r="N41" s="12">
        <v>19.3892062</v>
      </c>
      <c r="O41" s="12">
        <v>14.8858297</v>
      </c>
      <c r="P41" s="7">
        <v>3905.5</v>
      </c>
      <c r="Q41" s="7">
        <v>316.3</v>
      </c>
      <c r="R41" s="7">
        <v>7.5</v>
      </c>
      <c r="S41" s="12">
        <v>7.0942938</v>
      </c>
      <c r="T41" s="12">
        <v>8</v>
      </c>
      <c r="U41" s="12">
        <v>75.8</v>
      </c>
      <c r="V41" s="12">
        <v>252.34666669999999</v>
      </c>
      <c r="W41" s="12">
        <v>8.9887639999999998</v>
      </c>
      <c r="X41" s="7" t="s">
        <v>107</v>
      </c>
      <c r="Y41" s="7" t="s">
        <v>107</v>
      </c>
      <c r="Z41" s="12">
        <v>-7.6226339999999997</v>
      </c>
      <c r="AA41" s="12">
        <v>57.202263199999997</v>
      </c>
      <c r="AB41" s="12">
        <v>21.986705799999999</v>
      </c>
      <c r="AC41" s="12">
        <v>21.100645499999999</v>
      </c>
      <c r="AD41" s="12">
        <v>80.823872899999998</v>
      </c>
      <c r="AE41" s="12">
        <v>81.113487399999997</v>
      </c>
      <c r="AF41" s="12">
        <v>23.068368700000001</v>
      </c>
      <c r="AG41" s="12">
        <v>62.615651</v>
      </c>
    </row>
    <row r="42" spans="1:33" s="11" customFormat="1" hidden="1" outlineLevel="1" x14ac:dyDescent="0.3">
      <c r="A42" s="11" t="s">
        <v>48</v>
      </c>
      <c r="B42" s="12">
        <v>3.1678283999999999</v>
      </c>
      <c r="C42" s="12">
        <v>86.5</v>
      </c>
      <c r="D42" s="12">
        <v>2.1331864</v>
      </c>
      <c r="E42" s="17">
        <v>3.8333333000000001</v>
      </c>
      <c r="F42" s="13">
        <v>68.583333300000007</v>
      </c>
      <c r="G42" s="12">
        <v>-1.0620607</v>
      </c>
      <c r="H42" s="12">
        <v>11.0874247</v>
      </c>
      <c r="I42" s="12">
        <v>-1.7549417</v>
      </c>
      <c r="J42" s="12">
        <v>9.3869099999999997E-2</v>
      </c>
      <c r="K42" s="12">
        <v>0.92343839999999999</v>
      </c>
      <c r="L42" s="12">
        <v>-5.2595992999999996</v>
      </c>
      <c r="M42" s="12">
        <v>-1.4153817</v>
      </c>
      <c r="N42" s="12">
        <v>16.7576559</v>
      </c>
      <c r="O42" s="12">
        <v>15.1701351</v>
      </c>
      <c r="P42" s="7">
        <v>3942.5</v>
      </c>
      <c r="Q42" s="7">
        <v>296.89999999999998</v>
      </c>
      <c r="R42" s="7">
        <v>7</v>
      </c>
      <c r="S42" s="12">
        <v>8.6252022999999998</v>
      </c>
      <c r="T42" s="12">
        <v>7.75</v>
      </c>
      <c r="U42" s="12">
        <v>77.183333300000001</v>
      </c>
      <c r="V42" s="12">
        <v>248.2366667</v>
      </c>
      <c r="W42" s="12">
        <v>6.7095218000000001</v>
      </c>
      <c r="X42" s="7" t="s">
        <v>107</v>
      </c>
      <c r="Y42" s="7" t="s">
        <v>107</v>
      </c>
      <c r="Z42" s="12">
        <v>-7.3768929999999999</v>
      </c>
      <c r="AA42" s="12">
        <v>53.840461400000002</v>
      </c>
      <c r="AB42" s="12">
        <v>20.379533500000001</v>
      </c>
      <c r="AC42" s="12">
        <v>25.166405999999998</v>
      </c>
      <c r="AD42" s="12">
        <v>76.435599999999994</v>
      </c>
      <c r="AE42" s="12">
        <v>75.822000900000006</v>
      </c>
      <c r="AF42" s="12">
        <v>17.981635099999998</v>
      </c>
      <c r="AG42" s="12">
        <v>64.009324399999997</v>
      </c>
    </row>
    <row r="43" spans="1:33" s="11" customFormat="1" hidden="1" outlineLevel="1" x14ac:dyDescent="0.3">
      <c r="A43" s="11" t="s">
        <v>49</v>
      </c>
      <c r="B43" s="12">
        <v>3.1476855000000001</v>
      </c>
      <c r="C43" s="12">
        <v>86.6</v>
      </c>
      <c r="D43" s="12">
        <v>2.0344042999999998</v>
      </c>
      <c r="E43" s="17">
        <v>4</v>
      </c>
      <c r="F43" s="13">
        <v>74.953333299999997</v>
      </c>
      <c r="G43" s="12">
        <v>6.2859748</v>
      </c>
      <c r="H43" s="12">
        <v>12.2956793</v>
      </c>
      <c r="I43" s="12">
        <v>-3.3176394</v>
      </c>
      <c r="J43" s="12">
        <v>-7.2523500000000005E-2</v>
      </c>
      <c r="K43" s="12">
        <v>0.33545439999999999</v>
      </c>
      <c r="L43" s="12">
        <v>0.63888650000000002</v>
      </c>
      <c r="M43" s="12">
        <v>-6.5993519000000003</v>
      </c>
      <c r="N43" s="12">
        <v>17.368702500000001</v>
      </c>
      <c r="O43" s="12">
        <v>15.249322299999999</v>
      </c>
      <c r="P43" s="7">
        <v>3947.4</v>
      </c>
      <c r="Q43" s="7">
        <v>306.8</v>
      </c>
      <c r="R43" s="7">
        <v>7.2</v>
      </c>
      <c r="S43" s="12">
        <v>8.8546191000000007</v>
      </c>
      <c r="T43" s="12">
        <v>7.5</v>
      </c>
      <c r="U43" s="12">
        <v>77.73</v>
      </c>
      <c r="V43" s="12">
        <v>251.81</v>
      </c>
      <c r="W43" s="12">
        <v>9.0177133999999999</v>
      </c>
      <c r="X43" s="7" t="s">
        <v>107</v>
      </c>
      <c r="Y43" s="7" t="s">
        <v>107</v>
      </c>
      <c r="Z43" s="12">
        <v>-6.0339748999999996</v>
      </c>
      <c r="AA43" s="12">
        <v>54.599797899999999</v>
      </c>
      <c r="AB43" s="12">
        <v>19.745470000000001</v>
      </c>
      <c r="AC43" s="12">
        <v>24.629403499999999</v>
      </c>
      <c r="AD43" s="12">
        <v>78.493269799999993</v>
      </c>
      <c r="AE43" s="12">
        <v>77.467941300000007</v>
      </c>
      <c r="AF43" s="12">
        <v>20.460273000000001</v>
      </c>
      <c r="AG43" s="12">
        <v>64.366660100000004</v>
      </c>
    </row>
    <row r="44" spans="1:33" s="11" customFormat="1" hidden="1" outlineLevel="1" x14ac:dyDescent="0.3">
      <c r="A44" s="11" t="s">
        <v>50</v>
      </c>
      <c r="B44" s="12">
        <v>2.7223932</v>
      </c>
      <c r="C44" s="12">
        <v>87.72</v>
      </c>
      <c r="D44" s="12">
        <v>2.998043</v>
      </c>
      <c r="E44" s="17">
        <v>4</v>
      </c>
      <c r="F44" s="13">
        <v>88.56</v>
      </c>
      <c r="G44" s="12">
        <v>3.5823592999999998</v>
      </c>
      <c r="H44" s="12">
        <v>7.1702282000000004</v>
      </c>
      <c r="I44" s="12">
        <v>-7.0598485999999996</v>
      </c>
      <c r="J44" s="12">
        <v>-0.28250259999999999</v>
      </c>
      <c r="K44" s="12">
        <v>1.0864412999999999</v>
      </c>
      <c r="L44" s="12">
        <v>0.65510380000000001</v>
      </c>
      <c r="M44" s="12">
        <v>-3.5192435999999998</v>
      </c>
      <c r="N44" s="12">
        <v>11.6845813</v>
      </c>
      <c r="O44" s="12">
        <v>11.6130627</v>
      </c>
      <c r="P44" s="7">
        <v>3909.4</v>
      </c>
      <c r="Q44" s="7">
        <v>327.8</v>
      </c>
      <c r="R44" s="7">
        <v>7.7</v>
      </c>
      <c r="S44" s="12">
        <v>7.4546327000000003</v>
      </c>
      <c r="T44" s="12">
        <v>7.5</v>
      </c>
      <c r="U44" s="12">
        <v>79.09</v>
      </c>
      <c r="V44" s="12">
        <v>252.9</v>
      </c>
      <c r="W44" s="12">
        <v>7.0188401000000002</v>
      </c>
      <c r="X44" s="7" t="s">
        <v>107</v>
      </c>
      <c r="Y44" s="7" t="s">
        <v>107</v>
      </c>
      <c r="Z44" s="12">
        <v>-7.2376404000000001</v>
      </c>
      <c r="AA44" s="12">
        <v>51.895324500000001</v>
      </c>
      <c r="AB44" s="12">
        <v>21.103998499999999</v>
      </c>
      <c r="AC44" s="12">
        <v>27.7546596</v>
      </c>
      <c r="AD44" s="12">
        <v>75.969094200000001</v>
      </c>
      <c r="AE44" s="12">
        <v>76.723076800000001</v>
      </c>
      <c r="AF44" s="12">
        <v>24.3999728</v>
      </c>
      <c r="AG44" s="12">
        <v>65.550282999999993</v>
      </c>
    </row>
    <row r="45" spans="1:33" s="11" customFormat="1" hidden="1" outlineLevel="1" x14ac:dyDescent="0.3">
      <c r="A45" s="11" t="s">
        <v>51</v>
      </c>
      <c r="B45" s="12">
        <v>1.9060995000000001</v>
      </c>
      <c r="C45" s="12">
        <v>88.42</v>
      </c>
      <c r="D45" s="12">
        <v>3.5484249000000001</v>
      </c>
      <c r="E45" s="17">
        <v>4</v>
      </c>
      <c r="F45" s="13">
        <v>96.936666700000004</v>
      </c>
      <c r="G45" s="12">
        <v>-1.8248787</v>
      </c>
      <c r="H45" s="12">
        <v>8.5729226999999995</v>
      </c>
      <c r="I45" s="12">
        <v>-3.0713705999999998</v>
      </c>
      <c r="J45" s="12">
        <v>1.8498502999999999</v>
      </c>
      <c r="K45" s="12">
        <v>0.30342370000000002</v>
      </c>
      <c r="L45" s="12">
        <v>5.0004666999999996</v>
      </c>
      <c r="M45" s="12">
        <v>-3.0459559999999999</v>
      </c>
      <c r="N45" s="12">
        <v>15.8737656</v>
      </c>
      <c r="O45" s="12">
        <v>14.3734635</v>
      </c>
      <c r="P45" s="7">
        <v>3844.2</v>
      </c>
      <c r="Q45" s="7">
        <v>332.6</v>
      </c>
      <c r="R45" s="7">
        <v>8</v>
      </c>
      <c r="S45" s="12">
        <v>6.1430899999999999</v>
      </c>
      <c r="T45" s="12">
        <v>7.5</v>
      </c>
      <c r="U45" s="12">
        <v>81.033333299999995</v>
      </c>
      <c r="V45" s="12">
        <v>259.37333330000001</v>
      </c>
      <c r="W45" s="12">
        <v>7.9801450999999997</v>
      </c>
      <c r="X45" s="7" t="s">
        <v>107</v>
      </c>
      <c r="Y45" s="7" t="s">
        <v>107</v>
      </c>
      <c r="Z45" s="12">
        <v>-6.8723210000000003</v>
      </c>
      <c r="AA45" s="12">
        <v>56.362917199999998</v>
      </c>
      <c r="AB45" s="12">
        <v>22.174120500000001</v>
      </c>
      <c r="AC45" s="12">
        <v>21.480337599999999</v>
      </c>
      <c r="AD45" s="12">
        <v>87.150547700000004</v>
      </c>
      <c r="AE45" s="12">
        <v>87.167923000000002</v>
      </c>
      <c r="AF45" s="12">
        <v>31.3515035</v>
      </c>
      <c r="AG45" s="12">
        <v>64.140406999999996</v>
      </c>
    </row>
    <row r="46" spans="1:33" s="11" customFormat="1" hidden="1" outlineLevel="1" x14ac:dyDescent="0.3">
      <c r="A46" s="11" t="s">
        <v>52</v>
      </c>
      <c r="B46" s="12">
        <v>1.9101475000000001</v>
      </c>
      <c r="C46" s="12">
        <v>89.906666700000002</v>
      </c>
      <c r="D46" s="12">
        <v>3.9383430000000001</v>
      </c>
      <c r="E46" s="17">
        <v>4</v>
      </c>
      <c r="F46" s="13">
        <v>121.3966667</v>
      </c>
      <c r="G46" s="12">
        <v>8.0728515999999999</v>
      </c>
      <c r="H46" s="12">
        <v>7.4062336000000002</v>
      </c>
      <c r="I46" s="12">
        <v>-2.0328577000000001</v>
      </c>
      <c r="J46" s="12">
        <v>2.6289959000000001</v>
      </c>
      <c r="K46" s="12">
        <v>1.1096477</v>
      </c>
      <c r="L46" s="12">
        <v>4.3011815999999996</v>
      </c>
      <c r="M46" s="12">
        <v>9.0945000999999994</v>
      </c>
      <c r="N46" s="12">
        <v>10.786158199999999</v>
      </c>
      <c r="O46" s="12">
        <v>12.1796034</v>
      </c>
      <c r="P46" s="7">
        <v>3868.5</v>
      </c>
      <c r="Q46" s="7">
        <v>319.2</v>
      </c>
      <c r="R46" s="7">
        <v>7.6</v>
      </c>
      <c r="S46" s="12">
        <v>9.6388929999999995</v>
      </c>
      <c r="T46" s="12">
        <v>8.5</v>
      </c>
      <c r="U46" s="12">
        <v>82.423333299999996</v>
      </c>
      <c r="V46" s="12">
        <v>247.9533333</v>
      </c>
      <c r="W46" s="12">
        <v>5.6475904000000003</v>
      </c>
      <c r="X46" s="7" t="s">
        <v>107</v>
      </c>
      <c r="Y46" s="7" t="s">
        <v>107</v>
      </c>
      <c r="Z46" s="12">
        <v>-5.4773601000000003</v>
      </c>
      <c r="AA46" s="12">
        <v>53.308918900000002</v>
      </c>
      <c r="AB46" s="12">
        <v>21.355430999999999</v>
      </c>
      <c r="AC46" s="12">
        <v>24.539588800000001</v>
      </c>
      <c r="AD46" s="12">
        <v>80.256369300000003</v>
      </c>
      <c r="AE46" s="12">
        <v>79.460307900000004</v>
      </c>
      <c r="AF46" s="12">
        <v>22.889657799999998</v>
      </c>
      <c r="AG46" s="12">
        <v>63.224695099999998</v>
      </c>
    </row>
    <row r="47" spans="1:33" s="11" customFormat="1" hidden="1" outlineLevel="1" x14ac:dyDescent="0.3">
      <c r="A47" s="11" t="s">
        <v>53</v>
      </c>
      <c r="B47" s="12">
        <v>0.87131639999999999</v>
      </c>
      <c r="C47" s="12">
        <v>90.323333300000002</v>
      </c>
      <c r="D47" s="12">
        <v>4.2994611000000003</v>
      </c>
      <c r="E47" s="17">
        <v>4.25</v>
      </c>
      <c r="F47" s="13">
        <v>114.3966667</v>
      </c>
      <c r="G47" s="12">
        <v>0.42764079999999999</v>
      </c>
      <c r="H47" s="12">
        <v>4.2458454999999997</v>
      </c>
      <c r="I47" s="12">
        <v>-1.6046931</v>
      </c>
      <c r="J47" s="12">
        <v>1.9043239999999999</v>
      </c>
      <c r="K47" s="12">
        <v>-1.3531895</v>
      </c>
      <c r="L47" s="12">
        <v>7.0604285999999998</v>
      </c>
      <c r="M47" s="12">
        <v>4.3066053000000002</v>
      </c>
      <c r="N47" s="12">
        <v>4.9379384999999996</v>
      </c>
      <c r="O47" s="12">
        <v>4.6914705999999997</v>
      </c>
      <c r="P47" s="7">
        <v>3924.3</v>
      </c>
      <c r="Q47" s="7">
        <v>327.7</v>
      </c>
      <c r="R47" s="7">
        <v>7.7</v>
      </c>
      <c r="S47" s="12">
        <v>7.4390228</v>
      </c>
      <c r="T47" s="12">
        <v>8.5</v>
      </c>
      <c r="U47" s="12">
        <v>82.643333299999995</v>
      </c>
      <c r="V47" s="12">
        <v>236.12666669999999</v>
      </c>
      <c r="W47" s="12">
        <v>-0.73855249999999995</v>
      </c>
      <c r="X47" s="7" t="s">
        <v>107</v>
      </c>
      <c r="Y47" s="7" t="s">
        <v>107</v>
      </c>
      <c r="Z47" s="12">
        <v>-7.7315857000000001</v>
      </c>
      <c r="AA47" s="12">
        <v>55.607961500000002</v>
      </c>
      <c r="AB47" s="12">
        <v>20.860937700000001</v>
      </c>
      <c r="AC47" s="12">
        <v>23.757134700000002</v>
      </c>
      <c r="AD47" s="12">
        <v>77.258828800000003</v>
      </c>
      <c r="AE47" s="12">
        <v>77.484862800000002</v>
      </c>
      <c r="AF47" s="12">
        <v>23.60989</v>
      </c>
      <c r="AG47" s="12">
        <v>64.058593999999999</v>
      </c>
    </row>
    <row r="48" spans="1:33" s="11" customFormat="1" hidden="1" outlineLevel="1" x14ac:dyDescent="0.3">
      <c r="A48" s="11" t="s">
        <v>54</v>
      </c>
      <c r="B48" s="12">
        <v>-1.9881508000000001</v>
      </c>
      <c r="C48" s="12">
        <v>90.23</v>
      </c>
      <c r="D48" s="12">
        <v>2.8613770999999999</v>
      </c>
      <c r="E48" s="17">
        <v>3.1666666999999999</v>
      </c>
      <c r="F48" s="13">
        <v>54.66</v>
      </c>
      <c r="G48" s="12">
        <v>7.0092713</v>
      </c>
      <c r="H48" s="12">
        <v>5.2198566</v>
      </c>
      <c r="I48" s="12">
        <v>-8.0662433</v>
      </c>
      <c r="J48" s="12">
        <v>-2.1018976</v>
      </c>
      <c r="K48" s="12">
        <v>-4.5687068999999996</v>
      </c>
      <c r="L48" s="12">
        <v>-3.3512748000000001</v>
      </c>
      <c r="M48" s="12">
        <v>-3.7003216999999999</v>
      </c>
      <c r="N48" s="12">
        <v>-3.4479788999999998</v>
      </c>
      <c r="O48" s="12">
        <v>-6.0783186999999996</v>
      </c>
      <c r="P48" s="7">
        <v>3880.7</v>
      </c>
      <c r="Q48" s="7">
        <v>337.1</v>
      </c>
      <c r="R48" s="7">
        <v>8</v>
      </c>
      <c r="S48" s="12">
        <v>7.0436572999999996</v>
      </c>
      <c r="T48" s="12">
        <v>10</v>
      </c>
      <c r="U48" s="12">
        <v>82.396666699999997</v>
      </c>
      <c r="V48" s="12">
        <v>263.49666669999999</v>
      </c>
      <c r="W48" s="12">
        <v>-11.529168200000001</v>
      </c>
      <c r="X48" s="7" t="s">
        <v>107</v>
      </c>
      <c r="Y48" s="7" t="s">
        <v>107</v>
      </c>
      <c r="Z48" s="12">
        <v>-8.4604546999999997</v>
      </c>
      <c r="AA48" s="12">
        <v>49.329724599999999</v>
      </c>
      <c r="AB48" s="12">
        <v>21.173317900000001</v>
      </c>
      <c r="AC48" s="12">
        <v>29.883799400000001</v>
      </c>
      <c r="AD48" s="12">
        <v>73.036490400000005</v>
      </c>
      <c r="AE48" s="12">
        <v>73.423332299999998</v>
      </c>
      <c r="AF48" s="12">
        <v>30.5566344</v>
      </c>
      <c r="AG48" s="12">
        <v>71.756932800000001</v>
      </c>
    </row>
    <row r="49" spans="1:33" s="11" customFormat="1" hidden="1" outlineLevel="1" x14ac:dyDescent="0.3">
      <c r="A49" s="11" t="s">
        <v>55</v>
      </c>
      <c r="B49" s="12">
        <v>-5.4359460999999998</v>
      </c>
      <c r="C49" s="12">
        <v>89.88</v>
      </c>
      <c r="D49" s="12">
        <v>1.6512100999999999</v>
      </c>
      <c r="E49" s="17">
        <v>1.8333333000000001</v>
      </c>
      <c r="F49" s="13">
        <v>44.433333300000001</v>
      </c>
      <c r="G49" s="12">
        <v>4.4100405</v>
      </c>
      <c r="H49" s="12">
        <v>-0.59137410000000001</v>
      </c>
      <c r="I49" s="12">
        <v>-5.7924816000000003</v>
      </c>
      <c r="J49" s="12">
        <v>-7.0795392000000001</v>
      </c>
      <c r="K49" s="12">
        <v>-6.9936479</v>
      </c>
      <c r="L49" s="12">
        <v>-1.4312678000000001</v>
      </c>
      <c r="M49" s="12">
        <v>-26.519512200000001</v>
      </c>
      <c r="N49" s="12">
        <v>-18.1962811</v>
      </c>
      <c r="O49" s="12">
        <v>-20.910858699999999</v>
      </c>
      <c r="P49" s="7">
        <v>3763.9</v>
      </c>
      <c r="Q49" s="7">
        <v>402.8</v>
      </c>
      <c r="R49" s="7">
        <v>9.6999999999999993</v>
      </c>
      <c r="S49" s="12">
        <v>0.26671630000000002</v>
      </c>
      <c r="T49" s="12">
        <v>9.5</v>
      </c>
      <c r="U49" s="12">
        <v>83.236666700000001</v>
      </c>
      <c r="V49" s="12">
        <v>294.10000000000002</v>
      </c>
      <c r="W49" s="12">
        <v>-22.524752500000002</v>
      </c>
      <c r="X49" s="12">
        <v>-23.3399939</v>
      </c>
      <c r="Y49" s="12">
        <v>-25.135186099999999</v>
      </c>
      <c r="Z49" s="12">
        <v>-3.3460369999999999</v>
      </c>
      <c r="AA49" s="12">
        <v>56.683400200000001</v>
      </c>
      <c r="AB49" s="12">
        <v>23.621810499999999</v>
      </c>
      <c r="AC49" s="12">
        <v>18.0560264</v>
      </c>
      <c r="AD49" s="12">
        <v>79.825750900000003</v>
      </c>
      <c r="AE49" s="12">
        <v>78.186987999999999</v>
      </c>
      <c r="AF49" s="12">
        <v>31.996124699999999</v>
      </c>
      <c r="AG49" s="12">
        <v>83.368887799999996</v>
      </c>
    </row>
    <row r="50" spans="1:33" s="11" customFormat="1" hidden="1" outlineLevel="1" x14ac:dyDescent="0.3">
      <c r="A50" s="11" t="s">
        <v>56</v>
      </c>
      <c r="B50" s="12">
        <v>-5.8020649999999998</v>
      </c>
      <c r="C50" s="12">
        <v>90.723333299999993</v>
      </c>
      <c r="D50" s="12">
        <v>0.90834930000000003</v>
      </c>
      <c r="E50" s="17">
        <v>1.0833333000000001</v>
      </c>
      <c r="F50" s="13">
        <v>58.696666700000002</v>
      </c>
      <c r="G50" s="12">
        <v>4.9032834999999997</v>
      </c>
      <c r="H50" s="12">
        <v>2.2375327999999999</v>
      </c>
      <c r="I50" s="12">
        <v>-3.4520621</v>
      </c>
      <c r="J50" s="12">
        <v>-7.9454981</v>
      </c>
      <c r="K50" s="12">
        <v>-7.2378008999999999</v>
      </c>
      <c r="L50" s="12">
        <v>1.0045217</v>
      </c>
      <c r="M50" s="12">
        <v>-35.478761300000002</v>
      </c>
      <c r="N50" s="12">
        <v>-15.3233202</v>
      </c>
      <c r="O50" s="12">
        <v>-21.333769100000001</v>
      </c>
      <c r="P50" s="7">
        <v>3797.1</v>
      </c>
      <c r="Q50" s="7">
        <v>401.7</v>
      </c>
      <c r="R50" s="7">
        <v>9.6</v>
      </c>
      <c r="S50" s="12">
        <v>2.2678020999999999</v>
      </c>
      <c r="T50" s="12">
        <v>9.5</v>
      </c>
      <c r="U50" s="12">
        <v>85.35</v>
      </c>
      <c r="V50" s="12">
        <v>285.8833333</v>
      </c>
      <c r="W50" s="12">
        <v>-22.808268000000002</v>
      </c>
      <c r="X50" s="12">
        <v>-23.369143999999999</v>
      </c>
      <c r="Y50" s="12">
        <v>-27.9766203</v>
      </c>
      <c r="Z50" s="12">
        <v>0.14610609999999999</v>
      </c>
      <c r="AA50" s="12">
        <v>53.692041000000003</v>
      </c>
      <c r="AB50" s="12">
        <v>22.381862000000002</v>
      </c>
      <c r="AC50" s="12">
        <v>19.092219499999999</v>
      </c>
      <c r="AD50" s="12">
        <v>73.899075699999997</v>
      </c>
      <c r="AE50" s="12">
        <v>69.065198300000006</v>
      </c>
      <c r="AF50" s="12">
        <v>22.519466300000001</v>
      </c>
      <c r="AG50" s="12">
        <v>76.350733500000004</v>
      </c>
    </row>
    <row r="51" spans="1:33" s="11" customFormat="1" hidden="1" outlineLevel="1" x14ac:dyDescent="0.3">
      <c r="A51" s="11" t="s">
        <v>57</v>
      </c>
      <c r="B51" s="12">
        <v>-4.1677857999999999</v>
      </c>
      <c r="C51" s="12">
        <v>90.663333300000005</v>
      </c>
      <c r="D51" s="12">
        <v>0.37642540000000002</v>
      </c>
      <c r="E51" s="17">
        <v>1</v>
      </c>
      <c r="F51" s="13">
        <v>68.2</v>
      </c>
      <c r="G51" s="12">
        <v>4.7108381000000001</v>
      </c>
      <c r="H51" s="12">
        <v>-2.0538802999999999</v>
      </c>
      <c r="I51" s="12">
        <v>-4.7715337</v>
      </c>
      <c r="J51" s="12">
        <v>-7.4351126000000001</v>
      </c>
      <c r="K51" s="12">
        <v>-8.3976953000000005</v>
      </c>
      <c r="L51" s="12">
        <v>-3.0688756000000001</v>
      </c>
      <c r="M51" s="12">
        <v>-20.7734974</v>
      </c>
      <c r="N51" s="12">
        <v>-9.0512867999999997</v>
      </c>
      <c r="O51" s="12">
        <v>-13.002682800000001</v>
      </c>
      <c r="P51" s="7">
        <v>3783.5</v>
      </c>
      <c r="Q51" s="7">
        <v>436.2</v>
      </c>
      <c r="R51" s="7">
        <v>10.3</v>
      </c>
      <c r="S51" s="12">
        <v>0.91027970000000002</v>
      </c>
      <c r="T51" s="12">
        <v>7.5</v>
      </c>
      <c r="U51" s="12">
        <v>86.66</v>
      </c>
      <c r="V51" s="12">
        <v>271.31666669999998</v>
      </c>
      <c r="W51" s="12">
        <v>-17.7827381</v>
      </c>
      <c r="X51" s="12">
        <v>-18.7032746</v>
      </c>
      <c r="Y51" s="12">
        <v>-24.246479399999998</v>
      </c>
      <c r="Z51" s="12">
        <v>0.86843950000000003</v>
      </c>
      <c r="AA51" s="12">
        <v>54.371138100000003</v>
      </c>
      <c r="AB51" s="12">
        <v>20.4278397</v>
      </c>
      <c r="AC51" s="12">
        <v>20.688783099999998</v>
      </c>
      <c r="AD51" s="12">
        <v>73.734640299999995</v>
      </c>
      <c r="AE51" s="12">
        <v>69.222401300000001</v>
      </c>
      <c r="AF51" s="12">
        <v>13.642272699999999</v>
      </c>
      <c r="AG51" s="12">
        <v>78.114456399999995</v>
      </c>
    </row>
    <row r="52" spans="1:33" s="11" customFormat="1" hidden="1" outlineLevel="1" x14ac:dyDescent="0.3">
      <c r="A52" s="11" t="s">
        <v>58</v>
      </c>
      <c r="B52" s="12">
        <v>-1.8288317999999999</v>
      </c>
      <c r="C52" s="12">
        <v>91.146666699999997</v>
      </c>
      <c r="D52" s="12">
        <v>1.0159222999999999</v>
      </c>
      <c r="E52" s="17">
        <v>1</v>
      </c>
      <c r="F52" s="13">
        <v>74.63</v>
      </c>
      <c r="G52" s="12">
        <v>-8.0155101000000002</v>
      </c>
      <c r="H52" s="12">
        <v>-2.7868596999999999</v>
      </c>
      <c r="I52" s="12">
        <v>-5.0383979999999999</v>
      </c>
      <c r="J52" s="12">
        <v>-4.0122736999999997</v>
      </c>
      <c r="K52" s="12">
        <v>-4.9648680000000001</v>
      </c>
      <c r="L52" s="12">
        <v>6.2727183000000002</v>
      </c>
      <c r="M52" s="12">
        <v>-12.683271700000001</v>
      </c>
      <c r="N52" s="12">
        <v>0.26156020000000002</v>
      </c>
      <c r="O52" s="12">
        <v>-0.54064270000000003</v>
      </c>
      <c r="P52" s="7">
        <v>3782.8</v>
      </c>
      <c r="Q52" s="7">
        <v>442</v>
      </c>
      <c r="R52" s="7">
        <v>10.5</v>
      </c>
      <c r="S52" s="12">
        <v>-1.5759544999999999</v>
      </c>
      <c r="T52" s="12">
        <v>6.25</v>
      </c>
      <c r="U52" s="12">
        <v>86.463333300000002</v>
      </c>
      <c r="V52" s="12">
        <v>270.87666669999999</v>
      </c>
      <c r="W52" s="12">
        <v>-6.8279360000000002</v>
      </c>
      <c r="X52" s="12">
        <v>-6.6785129000000003</v>
      </c>
      <c r="Y52" s="12">
        <v>-11.1118758</v>
      </c>
      <c r="Z52" s="12">
        <v>-0.90878510000000001</v>
      </c>
      <c r="AA52" s="12">
        <v>49.8132637</v>
      </c>
      <c r="AB52" s="12">
        <v>21.814408499999999</v>
      </c>
      <c r="AC52" s="12">
        <v>25.6430145</v>
      </c>
      <c r="AD52" s="12">
        <v>70.3391637</v>
      </c>
      <c r="AE52" s="12">
        <v>67.609850499999993</v>
      </c>
      <c r="AF52" s="12">
        <v>1.5953805000000001</v>
      </c>
      <c r="AG52" s="12">
        <v>78.032181300000005</v>
      </c>
    </row>
    <row r="53" spans="1:33" s="11" customFormat="1" hidden="1" outlineLevel="1" x14ac:dyDescent="0.3">
      <c r="A53" s="11" t="s">
        <v>59</v>
      </c>
      <c r="B53" s="12">
        <v>1.1991562</v>
      </c>
      <c r="C53" s="12">
        <v>91.416666699999993</v>
      </c>
      <c r="D53" s="12">
        <v>1.709687</v>
      </c>
      <c r="E53" s="17">
        <v>1</v>
      </c>
      <c r="F53" s="13">
        <v>76.25</v>
      </c>
      <c r="G53" s="12">
        <v>9.5769699999999999E-2</v>
      </c>
      <c r="H53" s="12">
        <v>0.67377569999999998</v>
      </c>
      <c r="I53" s="12">
        <v>-5.4883071000000001</v>
      </c>
      <c r="J53" s="12">
        <v>-0.18434970000000001</v>
      </c>
      <c r="K53" s="12">
        <v>-1.8756512999999999</v>
      </c>
      <c r="L53" s="12">
        <v>-0.34426869999999998</v>
      </c>
      <c r="M53" s="12">
        <v>-4.4198301999999998</v>
      </c>
      <c r="N53" s="12">
        <v>10.2346439</v>
      </c>
      <c r="O53" s="12">
        <v>8.1578976999999995</v>
      </c>
      <c r="P53" s="7">
        <v>3719.3</v>
      </c>
      <c r="Q53" s="7">
        <v>497.8</v>
      </c>
      <c r="R53" s="7">
        <v>11.8</v>
      </c>
      <c r="S53" s="12">
        <v>5.5277672999999998</v>
      </c>
      <c r="T53" s="12">
        <v>5.5</v>
      </c>
      <c r="U53" s="12">
        <v>88.103333300000003</v>
      </c>
      <c r="V53" s="12">
        <v>268.68</v>
      </c>
      <c r="W53" s="12">
        <v>5.2031036000000004</v>
      </c>
      <c r="X53" s="12">
        <v>12.0256115</v>
      </c>
      <c r="Y53" s="12">
        <v>7.4990072999999997</v>
      </c>
      <c r="Z53" s="12">
        <v>-0.45238440000000002</v>
      </c>
      <c r="AA53" s="12">
        <v>57.037369400000003</v>
      </c>
      <c r="AB53" s="12">
        <v>24.474721899999999</v>
      </c>
      <c r="AC53" s="12">
        <v>13.6947607</v>
      </c>
      <c r="AD53" s="12">
        <v>80.959151199999994</v>
      </c>
      <c r="AE53" s="12">
        <v>76.166003200000006</v>
      </c>
      <c r="AF53" s="12">
        <v>-7.2624392999999996</v>
      </c>
      <c r="AG53" s="12">
        <v>77.438275399999995</v>
      </c>
    </row>
    <row r="54" spans="1:33" s="11" customFormat="1" hidden="1" outlineLevel="1" x14ac:dyDescent="0.3">
      <c r="A54" s="11" t="s">
        <v>60</v>
      </c>
      <c r="B54" s="12">
        <v>2.6157658000000001</v>
      </c>
      <c r="C54" s="12">
        <v>92.57</v>
      </c>
      <c r="D54" s="12">
        <v>2.0354926</v>
      </c>
      <c r="E54" s="17">
        <v>1</v>
      </c>
      <c r="F54" s="13">
        <v>78.510000000000005</v>
      </c>
      <c r="G54" s="12">
        <v>1.9513058999999999</v>
      </c>
      <c r="H54" s="12">
        <v>-5.0641233000000003</v>
      </c>
      <c r="I54" s="12">
        <v>-6.6323299999999996</v>
      </c>
      <c r="J54" s="12">
        <v>0.7783523</v>
      </c>
      <c r="K54" s="12">
        <v>-3.516327</v>
      </c>
      <c r="L54" s="12">
        <v>0.48195260000000001</v>
      </c>
      <c r="M54" s="12">
        <v>8.0950406000000008</v>
      </c>
      <c r="N54" s="12">
        <v>13.371473399999999</v>
      </c>
      <c r="O54" s="12">
        <v>12.7606153</v>
      </c>
      <c r="P54" s="7">
        <v>3778.9</v>
      </c>
      <c r="Q54" s="7">
        <v>473.3</v>
      </c>
      <c r="R54" s="7">
        <v>11.1</v>
      </c>
      <c r="S54" s="12">
        <v>0.26803460000000001</v>
      </c>
      <c r="T54" s="12">
        <v>5.25</v>
      </c>
      <c r="U54" s="12">
        <v>89.783333299999995</v>
      </c>
      <c r="V54" s="12">
        <v>274.60000000000002</v>
      </c>
      <c r="W54" s="12">
        <v>13.5272392</v>
      </c>
      <c r="X54" s="12">
        <v>17.309026800000002</v>
      </c>
      <c r="Y54" s="12">
        <v>17.313756699999999</v>
      </c>
      <c r="Z54" s="12">
        <v>0.63282959999999999</v>
      </c>
      <c r="AA54" s="12">
        <v>52.621954899999999</v>
      </c>
      <c r="AB54" s="12">
        <v>21.4571708</v>
      </c>
      <c r="AC54" s="12">
        <v>20.517774500000002</v>
      </c>
      <c r="AD54" s="12">
        <v>80.953664200000006</v>
      </c>
      <c r="AE54" s="12">
        <v>75.550564399999999</v>
      </c>
      <c r="AF54" s="12">
        <v>11.0352905</v>
      </c>
      <c r="AG54" s="12">
        <v>81.365305899999996</v>
      </c>
    </row>
    <row r="55" spans="1:33" s="11" customFormat="1" hidden="1" outlineLevel="1" x14ac:dyDescent="0.3">
      <c r="A55" s="11" t="s">
        <v>61</v>
      </c>
      <c r="B55" s="12">
        <v>2.4618717000000001</v>
      </c>
      <c r="C55" s="12">
        <v>92.583333300000007</v>
      </c>
      <c r="D55" s="12">
        <v>2.1177248999999998</v>
      </c>
      <c r="E55" s="17">
        <v>1</v>
      </c>
      <c r="F55" s="13">
        <v>76.819999999999993</v>
      </c>
      <c r="G55" s="12">
        <v>-0.76121910000000004</v>
      </c>
      <c r="H55" s="12">
        <v>3.7544265000000001</v>
      </c>
      <c r="I55" s="12">
        <v>-2.5823299</v>
      </c>
      <c r="J55" s="12">
        <v>1.6489444</v>
      </c>
      <c r="K55" s="12">
        <v>1.1750986000000001</v>
      </c>
      <c r="L55" s="12">
        <v>2.9649296999999999</v>
      </c>
      <c r="M55" s="12">
        <v>-0.89087439999999996</v>
      </c>
      <c r="N55" s="12">
        <v>11.1613031</v>
      </c>
      <c r="O55" s="12">
        <v>11.0020062</v>
      </c>
      <c r="P55" s="7">
        <v>3822.5</v>
      </c>
      <c r="Q55" s="7">
        <v>465.7</v>
      </c>
      <c r="R55" s="7">
        <v>10.9</v>
      </c>
      <c r="S55" s="12">
        <v>1.4774155</v>
      </c>
      <c r="T55" s="12">
        <v>5.25</v>
      </c>
      <c r="U55" s="12">
        <v>89.806666699999994</v>
      </c>
      <c r="V55" s="12">
        <v>282.43333330000002</v>
      </c>
      <c r="W55" s="12">
        <v>12.714931999999999</v>
      </c>
      <c r="X55" s="12">
        <v>15.5754602</v>
      </c>
      <c r="Y55" s="12">
        <v>16.4863365</v>
      </c>
      <c r="Z55" s="12">
        <v>0.65182300000000004</v>
      </c>
      <c r="AA55" s="12">
        <v>53.242297499999999</v>
      </c>
      <c r="AB55" s="12">
        <v>20.365690499999999</v>
      </c>
      <c r="AC55" s="12">
        <v>21.739670799999999</v>
      </c>
      <c r="AD55" s="12">
        <v>83.640201500000003</v>
      </c>
      <c r="AE55" s="12">
        <v>78.987860299999994</v>
      </c>
      <c r="AF55" s="12">
        <v>6.9099405000000003</v>
      </c>
      <c r="AG55" s="12">
        <v>79.926278600000003</v>
      </c>
    </row>
    <row r="56" spans="1:33" s="11" customFormat="1" hidden="1" outlineLevel="1" x14ac:dyDescent="0.3">
      <c r="A56" s="11" t="s">
        <v>62</v>
      </c>
      <c r="B56" s="12">
        <v>2.3931737000000002</v>
      </c>
      <c r="C56" s="12">
        <v>93.383333300000004</v>
      </c>
      <c r="D56" s="12">
        <v>2.4539203000000001</v>
      </c>
      <c r="E56" s="17">
        <v>1</v>
      </c>
      <c r="F56" s="13">
        <v>86.466666700000005</v>
      </c>
      <c r="G56" s="12">
        <v>-0.99232849999999995</v>
      </c>
      <c r="H56" s="12">
        <v>2.4177954000000001</v>
      </c>
      <c r="I56" s="12">
        <v>-3.3280826999999999</v>
      </c>
      <c r="J56" s="12">
        <v>1.8862188</v>
      </c>
      <c r="K56" s="12">
        <v>-0.82423230000000003</v>
      </c>
      <c r="L56" s="12">
        <v>-3.4905618</v>
      </c>
      <c r="M56" s="12">
        <v>3.8463204000000002</v>
      </c>
      <c r="N56" s="12">
        <v>9.8140854999999991</v>
      </c>
      <c r="O56" s="12">
        <v>7.3443483000000001</v>
      </c>
      <c r="P56" s="7">
        <v>3804.3</v>
      </c>
      <c r="Q56" s="7">
        <v>462.1</v>
      </c>
      <c r="R56" s="7">
        <v>10.8</v>
      </c>
      <c r="S56" s="12">
        <v>-1.6522969999999999</v>
      </c>
      <c r="T56" s="12">
        <v>5.75</v>
      </c>
      <c r="U56" s="12">
        <v>90.176666699999998</v>
      </c>
      <c r="V56" s="12">
        <v>275.71333329999999</v>
      </c>
      <c r="W56" s="12">
        <v>10.594639799999999</v>
      </c>
      <c r="X56" s="12">
        <v>15.4395515</v>
      </c>
      <c r="Y56" s="12">
        <v>13.8669218</v>
      </c>
      <c r="Z56" s="12">
        <v>0.2006899</v>
      </c>
      <c r="AA56" s="12">
        <v>48.706745699999999</v>
      </c>
      <c r="AB56" s="12">
        <v>19.863331500000001</v>
      </c>
      <c r="AC56" s="12">
        <v>27.2038476</v>
      </c>
      <c r="AD56" s="12">
        <v>79.031815499999993</v>
      </c>
      <c r="AE56" s="12">
        <v>74.805740200000002</v>
      </c>
      <c r="AF56" s="12">
        <v>9.3603705999999995</v>
      </c>
      <c r="AG56" s="12">
        <v>80.006511200000006</v>
      </c>
    </row>
    <row r="57" spans="1:33" s="11" customFormat="1" hidden="1" outlineLevel="1" x14ac:dyDescent="0.3">
      <c r="A57" s="11" t="s">
        <v>63</v>
      </c>
      <c r="B57" s="12">
        <v>3.2110127999999998</v>
      </c>
      <c r="C57" s="12">
        <v>94.073333300000002</v>
      </c>
      <c r="D57" s="12">
        <v>2.9061075000000001</v>
      </c>
      <c r="E57" s="17">
        <v>1</v>
      </c>
      <c r="F57" s="13">
        <v>104.96</v>
      </c>
      <c r="G57" s="12">
        <v>1.2662093999999999</v>
      </c>
      <c r="H57" s="12">
        <v>2.2139096999999999</v>
      </c>
      <c r="I57" s="12">
        <v>-4.9140366999999996</v>
      </c>
      <c r="J57" s="12">
        <v>2.8407124000000001</v>
      </c>
      <c r="K57" s="12">
        <v>-0.84273160000000003</v>
      </c>
      <c r="L57" s="12">
        <v>3.1940667999999999</v>
      </c>
      <c r="M57" s="12">
        <v>5.7895202000000001</v>
      </c>
      <c r="N57" s="12">
        <v>12.8944022</v>
      </c>
      <c r="O57" s="12">
        <v>11.546916400000001</v>
      </c>
      <c r="P57" s="7">
        <v>3732.5</v>
      </c>
      <c r="Q57" s="7">
        <v>489.8</v>
      </c>
      <c r="R57" s="7">
        <v>11.6</v>
      </c>
      <c r="S57" s="12">
        <v>1.5716246</v>
      </c>
      <c r="T57" s="12">
        <v>6</v>
      </c>
      <c r="U57" s="12">
        <v>91.853333300000003</v>
      </c>
      <c r="V57" s="12">
        <v>272.45666670000003</v>
      </c>
      <c r="W57" s="12">
        <v>12.581345000000001</v>
      </c>
      <c r="X57" s="12">
        <v>18.5388153</v>
      </c>
      <c r="Y57" s="12">
        <v>17.779184900000001</v>
      </c>
      <c r="Z57" s="12">
        <v>0.1143791</v>
      </c>
      <c r="AA57" s="12">
        <v>55.919843700000001</v>
      </c>
      <c r="AB57" s="12">
        <v>22.457674300000001</v>
      </c>
      <c r="AC57" s="12">
        <v>15.273433900000001</v>
      </c>
      <c r="AD57" s="12">
        <v>93.766223800000006</v>
      </c>
      <c r="AE57" s="12">
        <v>87.417175700000001</v>
      </c>
      <c r="AF57" s="12">
        <v>1.6543797</v>
      </c>
      <c r="AG57" s="12">
        <v>79.470192299999994</v>
      </c>
    </row>
    <row r="58" spans="1:33" s="11" customFormat="1" hidden="1" outlineLevel="1" x14ac:dyDescent="0.3">
      <c r="A58" s="11" t="s">
        <v>64</v>
      </c>
      <c r="B58" s="12">
        <v>2.1036085</v>
      </c>
      <c r="C58" s="12">
        <v>95.516666700000002</v>
      </c>
      <c r="D58" s="12">
        <v>3.1831767000000002</v>
      </c>
      <c r="E58" s="17">
        <v>1.25</v>
      </c>
      <c r="F58" s="13">
        <v>117.36</v>
      </c>
      <c r="G58" s="12">
        <v>-1.9025603</v>
      </c>
      <c r="H58" s="12">
        <v>2.3713891</v>
      </c>
      <c r="I58" s="12">
        <v>-4.4967382999999996</v>
      </c>
      <c r="J58" s="12">
        <v>1.4678293</v>
      </c>
      <c r="K58" s="12">
        <v>2.3107586000000002</v>
      </c>
      <c r="L58" s="12">
        <v>-0.66709479999999999</v>
      </c>
      <c r="M58" s="12">
        <v>-2.8748876000000001</v>
      </c>
      <c r="N58" s="12">
        <v>6.1172621999999999</v>
      </c>
      <c r="O58" s="12">
        <v>5.1459298000000002</v>
      </c>
      <c r="P58" s="7">
        <v>3808.8</v>
      </c>
      <c r="Q58" s="7">
        <v>460.7</v>
      </c>
      <c r="R58" s="7">
        <v>10.8</v>
      </c>
      <c r="S58" s="12">
        <v>5.8104426</v>
      </c>
      <c r="T58" s="12">
        <v>6</v>
      </c>
      <c r="U58" s="12">
        <v>93.306666699999994</v>
      </c>
      <c r="V58" s="12">
        <v>266.37333330000001</v>
      </c>
      <c r="W58" s="12">
        <v>4.1480277000000001</v>
      </c>
      <c r="X58" s="12">
        <v>10.293557399999999</v>
      </c>
      <c r="Y58" s="12">
        <v>9.7771647999999995</v>
      </c>
      <c r="Z58" s="12">
        <v>0.4083348</v>
      </c>
      <c r="AA58" s="12">
        <v>52.995506599999999</v>
      </c>
      <c r="AB58" s="12">
        <v>20.9156294</v>
      </c>
      <c r="AC58" s="12">
        <v>19.9589137</v>
      </c>
      <c r="AD58" s="12">
        <v>83.789428700000002</v>
      </c>
      <c r="AE58" s="12">
        <v>77.659478500000006</v>
      </c>
      <c r="AF58" s="12">
        <v>-4.0831245999999997</v>
      </c>
      <c r="AG58" s="12">
        <v>75.353608500000007</v>
      </c>
    </row>
    <row r="59" spans="1:33" s="11" customFormat="1" hidden="1" outlineLevel="1" x14ac:dyDescent="0.3">
      <c r="A59" s="11" t="s">
        <v>65</v>
      </c>
      <c r="B59" s="12">
        <v>1.8176159000000001</v>
      </c>
      <c r="C59" s="12">
        <v>95.433333300000001</v>
      </c>
      <c r="D59" s="12">
        <v>3.0783078000000001</v>
      </c>
      <c r="E59" s="17">
        <v>1.5</v>
      </c>
      <c r="F59" s="13">
        <v>113.34</v>
      </c>
      <c r="G59" s="12">
        <v>11.177209899999999</v>
      </c>
      <c r="H59" s="12">
        <v>6.1259075999999997</v>
      </c>
      <c r="I59" s="12">
        <v>-4.8669186</v>
      </c>
      <c r="J59" s="12">
        <v>1.2549376000000001</v>
      </c>
      <c r="K59" s="12">
        <v>1.1420285999999999</v>
      </c>
      <c r="L59" s="12">
        <v>-0.54057980000000005</v>
      </c>
      <c r="M59" s="12">
        <v>-9.3005367000000003</v>
      </c>
      <c r="N59" s="12">
        <v>4.5789356999999997</v>
      </c>
      <c r="O59" s="12">
        <v>1.1449251</v>
      </c>
      <c r="P59" s="7">
        <v>3855.9</v>
      </c>
      <c r="Q59" s="7">
        <v>462</v>
      </c>
      <c r="R59" s="7">
        <v>10.7</v>
      </c>
      <c r="S59" s="12">
        <v>6.0383224000000002</v>
      </c>
      <c r="T59" s="12">
        <v>6</v>
      </c>
      <c r="U59" s="12">
        <v>92.9</v>
      </c>
      <c r="V59" s="12">
        <v>275.03333329999998</v>
      </c>
      <c r="W59" s="12">
        <v>3.1714172</v>
      </c>
      <c r="X59" s="12">
        <v>6.4043269</v>
      </c>
      <c r="Y59" s="12">
        <v>4.6688321000000004</v>
      </c>
      <c r="Z59" s="12">
        <v>1.4130391</v>
      </c>
      <c r="AA59" s="12">
        <v>53.228583999999998</v>
      </c>
      <c r="AB59" s="12">
        <v>19.6669114</v>
      </c>
      <c r="AC59" s="12">
        <v>21.005536800000002</v>
      </c>
      <c r="AD59" s="12">
        <v>83.447763300000005</v>
      </c>
      <c r="AE59" s="12">
        <v>77.348795499999994</v>
      </c>
      <c r="AF59" s="12">
        <v>3.9995371999999998</v>
      </c>
      <c r="AG59" s="12">
        <v>81.2079296</v>
      </c>
    </row>
    <row r="60" spans="1:33" s="11" customFormat="1" hidden="1" outlineLevel="1" x14ac:dyDescent="0.3">
      <c r="A60" s="11" t="s">
        <v>66</v>
      </c>
      <c r="B60" s="12">
        <v>0.47384009999999999</v>
      </c>
      <c r="C60" s="12">
        <v>96.41</v>
      </c>
      <c r="D60" s="12">
        <v>3.2411208999999999</v>
      </c>
      <c r="E60" s="17">
        <v>1.25</v>
      </c>
      <c r="F60" s="13">
        <v>109.3966667</v>
      </c>
      <c r="G60" s="12">
        <v>6.9785665999999997</v>
      </c>
      <c r="H60" s="12">
        <v>-0.1901534</v>
      </c>
      <c r="I60" s="12">
        <v>-6.3900230999999996</v>
      </c>
      <c r="J60" s="12">
        <v>2.0071819999999998</v>
      </c>
      <c r="K60" s="12">
        <v>0.77349939999999995</v>
      </c>
      <c r="L60" s="12">
        <v>-0.35171659999999999</v>
      </c>
      <c r="M60" s="12">
        <v>-4.1377009999999999</v>
      </c>
      <c r="N60" s="12">
        <v>2.8486978999999999</v>
      </c>
      <c r="O60" s="12">
        <v>-0.54252509999999998</v>
      </c>
      <c r="P60" s="7">
        <v>3850.6</v>
      </c>
      <c r="Q60" s="7">
        <v>459</v>
      </c>
      <c r="R60" s="7">
        <v>10.7</v>
      </c>
      <c r="S60" s="12">
        <v>7.4505100999999998</v>
      </c>
      <c r="T60" s="12">
        <v>7</v>
      </c>
      <c r="U60" s="12">
        <v>93.843333299999998</v>
      </c>
      <c r="V60" s="12">
        <v>303.37666669999999</v>
      </c>
      <c r="W60" s="12">
        <v>3.1048846000000001</v>
      </c>
      <c r="X60" s="12">
        <v>1.1404395000000001</v>
      </c>
      <c r="Y60" s="12">
        <v>1.3292796</v>
      </c>
      <c r="Z60" s="12">
        <v>0.26223279999999999</v>
      </c>
      <c r="AA60" s="12">
        <v>50.080639900000001</v>
      </c>
      <c r="AB60" s="12">
        <v>19.7007561</v>
      </c>
      <c r="AC60" s="12">
        <v>25.695282599999999</v>
      </c>
      <c r="AD60" s="12">
        <v>84.424648899999994</v>
      </c>
      <c r="AE60" s="12">
        <v>79.901327499999994</v>
      </c>
      <c r="AF60" s="12">
        <v>-0.91889949999999998</v>
      </c>
      <c r="AG60" s="12">
        <v>80.338270800000004</v>
      </c>
    </row>
    <row r="61" spans="1:33" s="11" customFormat="1" hidden="1" outlineLevel="1" x14ac:dyDescent="0.3">
      <c r="A61" s="11" t="s">
        <v>67</v>
      </c>
      <c r="B61" s="12">
        <v>3.7986600000000002E-2</v>
      </c>
      <c r="C61" s="12">
        <v>96.803333300000006</v>
      </c>
      <c r="D61" s="12">
        <v>2.9019914</v>
      </c>
      <c r="E61" s="17">
        <v>1</v>
      </c>
      <c r="F61" s="13">
        <v>118.49</v>
      </c>
      <c r="G61" s="12">
        <v>0.59636900000000004</v>
      </c>
      <c r="H61" s="12">
        <v>4.5104100999999996</v>
      </c>
      <c r="I61" s="12">
        <v>-2.9938818</v>
      </c>
      <c r="J61" s="12">
        <v>-9.4089099999999995E-2</v>
      </c>
      <c r="K61" s="12">
        <v>-0.72663650000000002</v>
      </c>
      <c r="L61" s="12">
        <v>-2.9614258000000002</v>
      </c>
      <c r="M61" s="12">
        <v>0.55784069999999997</v>
      </c>
      <c r="N61" s="12">
        <v>-0.67501069999999996</v>
      </c>
      <c r="O61" s="12">
        <v>-1.9578499</v>
      </c>
      <c r="P61" s="7">
        <v>3735.2</v>
      </c>
      <c r="Q61" s="7">
        <v>506.5</v>
      </c>
      <c r="R61" s="7">
        <v>11.9</v>
      </c>
      <c r="S61" s="12">
        <v>4.3824744999999998</v>
      </c>
      <c r="T61" s="12">
        <v>7</v>
      </c>
      <c r="U61" s="12">
        <v>97.033333299999995</v>
      </c>
      <c r="V61" s="12">
        <v>296.75666669999998</v>
      </c>
      <c r="W61" s="12">
        <v>0.42389209999999999</v>
      </c>
      <c r="X61" s="12">
        <v>-2.6505266999999999</v>
      </c>
      <c r="Y61" s="12">
        <v>-1.8597889999999999</v>
      </c>
      <c r="Z61" s="12">
        <v>-0.6134309</v>
      </c>
      <c r="AA61" s="12">
        <v>57.194347800000003</v>
      </c>
      <c r="AB61" s="12">
        <v>20.9692559</v>
      </c>
      <c r="AC61" s="12">
        <v>16.3652917</v>
      </c>
      <c r="AD61" s="12">
        <v>96.375201599999997</v>
      </c>
      <c r="AE61" s="12">
        <v>90.904096999999993</v>
      </c>
      <c r="AF61" s="12">
        <v>-4.1180747999999996</v>
      </c>
      <c r="AG61" s="12">
        <v>77.9376611</v>
      </c>
    </row>
    <row r="62" spans="1:33" s="11" customFormat="1" hidden="1" outlineLevel="1" x14ac:dyDescent="0.3">
      <c r="A62" s="11" t="s">
        <v>68</v>
      </c>
      <c r="B62" s="12">
        <v>-0.91019320000000004</v>
      </c>
      <c r="C62" s="12">
        <v>97.993333300000003</v>
      </c>
      <c r="D62" s="12">
        <v>2.5929156999999998</v>
      </c>
      <c r="E62" s="17">
        <v>1</v>
      </c>
      <c r="F62" s="13">
        <v>108.41666669999999</v>
      </c>
      <c r="G62" s="12">
        <v>5.1565313000000002</v>
      </c>
      <c r="H62" s="12">
        <v>11.321947700000001</v>
      </c>
      <c r="I62" s="12">
        <v>-2.0362163</v>
      </c>
      <c r="J62" s="12">
        <v>-1.1672876000000001</v>
      </c>
      <c r="K62" s="12">
        <v>-2.46244</v>
      </c>
      <c r="L62" s="12">
        <v>-1.0637109</v>
      </c>
      <c r="M62" s="12">
        <v>-10.761449799999999</v>
      </c>
      <c r="N62" s="12">
        <v>0.33987709999999999</v>
      </c>
      <c r="O62" s="12">
        <v>-2.7429918</v>
      </c>
      <c r="P62" s="7">
        <v>3821.6</v>
      </c>
      <c r="Q62" s="7">
        <v>472.2</v>
      </c>
      <c r="R62" s="7">
        <v>11</v>
      </c>
      <c r="S62" s="12">
        <v>4.3091020000000002</v>
      </c>
      <c r="T62" s="12">
        <v>7</v>
      </c>
      <c r="U62" s="12">
        <v>98.466666700000005</v>
      </c>
      <c r="V62" s="12">
        <v>294.01666669999997</v>
      </c>
      <c r="W62" s="12">
        <v>-0.780945</v>
      </c>
      <c r="X62" s="12">
        <v>-2.0330154999999999</v>
      </c>
      <c r="Y62" s="12">
        <v>-3.6193076</v>
      </c>
      <c r="Z62" s="12">
        <v>2.1803458</v>
      </c>
      <c r="AA62" s="12">
        <v>53.830212000000003</v>
      </c>
      <c r="AB62" s="12">
        <v>20.452698699999999</v>
      </c>
      <c r="AC62" s="12">
        <v>18.1307525</v>
      </c>
      <c r="AD62" s="12">
        <v>89.014907500000007</v>
      </c>
      <c r="AE62" s="12">
        <v>81.4285706</v>
      </c>
      <c r="AF62" s="12">
        <v>-9.5463497999999998</v>
      </c>
      <c r="AG62" s="12">
        <v>77.243483900000001</v>
      </c>
    </row>
    <row r="63" spans="1:33" s="11" customFormat="1" hidden="1" outlineLevel="1" x14ac:dyDescent="0.3">
      <c r="A63" s="11" t="s">
        <v>69</v>
      </c>
      <c r="B63" s="12">
        <v>-1.0352741000000001</v>
      </c>
      <c r="C63" s="12">
        <v>97.9566667</v>
      </c>
      <c r="D63" s="12">
        <v>2.6440796999999998</v>
      </c>
      <c r="E63" s="17">
        <v>0.75</v>
      </c>
      <c r="F63" s="13">
        <v>109.61333329999999</v>
      </c>
      <c r="G63" s="12">
        <v>-3.3321542000000002</v>
      </c>
      <c r="H63" s="12">
        <v>4.6719508000000003</v>
      </c>
      <c r="I63" s="12">
        <v>-1.1447381000000001</v>
      </c>
      <c r="J63" s="12">
        <v>-1.1310098</v>
      </c>
      <c r="K63" s="12">
        <v>-5.4002376999999999</v>
      </c>
      <c r="L63" s="12">
        <v>-1.8840015999999999</v>
      </c>
      <c r="M63" s="12">
        <v>0.68878039999999996</v>
      </c>
      <c r="N63" s="12">
        <v>-1.2655631000000001</v>
      </c>
      <c r="O63" s="12">
        <v>-3.6987839</v>
      </c>
      <c r="P63" s="7">
        <v>3887.3</v>
      </c>
      <c r="Q63" s="7">
        <v>454.5</v>
      </c>
      <c r="R63" s="7">
        <v>10.5</v>
      </c>
      <c r="S63" s="12">
        <v>4.9162087000000003</v>
      </c>
      <c r="T63" s="12">
        <v>6.5</v>
      </c>
      <c r="U63" s="12">
        <v>98.5</v>
      </c>
      <c r="V63" s="12">
        <v>283.14333329999999</v>
      </c>
      <c r="W63" s="12">
        <v>-1.0505837</v>
      </c>
      <c r="X63" s="12">
        <v>-0.78889940000000003</v>
      </c>
      <c r="Y63" s="12">
        <v>-3.3152064999999999</v>
      </c>
      <c r="Z63" s="12">
        <v>3.7556137000000001</v>
      </c>
      <c r="AA63" s="12">
        <v>52.6321808</v>
      </c>
      <c r="AB63" s="12">
        <v>19.008399300000001</v>
      </c>
      <c r="AC63" s="12">
        <v>20.583121599999998</v>
      </c>
      <c r="AD63" s="12">
        <v>83.531957399999996</v>
      </c>
      <c r="AE63" s="12">
        <v>75.755659100000003</v>
      </c>
      <c r="AF63" s="12">
        <v>-16.1392743</v>
      </c>
      <c r="AG63" s="12">
        <v>77.370622800000007</v>
      </c>
    </row>
    <row r="64" spans="1:33" s="11" customFormat="1" hidden="1" outlineLevel="1" x14ac:dyDescent="0.3">
      <c r="A64" s="11" t="s">
        <v>70</v>
      </c>
      <c r="B64" s="12">
        <v>-0.98067590000000004</v>
      </c>
      <c r="C64" s="12">
        <v>98.773333300000004</v>
      </c>
      <c r="D64" s="12">
        <v>2.4513362999999999</v>
      </c>
      <c r="E64" s="17">
        <v>0.75</v>
      </c>
      <c r="F64" s="13">
        <v>110.08666669999999</v>
      </c>
      <c r="G64" s="12">
        <v>4.4469124999999998</v>
      </c>
      <c r="H64" s="12">
        <v>12.993272899999999</v>
      </c>
      <c r="I64" s="12">
        <v>-3.1412608</v>
      </c>
      <c r="J64" s="12">
        <v>-2.4220421999999999</v>
      </c>
      <c r="K64" s="12">
        <v>-0.62600670000000003</v>
      </c>
      <c r="L64" s="12">
        <v>0.37745020000000001</v>
      </c>
      <c r="M64" s="12">
        <v>-5.3956027999999998</v>
      </c>
      <c r="N64" s="12">
        <v>-5.0529736999999999</v>
      </c>
      <c r="O64" s="12">
        <v>-4.1095207</v>
      </c>
      <c r="P64" s="7">
        <v>3864.7</v>
      </c>
      <c r="Q64" s="7">
        <v>459.5</v>
      </c>
      <c r="R64" s="7">
        <v>10.6</v>
      </c>
      <c r="S64" s="12">
        <v>5.0887146000000003</v>
      </c>
      <c r="T64" s="12">
        <v>5.75</v>
      </c>
      <c r="U64" s="12">
        <v>98.966666700000005</v>
      </c>
      <c r="V64" s="12">
        <v>283.38</v>
      </c>
      <c r="W64" s="12">
        <v>-5.3984576000000004</v>
      </c>
      <c r="X64" s="12">
        <v>-2.7213712000000001</v>
      </c>
      <c r="Y64" s="12">
        <v>-2.6160142999999998</v>
      </c>
      <c r="Z64" s="12">
        <v>0.76988909999999999</v>
      </c>
      <c r="AA64" s="12">
        <v>51.999660300000002</v>
      </c>
      <c r="AB64" s="12">
        <v>19.5714389</v>
      </c>
      <c r="AC64" s="12">
        <v>24.681416800000001</v>
      </c>
      <c r="AD64" s="12">
        <v>76.704570700000005</v>
      </c>
      <c r="AE64" s="12">
        <v>72.957086599999997</v>
      </c>
      <c r="AF64" s="12">
        <v>-14.9055673</v>
      </c>
      <c r="AG64" s="12">
        <v>78.154703600000005</v>
      </c>
    </row>
    <row r="65" spans="1:33" s="11" customFormat="1" hidden="1" outlineLevel="1" x14ac:dyDescent="0.3">
      <c r="A65" s="11" t="s">
        <v>71</v>
      </c>
      <c r="B65" s="12">
        <v>-1.6415721999999999</v>
      </c>
      <c r="C65" s="12">
        <v>98.726666699999996</v>
      </c>
      <c r="D65" s="12">
        <v>1.9868463000000001</v>
      </c>
      <c r="E65" s="17">
        <v>0.75</v>
      </c>
      <c r="F65" s="13">
        <v>112.4933333</v>
      </c>
      <c r="G65" s="12">
        <v>7.5384612000000004</v>
      </c>
      <c r="H65" s="12">
        <v>4.5955782000000003</v>
      </c>
      <c r="I65" s="12">
        <v>-4.5063332999999997</v>
      </c>
      <c r="J65" s="12">
        <v>-0.86307219999999996</v>
      </c>
      <c r="K65" s="12">
        <v>-0.97814239999999997</v>
      </c>
      <c r="L65" s="12">
        <v>4.8547449</v>
      </c>
      <c r="M65" s="12">
        <v>-13.4082723</v>
      </c>
      <c r="N65" s="12">
        <v>-0.80954029999999999</v>
      </c>
      <c r="O65" s="12">
        <v>-1.9189252000000001</v>
      </c>
      <c r="P65" s="7">
        <v>3772.4</v>
      </c>
      <c r="Q65" s="7">
        <v>495.4</v>
      </c>
      <c r="R65" s="7">
        <v>11.6</v>
      </c>
      <c r="S65" s="12">
        <v>2.9815714999999998</v>
      </c>
      <c r="T65" s="12">
        <v>5</v>
      </c>
      <c r="U65" s="12">
        <v>99.623333299999999</v>
      </c>
      <c r="V65" s="12">
        <v>296.58333329999999</v>
      </c>
      <c r="W65" s="12">
        <v>-3.8756716</v>
      </c>
      <c r="X65" s="12">
        <v>-1.6585699</v>
      </c>
      <c r="Y65" s="12">
        <v>-3.4431161000000001</v>
      </c>
      <c r="Z65" s="12">
        <v>3.3118967000000001</v>
      </c>
      <c r="AA65" s="12">
        <v>56.352152699999998</v>
      </c>
      <c r="AB65" s="12">
        <v>21.637037400000001</v>
      </c>
      <c r="AC65" s="12">
        <v>15.027909599999999</v>
      </c>
      <c r="AD65" s="12">
        <v>92.207736699999998</v>
      </c>
      <c r="AE65" s="12">
        <v>85.224836400000001</v>
      </c>
      <c r="AF65" s="12">
        <v>-4.2858910000000003</v>
      </c>
      <c r="AG65" s="12">
        <v>77.813743700000003</v>
      </c>
    </row>
    <row r="66" spans="1:33" s="11" customFormat="1" hidden="1" outlineLevel="1" x14ac:dyDescent="0.3">
      <c r="A66" s="11" t="s">
        <v>72</v>
      </c>
      <c r="B66" s="12">
        <v>-0.1331087</v>
      </c>
      <c r="C66" s="12">
        <v>99.533333299999995</v>
      </c>
      <c r="D66" s="12">
        <v>1.5715355</v>
      </c>
      <c r="E66" s="17">
        <v>0.58333330000000005</v>
      </c>
      <c r="F66" s="13">
        <v>102.5766667</v>
      </c>
      <c r="G66" s="12">
        <v>7.3369654000000004</v>
      </c>
      <c r="H66" s="12">
        <v>7.8505127999999997</v>
      </c>
      <c r="I66" s="12">
        <v>-1.8404236</v>
      </c>
      <c r="J66" s="12">
        <v>1.3129616</v>
      </c>
      <c r="K66" s="12">
        <v>0.34179039999999999</v>
      </c>
      <c r="L66" s="12">
        <v>4.5288541000000002</v>
      </c>
      <c r="M66" s="12">
        <v>10.7512218</v>
      </c>
      <c r="N66" s="12">
        <v>2.6473233999999999</v>
      </c>
      <c r="O66" s="12">
        <v>5.1703447999999996</v>
      </c>
      <c r="P66" s="7">
        <v>3888.7</v>
      </c>
      <c r="Q66" s="7">
        <v>440.7</v>
      </c>
      <c r="R66" s="7">
        <v>10.199999999999999</v>
      </c>
      <c r="S66" s="12">
        <v>3.7490283</v>
      </c>
      <c r="T66" s="12">
        <v>4.25</v>
      </c>
      <c r="U66" s="12">
        <v>100.29</v>
      </c>
      <c r="V66" s="12">
        <v>295.58333329999999</v>
      </c>
      <c r="W66" s="12">
        <v>0.27548210000000001</v>
      </c>
      <c r="X66" s="12">
        <v>1.3287249000000001</v>
      </c>
      <c r="Y66" s="12">
        <v>2.7466376000000001</v>
      </c>
      <c r="Z66" s="12">
        <v>2.8408484999999999</v>
      </c>
      <c r="AA66" s="12">
        <v>52.637110100000001</v>
      </c>
      <c r="AB66" s="12">
        <v>20.4074241</v>
      </c>
      <c r="AC66" s="12">
        <v>20.6080273</v>
      </c>
      <c r="AD66" s="12">
        <v>85.822833099999997</v>
      </c>
      <c r="AE66" s="12">
        <v>79.475394600000001</v>
      </c>
      <c r="AF66" s="12">
        <v>-5.8629863999999996</v>
      </c>
      <c r="AG66" s="12">
        <v>77.398432</v>
      </c>
    </row>
    <row r="67" spans="1:33" s="11" customFormat="1" hidden="1" outlineLevel="1" x14ac:dyDescent="0.3">
      <c r="A67" s="11" t="s">
        <v>73</v>
      </c>
      <c r="B67" s="12">
        <v>0.53477319999999995</v>
      </c>
      <c r="C67" s="12">
        <v>99.423333299999996</v>
      </c>
      <c r="D67" s="12">
        <v>1.4972605999999999</v>
      </c>
      <c r="E67" s="17">
        <v>0.5</v>
      </c>
      <c r="F67" s="13">
        <v>110.27</v>
      </c>
      <c r="G67" s="12">
        <v>7.7312694999999998</v>
      </c>
      <c r="H67" s="12">
        <v>4.9706713999999996</v>
      </c>
      <c r="I67" s="12">
        <v>-2.3592580000000001</v>
      </c>
      <c r="J67" s="12">
        <v>2.8219669999999999</v>
      </c>
      <c r="K67" s="12">
        <v>-0.87583230000000001</v>
      </c>
      <c r="L67" s="12">
        <v>2.7378542000000001</v>
      </c>
      <c r="M67" s="12">
        <v>5.9012523999999997</v>
      </c>
      <c r="N67" s="12">
        <v>5.7469305000000004</v>
      </c>
      <c r="O67" s="12">
        <v>4.4221395000000001</v>
      </c>
      <c r="P67" s="7">
        <v>3940.3</v>
      </c>
      <c r="Q67" s="7">
        <v>429.6</v>
      </c>
      <c r="R67" s="7">
        <v>9.8000000000000007</v>
      </c>
      <c r="S67" s="12">
        <v>3.8728832</v>
      </c>
      <c r="T67" s="12">
        <v>3.6</v>
      </c>
      <c r="U67" s="12">
        <v>100.10666670000001</v>
      </c>
      <c r="V67" s="12">
        <v>298.03666670000001</v>
      </c>
      <c r="W67" s="12">
        <v>2.7919779</v>
      </c>
      <c r="X67" s="12">
        <v>1.4459751999999999</v>
      </c>
      <c r="Y67" s="12">
        <v>0.67079100000000003</v>
      </c>
      <c r="Z67" s="12">
        <v>5.5552896</v>
      </c>
      <c r="AA67" s="12">
        <v>50.372939000000002</v>
      </c>
      <c r="AB67" s="12">
        <v>18.3932708</v>
      </c>
      <c r="AC67" s="12">
        <v>22.627243499999999</v>
      </c>
      <c r="AD67" s="12">
        <v>84.674109000000001</v>
      </c>
      <c r="AE67" s="12">
        <v>76.067562300000006</v>
      </c>
      <c r="AF67" s="12">
        <v>-3.5122225</v>
      </c>
      <c r="AG67" s="12">
        <v>76.978402299999999</v>
      </c>
    </row>
    <row r="68" spans="1:33" s="11" customFormat="1" hidden="1" outlineLevel="1" x14ac:dyDescent="0.3">
      <c r="A68" s="11" t="s">
        <v>74</v>
      </c>
      <c r="B68" s="12">
        <v>0.83200640000000003</v>
      </c>
      <c r="C68" s="12">
        <v>99.72</v>
      </c>
      <c r="D68" s="12">
        <v>0.95842340000000004</v>
      </c>
      <c r="E68" s="17">
        <v>0.3333333</v>
      </c>
      <c r="F68" s="13">
        <v>109.21</v>
      </c>
      <c r="G68" s="12">
        <v>4.5062309000000003</v>
      </c>
      <c r="H68" s="12">
        <v>7.0970858000000003</v>
      </c>
      <c r="I68" s="12">
        <v>-1.9768220999999999</v>
      </c>
      <c r="J68" s="12">
        <v>3.5891459000000001</v>
      </c>
      <c r="K68" s="12">
        <v>0.61070869999999999</v>
      </c>
      <c r="L68" s="12">
        <v>0.49564649999999999</v>
      </c>
      <c r="M68" s="12">
        <v>11.2791672</v>
      </c>
      <c r="N68" s="12">
        <v>8.7595617000000008</v>
      </c>
      <c r="O68" s="12">
        <v>8.6898043000000005</v>
      </c>
      <c r="P68" s="7">
        <v>3969.5</v>
      </c>
      <c r="Q68" s="7">
        <v>398.5</v>
      </c>
      <c r="R68" s="7">
        <v>9.1</v>
      </c>
      <c r="S68" s="12">
        <v>2.8853726000000002</v>
      </c>
      <c r="T68" s="12">
        <v>3</v>
      </c>
      <c r="U68" s="12">
        <v>99.6533333</v>
      </c>
      <c r="V68" s="12">
        <v>297.56</v>
      </c>
      <c r="W68" s="12">
        <v>5.2018633000000003</v>
      </c>
      <c r="X68" s="12">
        <v>4.2046114000000001</v>
      </c>
      <c r="Y68" s="12">
        <v>4.0441973000000004</v>
      </c>
      <c r="Z68" s="12">
        <v>2.2925034000000002</v>
      </c>
      <c r="AA68" s="12">
        <v>50.130726099999997</v>
      </c>
      <c r="AB68" s="12">
        <v>18.822563299999999</v>
      </c>
      <c r="AC68" s="12">
        <v>26.870640900000001</v>
      </c>
      <c r="AD68" s="12">
        <v>80.283370099999999</v>
      </c>
      <c r="AE68" s="12">
        <v>76.107300499999994</v>
      </c>
      <c r="AF68" s="12">
        <v>-5.4130754000000003</v>
      </c>
      <c r="AG68" s="12">
        <v>77.198457700000006</v>
      </c>
    </row>
    <row r="69" spans="1:33" s="11" customFormat="1" hidden="1" outlineLevel="1" x14ac:dyDescent="0.3">
      <c r="A69" s="11" t="s">
        <v>75</v>
      </c>
      <c r="B69" s="12">
        <v>1.8456245</v>
      </c>
      <c r="C69" s="12">
        <v>99.49</v>
      </c>
      <c r="D69" s="12">
        <v>0.77317840000000004</v>
      </c>
      <c r="E69" s="17">
        <v>0.25</v>
      </c>
      <c r="F69" s="13">
        <v>108.16666669999999</v>
      </c>
      <c r="G69" s="12">
        <v>3.8011389000000002</v>
      </c>
      <c r="H69" s="12">
        <v>7.4544648999999996</v>
      </c>
      <c r="I69" s="12">
        <v>-2.6696073</v>
      </c>
      <c r="J69" s="12">
        <v>4.4083705000000002</v>
      </c>
      <c r="K69" s="12">
        <v>1.1537809999999999</v>
      </c>
      <c r="L69" s="12">
        <v>4.2160364000000001</v>
      </c>
      <c r="M69" s="12">
        <v>16.9932263</v>
      </c>
      <c r="N69" s="12">
        <v>11.005110500000001</v>
      </c>
      <c r="O69" s="12">
        <v>11.120634900000001</v>
      </c>
      <c r="P69" s="7">
        <v>4037.8</v>
      </c>
      <c r="Q69" s="7">
        <v>364.1</v>
      </c>
      <c r="R69" s="7">
        <v>8.3000000000000007</v>
      </c>
      <c r="S69" s="12">
        <v>1.854341</v>
      </c>
      <c r="T69" s="12">
        <v>2.6</v>
      </c>
      <c r="U69" s="12">
        <v>100.05666669999999</v>
      </c>
      <c r="V69" s="12">
        <v>308.05666669999999</v>
      </c>
      <c r="W69" s="12">
        <v>8.2235528999999996</v>
      </c>
      <c r="X69" s="12">
        <v>7.1533325999999997</v>
      </c>
      <c r="Y69" s="12">
        <v>7.0939645999999996</v>
      </c>
      <c r="Z69" s="12">
        <v>2.2644272999999999</v>
      </c>
      <c r="AA69" s="12">
        <v>54.095745299999997</v>
      </c>
      <c r="AB69" s="12">
        <v>21.0432071</v>
      </c>
      <c r="AC69" s="12">
        <v>17.600657399999999</v>
      </c>
      <c r="AD69" s="12">
        <v>94.796790400000006</v>
      </c>
      <c r="AE69" s="12">
        <v>87.536400200000003</v>
      </c>
      <c r="AF69" s="12">
        <v>-6.7684011999999996</v>
      </c>
      <c r="AG69" s="12">
        <v>76.999236699999997</v>
      </c>
    </row>
    <row r="70" spans="1:33" s="11" customFormat="1" hidden="1" outlineLevel="1" x14ac:dyDescent="0.3">
      <c r="A70" s="11" t="s">
        <v>76</v>
      </c>
      <c r="B70" s="12">
        <v>1.1953549000000001</v>
      </c>
      <c r="C70" s="12">
        <v>100.22333329999999</v>
      </c>
      <c r="D70" s="12">
        <v>0.69323509999999999</v>
      </c>
      <c r="E70" s="17">
        <v>0.21666669999999999</v>
      </c>
      <c r="F70" s="13">
        <v>109.7</v>
      </c>
      <c r="G70" s="12">
        <v>6.9947669000000001</v>
      </c>
      <c r="H70" s="12">
        <v>3.4213406000000002</v>
      </c>
      <c r="I70" s="12">
        <v>-3.4218533999999998</v>
      </c>
      <c r="J70" s="12">
        <v>4.7039805000000001</v>
      </c>
      <c r="K70" s="12">
        <v>3.2293544000000001</v>
      </c>
      <c r="L70" s="12">
        <v>4.0428934999999999</v>
      </c>
      <c r="M70" s="12">
        <v>18.393885300000001</v>
      </c>
      <c r="N70" s="12">
        <v>9.5720700000000001</v>
      </c>
      <c r="O70" s="12">
        <v>12.187980899999999</v>
      </c>
      <c r="P70" s="7">
        <v>4075.2</v>
      </c>
      <c r="Q70" s="7">
        <v>359.3</v>
      </c>
      <c r="R70" s="7">
        <v>8.1</v>
      </c>
      <c r="S70" s="12">
        <v>4.2062922</v>
      </c>
      <c r="T70" s="12">
        <v>2.2999999999999998</v>
      </c>
      <c r="U70" s="12">
        <v>100.2</v>
      </c>
      <c r="V70" s="12">
        <v>305.94</v>
      </c>
      <c r="W70" s="12">
        <v>10.6357929</v>
      </c>
      <c r="X70" s="12">
        <v>6.0437070000000004</v>
      </c>
      <c r="Y70" s="12">
        <v>8.3405474999999996</v>
      </c>
      <c r="Z70" s="12">
        <v>-0.64618929999999997</v>
      </c>
      <c r="AA70" s="12">
        <v>51.318621899999997</v>
      </c>
      <c r="AB70" s="12">
        <v>20.0580149</v>
      </c>
      <c r="AC70" s="12">
        <v>23.869201</v>
      </c>
      <c r="AD70" s="12">
        <v>87.413891899999996</v>
      </c>
      <c r="AE70" s="12">
        <v>82.6597297</v>
      </c>
      <c r="AF70" s="12">
        <v>-3.5199159</v>
      </c>
      <c r="AG70" s="12">
        <v>78.760032800000005</v>
      </c>
    </row>
    <row r="71" spans="1:33" s="11" customFormat="1" hidden="1" outlineLevel="1" x14ac:dyDescent="0.3">
      <c r="A71" s="11" t="s">
        <v>77</v>
      </c>
      <c r="B71" s="12">
        <v>1.5779679</v>
      </c>
      <c r="C71" s="12">
        <v>99.91</v>
      </c>
      <c r="D71" s="12">
        <v>0.48948940000000002</v>
      </c>
      <c r="E71" s="17">
        <v>0.1166667</v>
      </c>
      <c r="F71" s="13">
        <v>101.8233333</v>
      </c>
      <c r="G71" s="12">
        <v>7.5120490000000002</v>
      </c>
      <c r="H71" s="12">
        <v>9.1835401999999995</v>
      </c>
      <c r="I71" s="12">
        <v>-1.6422162</v>
      </c>
      <c r="J71" s="12">
        <v>3.9627574000000001</v>
      </c>
      <c r="K71" s="12">
        <v>1.7450152999999999</v>
      </c>
      <c r="L71" s="12">
        <v>4.7175466999999998</v>
      </c>
      <c r="M71" s="12">
        <v>17.357634099999999</v>
      </c>
      <c r="N71" s="12">
        <v>8.7829785999999999</v>
      </c>
      <c r="O71" s="12">
        <v>12.0083004</v>
      </c>
      <c r="P71" s="7">
        <v>4148.6000000000004</v>
      </c>
      <c r="Q71" s="7">
        <v>331.5</v>
      </c>
      <c r="R71" s="7">
        <v>7.4</v>
      </c>
      <c r="S71" s="12">
        <v>2.5014696999999999</v>
      </c>
      <c r="T71" s="12">
        <v>2.1</v>
      </c>
      <c r="U71" s="12">
        <v>100.18</v>
      </c>
      <c r="V71" s="12">
        <v>312.30666669999999</v>
      </c>
      <c r="W71" s="12">
        <v>7.1920428999999997</v>
      </c>
      <c r="X71" s="12">
        <v>5.5663299999999998</v>
      </c>
      <c r="Y71" s="12">
        <v>7.5980749999999997</v>
      </c>
      <c r="Z71" s="12">
        <v>3.1482304999999999</v>
      </c>
      <c r="AA71" s="12">
        <v>47.538168800000001</v>
      </c>
      <c r="AB71" s="12">
        <v>18.6779829</v>
      </c>
      <c r="AC71" s="12">
        <v>26.4545736</v>
      </c>
      <c r="AD71" s="12">
        <v>86.361751400000003</v>
      </c>
      <c r="AE71" s="12">
        <v>79.032476599999995</v>
      </c>
      <c r="AF71" s="12">
        <v>-3.5063488999999999</v>
      </c>
      <c r="AG71" s="12">
        <v>78.095765299999997</v>
      </c>
    </row>
    <row r="72" spans="1:33" s="11" customFormat="1" hidden="1" outlineLevel="1" x14ac:dyDescent="0.3">
      <c r="A72" s="11" t="s">
        <v>78</v>
      </c>
      <c r="B72" s="12">
        <v>1.7505474000000001</v>
      </c>
      <c r="C72" s="12">
        <v>99.97</v>
      </c>
      <c r="D72" s="12">
        <v>0.25070199999999998</v>
      </c>
      <c r="E72" s="17">
        <v>0.05</v>
      </c>
      <c r="F72" s="13">
        <v>76.4033333</v>
      </c>
      <c r="G72" s="12">
        <v>13.1199797</v>
      </c>
      <c r="H72" s="12">
        <v>10.246856299999999</v>
      </c>
      <c r="I72" s="12">
        <v>-3.3480335000000001</v>
      </c>
      <c r="J72" s="12">
        <v>3.9130283000000001</v>
      </c>
      <c r="K72" s="12">
        <v>3.8552734000000002</v>
      </c>
      <c r="L72" s="12">
        <v>7.6459387999999997</v>
      </c>
      <c r="M72" s="12">
        <v>2.3287021000000001</v>
      </c>
      <c r="N72" s="12">
        <v>7.6217626000000003</v>
      </c>
      <c r="O72" s="12">
        <v>8.4737512000000006</v>
      </c>
      <c r="P72" s="7">
        <v>4141.7</v>
      </c>
      <c r="Q72" s="7">
        <v>318.5</v>
      </c>
      <c r="R72" s="7">
        <v>7.1</v>
      </c>
      <c r="S72" s="12">
        <v>3.7157483</v>
      </c>
      <c r="T72" s="12">
        <v>2.1</v>
      </c>
      <c r="U72" s="12">
        <v>99.303333300000006</v>
      </c>
      <c r="V72" s="12">
        <v>308.52333329999999</v>
      </c>
      <c r="W72" s="12">
        <v>4.8708486999999998</v>
      </c>
      <c r="X72" s="12">
        <v>5.6517922</v>
      </c>
      <c r="Y72" s="12">
        <v>5.6003632999999997</v>
      </c>
      <c r="Z72" s="12">
        <v>0.1495022</v>
      </c>
      <c r="AA72" s="12">
        <v>48.2039878</v>
      </c>
      <c r="AB72" s="12">
        <v>20.340624900000002</v>
      </c>
      <c r="AC72" s="12">
        <v>27.142785700000001</v>
      </c>
      <c r="AD72" s="12">
        <v>81.411413699999997</v>
      </c>
      <c r="AE72" s="12">
        <v>77.098812100000004</v>
      </c>
      <c r="AF72" s="12">
        <v>-1.6958901</v>
      </c>
      <c r="AG72" s="12">
        <v>76.541945600000005</v>
      </c>
    </row>
    <row r="73" spans="1:33" s="11" customFormat="1" hidden="1" outlineLevel="1" x14ac:dyDescent="0.3">
      <c r="A73" s="11" t="s">
        <v>79</v>
      </c>
      <c r="B73" s="12">
        <v>2.0633189000000001</v>
      </c>
      <c r="C73" s="12">
        <v>99.203333299999997</v>
      </c>
      <c r="D73" s="12">
        <v>-0.28813620000000001</v>
      </c>
      <c r="E73" s="17">
        <v>0.05</v>
      </c>
      <c r="F73" s="13">
        <v>53.9166667</v>
      </c>
      <c r="G73" s="12">
        <v>9.0016458000000004</v>
      </c>
      <c r="H73" s="12">
        <v>5.5607243000000004</v>
      </c>
      <c r="I73" s="12">
        <v>-4.3187271000000003</v>
      </c>
      <c r="J73" s="12">
        <v>4.5801895000000004</v>
      </c>
      <c r="K73" s="12">
        <v>3.8884381000000001</v>
      </c>
      <c r="L73" s="12">
        <v>1.1581877</v>
      </c>
      <c r="M73" s="12">
        <v>-0.39963209999999999</v>
      </c>
      <c r="N73" s="12">
        <v>7.2904651999999999</v>
      </c>
      <c r="O73" s="12">
        <v>4.8807138999999999</v>
      </c>
      <c r="P73" s="7">
        <v>4117.2</v>
      </c>
      <c r="Q73" s="7">
        <v>347.6</v>
      </c>
      <c r="R73" s="7">
        <v>7.8</v>
      </c>
      <c r="S73" s="12">
        <v>4.1883229999999996</v>
      </c>
      <c r="T73" s="12">
        <v>1.95</v>
      </c>
      <c r="U73" s="12">
        <v>99.106666700000005</v>
      </c>
      <c r="V73" s="12">
        <v>308.94333330000001</v>
      </c>
      <c r="W73" s="12">
        <v>7.9306527999999998</v>
      </c>
      <c r="X73" s="12">
        <v>5.8834122999999998</v>
      </c>
      <c r="Y73" s="12">
        <v>3.2404115</v>
      </c>
      <c r="Z73" s="12">
        <v>5.0062790000000001</v>
      </c>
      <c r="AA73" s="12">
        <v>53.305693699999999</v>
      </c>
      <c r="AB73" s="12">
        <v>21.243320900000001</v>
      </c>
      <c r="AC73" s="12">
        <v>15.7395298</v>
      </c>
      <c r="AD73" s="12">
        <v>94.783118299999998</v>
      </c>
      <c r="AE73" s="12">
        <v>85.071662700000005</v>
      </c>
      <c r="AF73" s="12">
        <v>-9.4139909999999993</v>
      </c>
      <c r="AG73" s="12">
        <v>73.715229500000007</v>
      </c>
    </row>
    <row r="74" spans="1:33" s="11" customFormat="1" hidden="1" outlineLevel="1" x14ac:dyDescent="0.3">
      <c r="A74" s="11" t="s">
        <v>80</v>
      </c>
      <c r="B74" s="12">
        <v>2.2703967</v>
      </c>
      <c r="C74" s="12">
        <v>100.5233333</v>
      </c>
      <c r="D74" s="12">
        <v>0.29933149999999997</v>
      </c>
      <c r="E74" s="17">
        <v>0.05</v>
      </c>
      <c r="F74" s="13">
        <v>61.693333299999999</v>
      </c>
      <c r="G74" s="12">
        <v>4.5785979000000001</v>
      </c>
      <c r="H74" s="12">
        <v>9.6096036999999992</v>
      </c>
      <c r="I74" s="12">
        <v>-1.1925413</v>
      </c>
      <c r="J74" s="12">
        <v>3.4433978999999999</v>
      </c>
      <c r="K74" s="12">
        <v>3.3778035000000002</v>
      </c>
      <c r="L74" s="12">
        <v>-1.3815012</v>
      </c>
      <c r="M74" s="12">
        <v>-1.5997792</v>
      </c>
      <c r="N74" s="12">
        <v>6.8273166999999999</v>
      </c>
      <c r="O74" s="12">
        <v>4.4137366</v>
      </c>
      <c r="P74" s="7">
        <v>4200.7</v>
      </c>
      <c r="Q74" s="7">
        <v>310.39999999999998</v>
      </c>
      <c r="R74" s="7">
        <v>6.9</v>
      </c>
      <c r="S74" s="12">
        <v>2.960372</v>
      </c>
      <c r="T74" s="12">
        <v>1.5</v>
      </c>
      <c r="U74" s="12">
        <v>100.6333333</v>
      </c>
      <c r="V74" s="12">
        <v>305.90666670000002</v>
      </c>
      <c r="W74" s="12">
        <v>6.3497693000000002</v>
      </c>
      <c r="X74" s="12">
        <v>6.7281496000000001</v>
      </c>
      <c r="Y74" s="12">
        <v>4.3447313000000003</v>
      </c>
      <c r="Z74" s="12">
        <v>1.3045169999999999</v>
      </c>
      <c r="AA74" s="12">
        <v>50.323175399999997</v>
      </c>
      <c r="AB74" s="12">
        <v>19.878758399999999</v>
      </c>
      <c r="AC74" s="12">
        <v>22.8503331</v>
      </c>
      <c r="AD74" s="12">
        <v>88.460980899999996</v>
      </c>
      <c r="AE74" s="12">
        <v>81.513247800000002</v>
      </c>
      <c r="AF74" s="12">
        <v>-10.0875716</v>
      </c>
      <c r="AG74" s="12">
        <v>76.325386600000002</v>
      </c>
    </row>
    <row r="75" spans="1:33" s="11" customFormat="1" hidden="1" outlineLevel="1" x14ac:dyDescent="0.3">
      <c r="A75" s="11" t="s">
        <v>81</v>
      </c>
      <c r="B75" s="12">
        <v>2.2457793000000001</v>
      </c>
      <c r="C75" s="12">
        <v>100.1533333</v>
      </c>
      <c r="D75" s="12">
        <v>0.24355250000000001</v>
      </c>
      <c r="E75" s="17">
        <v>0.05</v>
      </c>
      <c r="F75" s="13">
        <v>50.233333299999998</v>
      </c>
      <c r="G75" s="12">
        <v>1.8160318</v>
      </c>
      <c r="H75" s="12">
        <v>2.1006930000000001</v>
      </c>
      <c r="I75" s="12">
        <v>-1.4627082</v>
      </c>
      <c r="J75" s="12">
        <v>3.0582267000000001</v>
      </c>
      <c r="K75" s="12">
        <v>3.3110073</v>
      </c>
      <c r="L75" s="12">
        <v>3.7507508999999999</v>
      </c>
      <c r="M75" s="12">
        <v>-0.91809750000000001</v>
      </c>
      <c r="N75" s="12">
        <v>6.4576326000000002</v>
      </c>
      <c r="O75" s="12">
        <v>5.9144199000000004</v>
      </c>
      <c r="P75" s="7">
        <v>4264.8</v>
      </c>
      <c r="Q75" s="7">
        <v>292.7</v>
      </c>
      <c r="R75" s="7">
        <v>6.4</v>
      </c>
      <c r="S75" s="12">
        <v>4.5994029000000003</v>
      </c>
      <c r="T75" s="12">
        <v>1.35</v>
      </c>
      <c r="U75" s="12">
        <v>100.36</v>
      </c>
      <c r="V75" s="12">
        <v>312.09333329999998</v>
      </c>
      <c r="W75" s="12">
        <v>5.8886510000000003</v>
      </c>
      <c r="X75" s="12">
        <v>6.3181216999999998</v>
      </c>
      <c r="Y75" s="12">
        <v>5.5556593999999997</v>
      </c>
      <c r="Z75" s="12">
        <v>2.6658621</v>
      </c>
      <c r="AA75" s="12">
        <v>47.0497242</v>
      </c>
      <c r="AB75" s="12">
        <v>18.3858411</v>
      </c>
      <c r="AC75" s="12">
        <v>26.363220299999998</v>
      </c>
      <c r="AD75" s="12">
        <v>87.013685300000006</v>
      </c>
      <c r="AE75" s="12">
        <v>78.812470899999994</v>
      </c>
      <c r="AF75" s="12">
        <v>-11.127579600000001</v>
      </c>
      <c r="AG75" s="12">
        <v>76.662187099999997</v>
      </c>
    </row>
    <row r="76" spans="1:33" s="11" customFormat="1" hidden="1" outlineLevel="1" x14ac:dyDescent="0.3">
      <c r="A76" s="11" t="s">
        <v>82</v>
      </c>
      <c r="B76" s="12">
        <v>2.5478125</v>
      </c>
      <c r="C76" s="12">
        <v>100.1233333</v>
      </c>
      <c r="D76" s="12">
        <v>0.1533793</v>
      </c>
      <c r="E76" s="17">
        <v>0.05</v>
      </c>
      <c r="F76" s="13">
        <v>43.57</v>
      </c>
      <c r="G76" s="12">
        <v>12.956880999999999</v>
      </c>
      <c r="H76" s="12">
        <v>17.566916899999999</v>
      </c>
      <c r="I76" s="12">
        <v>-1.3981821000000001</v>
      </c>
      <c r="J76" s="12">
        <v>3.8459349</v>
      </c>
      <c r="K76" s="12">
        <v>4.1852352000000002</v>
      </c>
      <c r="L76" s="12">
        <v>4.2355194000000003</v>
      </c>
      <c r="M76" s="12">
        <v>-2.8341278999999999</v>
      </c>
      <c r="N76" s="12">
        <v>8.8594018999999999</v>
      </c>
      <c r="O76" s="12">
        <v>7.3877145000000004</v>
      </c>
      <c r="P76" s="7">
        <v>4259.3</v>
      </c>
      <c r="Q76" s="7">
        <v>280.7</v>
      </c>
      <c r="R76" s="7">
        <v>6.2</v>
      </c>
      <c r="S76" s="12">
        <v>5.3352316999999996</v>
      </c>
      <c r="T76" s="12">
        <v>1.35</v>
      </c>
      <c r="U76" s="12">
        <v>99.893333299999995</v>
      </c>
      <c r="V76" s="12">
        <v>312.64666670000003</v>
      </c>
      <c r="W76" s="12">
        <v>9.3596059</v>
      </c>
      <c r="X76" s="12">
        <v>7.6643705999999998</v>
      </c>
      <c r="Y76" s="12">
        <v>5.0439892999999998</v>
      </c>
      <c r="Z76" s="12">
        <v>0.88390400000000002</v>
      </c>
      <c r="AA76" s="12">
        <v>46.409300199999997</v>
      </c>
      <c r="AB76" s="12">
        <v>19.589888299999998</v>
      </c>
      <c r="AC76" s="12">
        <v>27.560206999999998</v>
      </c>
      <c r="AD76" s="12">
        <v>81.502049600000007</v>
      </c>
      <c r="AE76" s="12">
        <v>75.0614451</v>
      </c>
      <c r="AF76" s="12">
        <v>-12.478683999999999</v>
      </c>
      <c r="AG76" s="12">
        <v>75.760482300000007</v>
      </c>
    </row>
    <row r="77" spans="1:33" s="11" customFormat="1" hidden="1" outlineLevel="1" x14ac:dyDescent="0.3">
      <c r="A77" s="11" t="s">
        <v>83</v>
      </c>
      <c r="B77" s="12">
        <v>1.9366078</v>
      </c>
      <c r="C77" s="12">
        <v>99.246666700000006</v>
      </c>
      <c r="D77" s="12">
        <v>4.3681400000000002E-2</v>
      </c>
      <c r="E77" s="17">
        <v>3.3333300000000003E-2</v>
      </c>
      <c r="F77" s="13">
        <v>33.696666700000002</v>
      </c>
      <c r="G77" s="12">
        <v>-8.7535913999999995</v>
      </c>
      <c r="H77" s="12">
        <v>2.0284599000000001</v>
      </c>
      <c r="I77" s="12">
        <v>1.2264189000000001</v>
      </c>
      <c r="J77" s="12">
        <v>1.1546353</v>
      </c>
      <c r="K77" s="12">
        <v>4.9364666000000001</v>
      </c>
      <c r="L77" s="12">
        <v>2.1245630000000002</v>
      </c>
      <c r="M77" s="12">
        <v>-0.31238529999999998</v>
      </c>
      <c r="N77" s="12">
        <v>3.0794584999999999</v>
      </c>
      <c r="O77" s="12">
        <v>5.2083135</v>
      </c>
      <c r="P77" s="7">
        <v>4262.2</v>
      </c>
      <c r="Q77" s="7">
        <v>272.8</v>
      </c>
      <c r="R77" s="7">
        <v>6</v>
      </c>
      <c r="S77" s="12">
        <v>5.9985441000000002</v>
      </c>
      <c r="T77" s="12">
        <v>1.2</v>
      </c>
      <c r="U77" s="12">
        <v>99.476666699999996</v>
      </c>
      <c r="V77" s="12">
        <v>312.06666669999998</v>
      </c>
      <c r="W77" s="12">
        <v>-0.1708817</v>
      </c>
      <c r="X77" s="12">
        <v>0.74707460000000003</v>
      </c>
      <c r="Y77" s="12">
        <v>1.5726781999999999</v>
      </c>
      <c r="Z77" s="12">
        <v>5.4032495000000003</v>
      </c>
      <c r="AA77" s="12">
        <v>54.344106600000003</v>
      </c>
      <c r="AB77" s="12">
        <v>21.4210864</v>
      </c>
      <c r="AC77" s="12">
        <v>15.425876499999999</v>
      </c>
      <c r="AD77" s="12">
        <v>93.286126699999997</v>
      </c>
      <c r="AE77" s="12">
        <v>84.4771961</v>
      </c>
      <c r="AF77" s="12">
        <v>-6.7326224000000003</v>
      </c>
      <c r="AG77" s="12">
        <v>75.213915</v>
      </c>
    </row>
    <row r="78" spans="1:33" s="11" customFormat="1" hidden="1" outlineLevel="1" x14ac:dyDescent="0.3">
      <c r="A78" s="11" t="s">
        <v>84</v>
      </c>
      <c r="B78" s="12">
        <v>2.4666936000000002</v>
      </c>
      <c r="C78" s="12">
        <v>100.42</v>
      </c>
      <c r="D78" s="12">
        <v>-0.10279530000000001</v>
      </c>
      <c r="E78" s="17">
        <v>0</v>
      </c>
      <c r="F78" s="13">
        <v>45.523333299999997</v>
      </c>
      <c r="G78" s="12">
        <v>-4.0668576999999999</v>
      </c>
      <c r="H78" s="12">
        <v>-2.4067455</v>
      </c>
      <c r="I78" s="12">
        <v>-0.33032309999999998</v>
      </c>
      <c r="J78" s="12">
        <v>3.1273190999999998</v>
      </c>
      <c r="K78" s="12">
        <v>4.6807099000000001</v>
      </c>
      <c r="L78" s="12">
        <v>4.7669139999999999</v>
      </c>
      <c r="M78" s="12">
        <v>-10.2836602</v>
      </c>
      <c r="N78" s="12">
        <v>7.5979096999999998</v>
      </c>
      <c r="O78" s="12">
        <v>5.3632153999999996</v>
      </c>
      <c r="P78" s="7">
        <v>4342.7</v>
      </c>
      <c r="Q78" s="7">
        <v>234.1</v>
      </c>
      <c r="R78" s="7">
        <v>5.0999999999999996</v>
      </c>
      <c r="S78" s="12">
        <v>6.0266010000000003</v>
      </c>
      <c r="T78" s="12">
        <v>0.9</v>
      </c>
      <c r="U78" s="12">
        <v>100.6333333</v>
      </c>
      <c r="V78" s="12">
        <v>313.33999999999997</v>
      </c>
      <c r="W78" s="12">
        <v>4.1694462999999997</v>
      </c>
      <c r="X78" s="12">
        <v>3.7739894</v>
      </c>
      <c r="Y78" s="12">
        <v>8.2739599999999996E-2</v>
      </c>
      <c r="Z78" s="12">
        <v>5.6114961000000001</v>
      </c>
      <c r="AA78" s="12">
        <v>50.230275399999996</v>
      </c>
      <c r="AB78" s="12">
        <v>19.981144199999999</v>
      </c>
      <c r="AC78" s="12">
        <v>19.966716399999999</v>
      </c>
      <c r="AD78" s="12">
        <v>88.922406300000006</v>
      </c>
      <c r="AE78" s="12">
        <v>79.100542399999995</v>
      </c>
      <c r="AF78" s="12">
        <v>-5.8566365999999999</v>
      </c>
      <c r="AG78" s="12">
        <v>74.722013899999993</v>
      </c>
    </row>
    <row r="79" spans="1:33" s="11" customFormat="1" hidden="1" outlineLevel="1" x14ac:dyDescent="0.3">
      <c r="A79" s="11" t="s">
        <v>85</v>
      </c>
      <c r="B79" s="12">
        <v>1.6225508</v>
      </c>
      <c r="C79" s="12">
        <v>100.42</v>
      </c>
      <c r="D79" s="12">
        <v>0.26625840000000001</v>
      </c>
      <c r="E79" s="17">
        <v>0</v>
      </c>
      <c r="F79" s="13">
        <v>45.786666699999998</v>
      </c>
      <c r="G79" s="12">
        <v>-3.0567831000000001</v>
      </c>
      <c r="H79" s="12">
        <v>2.0955259000000002</v>
      </c>
      <c r="I79" s="12">
        <v>0.82175260000000006</v>
      </c>
      <c r="J79" s="12">
        <v>2.4948809000000001</v>
      </c>
      <c r="K79" s="12">
        <v>4.3299615999999999</v>
      </c>
      <c r="L79" s="12">
        <v>-1.0059856</v>
      </c>
      <c r="M79" s="12">
        <v>-1.9724208000000001</v>
      </c>
      <c r="N79" s="12">
        <v>4.0396831999999998</v>
      </c>
      <c r="O79" s="12">
        <v>3.0943877</v>
      </c>
      <c r="P79" s="7">
        <v>4390.7</v>
      </c>
      <c r="Q79" s="7">
        <v>226.5</v>
      </c>
      <c r="R79" s="7">
        <v>4.9000000000000004</v>
      </c>
      <c r="S79" s="12">
        <v>6.2252558000000002</v>
      </c>
      <c r="T79" s="12">
        <v>0.9</v>
      </c>
      <c r="U79" s="12">
        <v>100.47333329999999</v>
      </c>
      <c r="V79" s="12">
        <v>311.08</v>
      </c>
      <c r="W79" s="12">
        <v>0.30333670000000001</v>
      </c>
      <c r="X79" s="12">
        <v>2.3131444999999999</v>
      </c>
      <c r="Y79" s="12">
        <v>0.27319139999999997</v>
      </c>
      <c r="Z79" s="12">
        <v>5.8632343999999996</v>
      </c>
      <c r="AA79" s="12">
        <v>47.882021700000003</v>
      </c>
      <c r="AB79" s="12">
        <v>18.544292599999999</v>
      </c>
      <c r="AC79" s="12">
        <v>24.022747200000001</v>
      </c>
      <c r="AD79" s="12">
        <v>85.632686199999995</v>
      </c>
      <c r="AE79" s="12">
        <v>76.081747500000006</v>
      </c>
      <c r="AF79" s="12">
        <v>-4.1150839000000001</v>
      </c>
      <c r="AG79" s="12">
        <v>74.654871600000007</v>
      </c>
    </row>
    <row r="80" spans="1:33" s="11" customFormat="1" hidden="1" outlineLevel="1" x14ac:dyDescent="0.3">
      <c r="A80" s="11" t="s">
        <v>86</v>
      </c>
      <c r="B80" s="12">
        <v>1.866331</v>
      </c>
      <c r="C80" s="12">
        <v>100.89333329999999</v>
      </c>
      <c r="D80" s="12">
        <v>0.7690515</v>
      </c>
      <c r="E80" s="17">
        <v>0</v>
      </c>
      <c r="F80" s="13">
        <v>49.186666700000004</v>
      </c>
      <c r="G80" s="12">
        <v>-0.43707390000000002</v>
      </c>
      <c r="H80" s="12">
        <v>-13.169488299999999</v>
      </c>
      <c r="I80" s="12">
        <v>-7.9811331000000001</v>
      </c>
      <c r="J80" s="12">
        <v>1.9497924</v>
      </c>
      <c r="K80" s="12">
        <v>5.1680001000000004</v>
      </c>
      <c r="L80" s="12">
        <v>-2.5875880000000002</v>
      </c>
      <c r="M80" s="12">
        <v>-1.0015433</v>
      </c>
      <c r="N80" s="12">
        <v>0.62798129999999996</v>
      </c>
      <c r="O80" s="12">
        <v>0.51843530000000004</v>
      </c>
      <c r="P80" s="7">
        <v>4411</v>
      </c>
      <c r="Q80" s="7">
        <v>205</v>
      </c>
      <c r="R80" s="7">
        <v>4.4000000000000004</v>
      </c>
      <c r="S80" s="12">
        <v>6.4062428000000002</v>
      </c>
      <c r="T80" s="12">
        <v>0.9</v>
      </c>
      <c r="U80" s="12">
        <v>101.2066667</v>
      </c>
      <c r="V80" s="12">
        <v>309.35333329999997</v>
      </c>
      <c r="W80" s="12">
        <v>-0.48262549999999999</v>
      </c>
      <c r="X80" s="12">
        <v>6.6603700000000002E-2</v>
      </c>
      <c r="Y80" s="12">
        <v>0.71472429999999998</v>
      </c>
      <c r="Z80" s="12">
        <v>1.4522959</v>
      </c>
      <c r="AA80" s="12">
        <v>48.618453700000003</v>
      </c>
      <c r="AB80" s="12">
        <v>20.103558899999999</v>
      </c>
      <c r="AC80" s="12">
        <v>25.549477400000001</v>
      </c>
      <c r="AD80" s="12">
        <v>79.360358199999993</v>
      </c>
      <c r="AE80" s="12">
        <v>73.631848199999993</v>
      </c>
      <c r="AF80" s="12">
        <v>-2.5412694999999998</v>
      </c>
      <c r="AG80" s="12">
        <v>74.850435000000004</v>
      </c>
    </row>
    <row r="81" spans="1:33" s="11" customFormat="1" hidden="1" outlineLevel="1" x14ac:dyDescent="0.3">
      <c r="A81" s="11" t="s">
        <v>87</v>
      </c>
      <c r="B81" s="12">
        <v>3.0351661999999999</v>
      </c>
      <c r="C81" s="12">
        <v>101</v>
      </c>
      <c r="D81" s="12">
        <v>1.766642</v>
      </c>
      <c r="E81" s="17">
        <v>0</v>
      </c>
      <c r="F81" s="13">
        <v>53.68</v>
      </c>
      <c r="G81" s="12">
        <v>1.7016068</v>
      </c>
      <c r="H81" s="12">
        <v>6.1830503999999999</v>
      </c>
      <c r="I81" s="12">
        <v>3.1410488999999999</v>
      </c>
      <c r="J81" s="12">
        <v>4.6784201000000003</v>
      </c>
      <c r="K81" s="12">
        <v>3.7818155999999998</v>
      </c>
      <c r="L81" s="12">
        <v>-3.1234679999999999</v>
      </c>
      <c r="M81" s="12">
        <v>24.2902621</v>
      </c>
      <c r="N81" s="12">
        <v>8.9563863000000001</v>
      </c>
      <c r="O81" s="12">
        <v>11.088680500000001</v>
      </c>
      <c r="P81" s="7">
        <v>4367.8999999999996</v>
      </c>
      <c r="Q81" s="7">
        <v>206.8</v>
      </c>
      <c r="R81" s="7">
        <v>4.5</v>
      </c>
      <c r="S81" s="12">
        <v>11.0564556</v>
      </c>
      <c r="T81" s="12">
        <v>0.9</v>
      </c>
      <c r="U81" s="12">
        <v>102.1</v>
      </c>
      <c r="V81" s="12">
        <v>309.06666669999998</v>
      </c>
      <c r="W81" s="12">
        <v>7.5659020000000003</v>
      </c>
      <c r="X81" s="12">
        <v>11.622302599999999</v>
      </c>
      <c r="Y81" s="12">
        <v>15.2157134</v>
      </c>
      <c r="Z81" s="12">
        <v>1.7920001000000001</v>
      </c>
      <c r="AA81" s="12">
        <v>54.237466900000001</v>
      </c>
      <c r="AB81" s="12">
        <v>20.0786981</v>
      </c>
      <c r="AC81" s="12">
        <v>19.339243700000001</v>
      </c>
      <c r="AD81" s="12">
        <v>95.821428299999994</v>
      </c>
      <c r="AE81" s="12">
        <v>89.476837000000003</v>
      </c>
      <c r="AF81" s="12">
        <v>-0.43611909999999998</v>
      </c>
      <c r="AG81" s="12">
        <v>70.384621300000006</v>
      </c>
    </row>
    <row r="82" spans="1:33" s="11" customFormat="1" hidden="1" outlineLevel="1" x14ac:dyDescent="0.3">
      <c r="A82" s="11" t="s">
        <v>88</v>
      </c>
      <c r="B82" s="12">
        <v>2.3084487</v>
      </c>
      <c r="C82" s="12">
        <v>102.11333329999999</v>
      </c>
      <c r="D82" s="12">
        <v>1.6862509999999999</v>
      </c>
      <c r="E82" s="17">
        <v>0</v>
      </c>
      <c r="F82" s="13">
        <v>49.67</v>
      </c>
      <c r="G82" s="12">
        <v>9.0265167000000002</v>
      </c>
      <c r="H82" s="12">
        <v>7.4478090000000003</v>
      </c>
      <c r="I82" s="12">
        <v>-0.986568</v>
      </c>
      <c r="J82" s="12">
        <v>3.6494743999999999</v>
      </c>
      <c r="K82" s="12">
        <v>4.8008198000000002</v>
      </c>
      <c r="L82" s="12">
        <v>1.1336854000000001</v>
      </c>
      <c r="M82" s="12">
        <v>5.0253056999999997</v>
      </c>
      <c r="N82" s="12">
        <v>5.1174888999999997</v>
      </c>
      <c r="O82" s="12">
        <v>5.8499762000000004</v>
      </c>
      <c r="P82" s="7">
        <v>4419.6000000000004</v>
      </c>
      <c r="Q82" s="7">
        <v>196.4</v>
      </c>
      <c r="R82" s="7">
        <v>4.3</v>
      </c>
      <c r="S82" s="12">
        <v>13.966371799999999</v>
      </c>
      <c r="T82" s="12">
        <v>0.9</v>
      </c>
      <c r="U82" s="12">
        <v>102.7566667</v>
      </c>
      <c r="V82" s="12">
        <v>309.87333330000001</v>
      </c>
      <c r="W82" s="12">
        <v>3.2660903000000001</v>
      </c>
      <c r="X82" s="12">
        <v>8.2063457</v>
      </c>
      <c r="Y82" s="12">
        <v>9.5960107000000008</v>
      </c>
      <c r="Z82" s="12">
        <v>3.9837905</v>
      </c>
      <c r="AA82" s="12">
        <v>50.7796521</v>
      </c>
      <c r="AB82" s="12">
        <v>19.985276299999999</v>
      </c>
      <c r="AC82" s="12">
        <v>20.385894</v>
      </c>
      <c r="AD82" s="12">
        <v>88.689780200000001</v>
      </c>
      <c r="AE82" s="12">
        <v>79.840602599999997</v>
      </c>
      <c r="AF82" s="12">
        <v>0.584812</v>
      </c>
      <c r="AG82" s="12">
        <v>71.036826500000004</v>
      </c>
    </row>
    <row r="83" spans="1:33" s="11" customFormat="1" hidden="1" outlineLevel="1" x14ac:dyDescent="0.3">
      <c r="A83" s="11" t="s">
        <v>89</v>
      </c>
      <c r="B83" s="12">
        <v>3.0333996999999999</v>
      </c>
      <c r="C83" s="12">
        <v>102.1166667</v>
      </c>
      <c r="D83" s="12">
        <v>1.6895705000000001</v>
      </c>
      <c r="E83" s="17">
        <v>0</v>
      </c>
      <c r="F83" s="13">
        <v>52.11</v>
      </c>
      <c r="G83" s="12">
        <v>15.3332227</v>
      </c>
      <c r="H83" s="12">
        <v>3.5143453</v>
      </c>
      <c r="I83" s="12">
        <v>-3.8547045</v>
      </c>
      <c r="J83" s="12">
        <v>4.2129829000000001</v>
      </c>
      <c r="K83" s="12">
        <v>4.6299368999999997</v>
      </c>
      <c r="L83" s="12">
        <v>4.2774219000000002</v>
      </c>
      <c r="M83" s="12">
        <v>12.466371499999999</v>
      </c>
      <c r="N83" s="12">
        <v>5.0285960999999997</v>
      </c>
      <c r="O83" s="12">
        <v>8.2502762000000001</v>
      </c>
      <c r="P83" s="7">
        <v>4450.7</v>
      </c>
      <c r="Q83" s="7">
        <v>188.5</v>
      </c>
      <c r="R83" s="7">
        <v>4.0999999999999996</v>
      </c>
      <c r="S83" s="12">
        <v>13.303527300000001</v>
      </c>
      <c r="T83" s="12">
        <v>0.9</v>
      </c>
      <c r="U83" s="12">
        <v>102.96</v>
      </c>
      <c r="V83" s="12">
        <v>306.48333330000003</v>
      </c>
      <c r="W83" s="12">
        <v>3.9650536999999999</v>
      </c>
      <c r="X83" s="12">
        <v>7.0542517</v>
      </c>
      <c r="Y83" s="12">
        <v>10.744659199999999</v>
      </c>
      <c r="Z83" s="12">
        <v>2.2938464000000001</v>
      </c>
      <c r="AA83" s="12">
        <v>48.022609199999998</v>
      </c>
      <c r="AB83" s="12">
        <v>19.2339375</v>
      </c>
      <c r="AC83" s="12">
        <v>25.933564400000002</v>
      </c>
      <c r="AD83" s="12">
        <v>83.276523999999995</v>
      </c>
      <c r="AE83" s="12">
        <v>76.466634999999997</v>
      </c>
      <c r="AF83" s="12">
        <v>1.5416998</v>
      </c>
      <c r="AG83" s="12">
        <v>71.166362699999993</v>
      </c>
    </row>
    <row r="84" spans="1:33" s="11" customFormat="1" hidden="1" outlineLevel="1" x14ac:dyDescent="0.3">
      <c r="A84" s="11" t="s">
        <v>90</v>
      </c>
      <c r="B84" s="12">
        <v>2.9900169999999999</v>
      </c>
      <c r="C84" s="12">
        <v>102.6233333</v>
      </c>
      <c r="D84" s="12">
        <v>1.7146821999999999</v>
      </c>
      <c r="E84" s="17">
        <v>0</v>
      </c>
      <c r="F84" s="13">
        <v>61.53</v>
      </c>
      <c r="G84" s="12">
        <v>7.0358431000000001</v>
      </c>
      <c r="H84" s="12">
        <v>9.2767703000000008</v>
      </c>
      <c r="I84" s="12">
        <v>-6.8357340999999998</v>
      </c>
      <c r="J84" s="12">
        <v>4.5678079</v>
      </c>
      <c r="K84" s="12">
        <v>5.3688393000000003</v>
      </c>
      <c r="L84" s="12">
        <v>8.5137275999999993</v>
      </c>
      <c r="M84" s="12">
        <v>3.7913689000000002</v>
      </c>
      <c r="N84" s="12">
        <v>6.9855111000000001</v>
      </c>
      <c r="O84" s="12">
        <v>8.5646798000000004</v>
      </c>
      <c r="P84" s="7">
        <v>4447.3999999999996</v>
      </c>
      <c r="Q84" s="7">
        <v>175.2</v>
      </c>
      <c r="R84" s="7">
        <v>3.8</v>
      </c>
      <c r="S84" s="12">
        <v>13.107644799999999</v>
      </c>
      <c r="T84" s="12">
        <v>0.9</v>
      </c>
      <c r="U84" s="12">
        <v>103.56</v>
      </c>
      <c r="V84" s="12">
        <v>311.66666670000001</v>
      </c>
      <c r="W84" s="12">
        <v>3.6210798</v>
      </c>
      <c r="X84" s="12">
        <v>7.7216721000000001</v>
      </c>
      <c r="Y84" s="12">
        <v>9.2830648999999994</v>
      </c>
      <c r="Z84" s="12">
        <v>0.1139714</v>
      </c>
      <c r="AA84" s="12">
        <v>48.165325500000002</v>
      </c>
      <c r="AB84" s="12">
        <v>21.346546</v>
      </c>
      <c r="AC84" s="12">
        <v>25.8333212</v>
      </c>
      <c r="AD84" s="12">
        <v>78.194935900000004</v>
      </c>
      <c r="AE84" s="12">
        <v>73.540128499999994</v>
      </c>
      <c r="AF84" s="12">
        <v>1.3056757000000001</v>
      </c>
      <c r="AG84" s="12">
        <v>72.113785500000006</v>
      </c>
    </row>
    <row r="85" spans="1:33" s="11" customFormat="1" hidden="1" outlineLevel="1" x14ac:dyDescent="0.3">
      <c r="A85" s="11" t="s">
        <v>91</v>
      </c>
      <c r="B85" s="12">
        <v>2.2828298</v>
      </c>
      <c r="C85" s="12">
        <v>102.5466667</v>
      </c>
      <c r="D85" s="12">
        <v>1.5313532000000001</v>
      </c>
      <c r="E85" s="17">
        <v>0</v>
      </c>
      <c r="F85" s="13">
        <v>66.806666699999994</v>
      </c>
      <c r="G85" s="12">
        <v>17.6065501</v>
      </c>
      <c r="H85" s="12">
        <v>8.4853745000000007</v>
      </c>
      <c r="I85" s="12">
        <v>-0.5384255</v>
      </c>
      <c r="J85" s="12">
        <v>5.0135326999999998</v>
      </c>
      <c r="K85" s="12">
        <v>5.0009302</v>
      </c>
      <c r="L85" s="12">
        <v>5.1835522000000003</v>
      </c>
      <c r="M85" s="12">
        <v>5.8296530000000004</v>
      </c>
      <c r="N85" s="12">
        <v>4.6196469000000002</v>
      </c>
      <c r="O85" s="12">
        <v>4.9504358000000002</v>
      </c>
      <c r="P85" s="7">
        <v>4435.2</v>
      </c>
      <c r="Q85" s="7">
        <v>177.9</v>
      </c>
      <c r="R85" s="7">
        <v>3.9</v>
      </c>
      <c r="S85" s="12">
        <v>12.3</v>
      </c>
      <c r="T85" s="12">
        <v>0.9</v>
      </c>
      <c r="U85" s="12">
        <v>104.16</v>
      </c>
      <c r="V85" s="12">
        <v>311.06666669999998</v>
      </c>
      <c r="W85" s="12">
        <v>3.2463399000000002</v>
      </c>
      <c r="X85" s="12">
        <v>3.9194038</v>
      </c>
      <c r="Y85" s="12">
        <v>4.7006378</v>
      </c>
      <c r="Z85" s="12">
        <v>2.0316258999999999</v>
      </c>
      <c r="AA85" s="12">
        <v>53.415675499999999</v>
      </c>
      <c r="AB85" s="12">
        <v>20.797875699999999</v>
      </c>
      <c r="AC85" s="12">
        <v>20.153260100000001</v>
      </c>
      <c r="AD85" s="12">
        <v>91.318566899999993</v>
      </c>
      <c r="AE85" s="12">
        <v>85.685378200000002</v>
      </c>
      <c r="AF85" s="12">
        <v>-4.0824300000000001E-2</v>
      </c>
      <c r="AG85" s="12">
        <v>66.845082300000001</v>
      </c>
    </row>
    <row r="86" spans="1:33" s="11" customFormat="1" hidden="1" outlineLevel="1" x14ac:dyDescent="0.3">
      <c r="A86" s="11" t="s">
        <v>92</v>
      </c>
      <c r="B86" s="12">
        <v>2.5023559999999998</v>
      </c>
      <c r="C86" s="12">
        <v>104.0133333</v>
      </c>
      <c r="D86" s="12">
        <v>1.8606777000000001</v>
      </c>
      <c r="E86" s="17">
        <v>0</v>
      </c>
      <c r="F86" s="13">
        <v>74.5</v>
      </c>
      <c r="G86" s="12">
        <v>10.1756592</v>
      </c>
      <c r="H86" s="12">
        <v>9.6697456000000006</v>
      </c>
      <c r="I86" s="12">
        <v>-1.1909105</v>
      </c>
      <c r="J86" s="12">
        <v>5.3719080000000003</v>
      </c>
      <c r="K86" s="12">
        <v>5.0435477000000004</v>
      </c>
      <c r="L86" s="12">
        <v>2.8922352999999998</v>
      </c>
      <c r="M86" s="12">
        <v>17.674734600000001</v>
      </c>
      <c r="N86" s="12">
        <v>6.2762338</v>
      </c>
      <c r="O86" s="12">
        <v>8.8519112</v>
      </c>
      <c r="P86" s="7">
        <v>4474.6000000000004</v>
      </c>
      <c r="Q86" s="7">
        <v>165.1</v>
      </c>
      <c r="R86" s="7">
        <v>3.6</v>
      </c>
      <c r="S86" s="12">
        <v>11.6</v>
      </c>
      <c r="T86" s="12">
        <v>0.9</v>
      </c>
      <c r="U86" s="12">
        <v>105.64</v>
      </c>
      <c r="V86" s="12">
        <v>317.1166667</v>
      </c>
      <c r="W86" s="12">
        <v>3.6899225000000002</v>
      </c>
      <c r="X86" s="12">
        <v>5.4911878999999999</v>
      </c>
      <c r="Y86" s="12">
        <v>9.1931516999999996</v>
      </c>
      <c r="Z86" s="12">
        <v>1.5734321</v>
      </c>
      <c r="AA86" s="12">
        <v>50.148452300000002</v>
      </c>
      <c r="AB86" s="12">
        <v>19.518013400000001</v>
      </c>
      <c r="AC86" s="12">
        <v>24.175147299999999</v>
      </c>
      <c r="AD86" s="12">
        <v>86.969228999999999</v>
      </c>
      <c r="AE86" s="12">
        <v>80.810842100000002</v>
      </c>
      <c r="AF86" s="12">
        <v>2.1617533</v>
      </c>
      <c r="AG86" s="12">
        <v>68.638769800000006</v>
      </c>
    </row>
    <row r="87" spans="1:33" s="11" customFormat="1" hidden="1" outlineLevel="1" x14ac:dyDescent="0.3">
      <c r="A87" s="11" t="s">
        <v>93</v>
      </c>
      <c r="B87" s="12">
        <v>1.7229988000000001</v>
      </c>
      <c r="C87" s="12">
        <v>104.3666667</v>
      </c>
      <c r="D87" s="12">
        <v>2.2033621999999999</v>
      </c>
      <c r="E87" s="17">
        <v>0</v>
      </c>
      <c r="F87" s="13">
        <v>75.223333299999993</v>
      </c>
      <c r="G87" s="12">
        <v>6.7767837000000002</v>
      </c>
      <c r="H87" s="12">
        <v>15.321006799999999</v>
      </c>
      <c r="I87" s="12">
        <v>-0.51939809999999997</v>
      </c>
      <c r="J87" s="12">
        <v>5.5256309000000003</v>
      </c>
      <c r="K87" s="12">
        <v>4.7947274000000002</v>
      </c>
      <c r="L87" s="12">
        <v>1.3045355000000001</v>
      </c>
      <c r="M87" s="12">
        <v>21.5987057</v>
      </c>
      <c r="N87" s="12">
        <v>2.2662664000000001</v>
      </c>
      <c r="O87" s="12">
        <v>6.2289446000000002</v>
      </c>
      <c r="P87" s="7">
        <v>4486.8</v>
      </c>
      <c r="Q87" s="7">
        <v>178.2</v>
      </c>
      <c r="R87" s="7">
        <v>3.8</v>
      </c>
      <c r="S87" s="12">
        <v>11.1</v>
      </c>
      <c r="T87" s="12">
        <v>0.9</v>
      </c>
      <c r="U87" s="12">
        <v>106.58333330000001</v>
      </c>
      <c r="V87" s="12">
        <v>324.14666670000003</v>
      </c>
      <c r="W87" s="12">
        <v>2.1008404000000001</v>
      </c>
      <c r="X87" s="12">
        <v>1.5239214999999999</v>
      </c>
      <c r="Y87" s="12">
        <v>7.3110339</v>
      </c>
      <c r="Z87" s="12">
        <v>-0.67257560000000005</v>
      </c>
      <c r="AA87" s="12">
        <v>47.285337699999999</v>
      </c>
      <c r="AB87" s="12">
        <v>18.275265900000001</v>
      </c>
      <c r="AC87" s="12">
        <v>31.870870400000001</v>
      </c>
      <c r="AD87" s="12">
        <v>80.433371800000003</v>
      </c>
      <c r="AE87" s="12">
        <v>77.864845700000004</v>
      </c>
      <c r="AF87" s="12">
        <v>3.2872975000000002</v>
      </c>
      <c r="AG87" s="12">
        <v>69.023334599999998</v>
      </c>
    </row>
    <row r="88" spans="1:33" s="11" customFormat="1" hidden="1" outlineLevel="1" x14ac:dyDescent="0.3">
      <c r="A88" s="11" t="s">
        <v>94</v>
      </c>
      <c r="B88" s="12">
        <v>1.7730376000000001</v>
      </c>
      <c r="C88" s="12">
        <v>104.64</v>
      </c>
      <c r="D88" s="12">
        <v>1.9651152000000001</v>
      </c>
      <c r="E88" s="17">
        <v>0</v>
      </c>
      <c r="F88" s="13">
        <v>67.713333300000002</v>
      </c>
      <c r="G88" s="12">
        <v>4.1829472000000001</v>
      </c>
      <c r="H88" s="12">
        <v>6.7198824000000004</v>
      </c>
      <c r="I88" s="12">
        <v>-5.4075088999999998</v>
      </c>
      <c r="J88" s="12">
        <v>5.4888412000000004</v>
      </c>
      <c r="K88" s="12">
        <v>4.4176666000000004</v>
      </c>
      <c r="L88" s="12">
        <v>-1.702504</v>
      </c>
      <c r="M88" s="12">
        <v>15.5278698</v>
      </c>
      <c r="N88" s="12">
        <v>6.724424</v>
      </c>
      <c r="O88" s="12">
        <v>7.7621368999999998</v>
      </c>
      <c r="P88" s="7">
        <v>4481.3</v>
      </c>
      <c r="Q88" s="7">
        <v>167.2</v>
      </c>
      <c r="R88" s="7">
        <v>3.6</v>
      </c>
      <c r="S88" s="12">
        <v>10.5</v>
      </c>
      <c r="T88" s="12">
        <v>0.9</v>
      </c>
      <c r="U88" s="12">
        <v>106.97</v>
      </c>
      <c r="V88" s="12">
        <v>322.97000000000003</v>
      </c>
      <c r="W88" s="12">
        <v>5.0546021999999997</v>
      </c>
      <c r="X88" s="12">
        <v>6.7578225999999999</v>
      </c>
      <c r="Y88" s="12">
        <v>9.3511717000000001</v>
      </c>
      <c r="Z88" s="12">
        <v>-1.8431858999999999</v>
      </c>
      <c r="AA88" s="12">
        <v>47.053566799999999</v>
      </c>
      <c r="AB88" s="12">
        <v>20.301581599999999</v>
      </c>
      <c r="AC88" s="12">
        <v>29.587449599999999</v>
      </c>
      <c r="AD88" s="12">
        <v>78.161773400000001</v>
      </c>
      <c r="AE88" s="12">
        <v>75.104371400000005</v>
      </c>
      <c r="AF88" s="12">
        <v>5.8233443999999999</v>
      </c>
      <c r="AG88" s="12">
        <v>69.078021800000002</v>
      </c>
    </row>
    <row r="89" spans="1:33" s="11" customFormat="1" hidden="1" outlineLevel="1" x14ac:dyDescent="0.3">
      <c r="A89" s="11" t="s">
        <v>95</v>
      </c>
      <c r="B89" s="12">
        <v>1.9308453999999999</v>
      </c>
      <c r="C89" s="12">
        <v>104.17</v>
      </c>
      <c r="D89" s="12">
        <v>1.5830191</v>
      </c>
      <c r="E89" s="17">
        <v>0</v>
      </c>
      <c r="F89" s="13">
        <v>63.17</v>
      </c>
      <c r="G89" s="12">
        <v>5.3670575999999999</v>
      </c>
      <c r="H89" s="12">
        <v>9.9154660000000003</v>
      </c>
      <c r="I89" s="12">
        <v>1.3929872999999999</v>
      </c>
      <c r="J89" s="12">
        <v>5.3087894000000002</v>
      </c>
      <c r="K89" s="12">
        <v>4.7562230000000003</v>
      </c>
      <c r="L89" s="12">
        <v>2.4151378999999999</v>
      </c>
      <c r="M89" s="12">
        <v>18.5174816</v>
      </c>
      <c r="N89" s="12">
        <v>6.6693913</v>
      </c>
      <c r="O89" s="12">
        <v>8.3891506000000007</v>
      </c>
      <c r="P89" s="7">
        <v>4497.1000000000004</v>
      </c>
      <c r="Q89" s="7">
        <v>165.7</v>
      </c>
      <c r="R89" s="7">
        <v>3.6</v>
      </c>
      <c r="S89" s="12">
        <v>11</v>
      </c>
      <c r="T89" s="12">
        <v>0.9</v>
      </c>
      <c r="U89" s="12">
        <v>107.52666670000001</v>
      </c>
      <c r="V89" s="12">
        <v>317.87666669999999</v>
      </c>
      <c r="W89" s="12">
        <v>6.4426633999999998</v>
      </c>
      <c r="X89" s="12">
        <v>6.5487820000000001</v>
      </c>
      <c r="Y89" s="12">
        <v>9.1754075999999998</v>
      </c>
      <c r="Z89" s="12">
        <v>-5.4792300000000002E-2</v>
      </c>
      <c r="AA89" s="12">
        <v>52.655426300000002</v>
      </c>
      <c r="AB89" s="12">
        <v>20.256975199999999</v>
      </c>
      <c r="AC89" s="12">
        <v>23.629584399999999</v>
      </c>
      <c r="AD89" s="12">
        <v>89.664861400000007</v>
      </c>
      <c r="AE89" s="12">
        <v>86.206847400000001</v>
      </c>
      <c r="AF89" s="12">
        <v>7.7410959999999998</v>
      </c>
      <c r="AG89" s="12">
        <v>63.679691099999999</v>
      </c>
    </row>
    <row r="90" spans="1:33" s="11" customFormat="1" hidden="1" outlineLevel="1" x14ac:dyDescent="0.3">
      <c r="A90" s="11" t="s">
        <v>96</v>
      </c>
      <c r="B90" s="12">
        <v>1.5959346999999999</v>
      </c>
      <c r="C90" s="12">
        <v>105.7566667</v>
      </c>
      <c r="D90" s="12">
        <v>1.6760672000000001</v>
      </c>
      <c r="E90" s="17">
        <v>0</v>
      </c>
      <c r="F90" s="13">
        <v>68.923333299999996</v>
      </c>
      <c r="G90" s="12">
        <v>9.5692176999999994</v>
      </c>
      <c r="H90" s="12">
        <v>13.0571409</v>
      </c>
      <c r="I90" s="12">
        <v>0.2122848</v>
      </c>
      <c r="J90" s="12">
        <v>4.7542783999999996</v>
      </c>
      <c r="K90" s="12">
        <v>4.9330277999999996</v>
      </c>
      <c r="L90" s="12">
        <v>2.9583490000000001</v>
      </c>
      <c r="M90" s="12">
        <v>14.9931953</v>
      </c>
      <c r="N90" s="12">
        <v>3.2564592999999999</v>
      </c>
      <c r="O90" s="12">
        <v>5.5695860000000001</v>
      </c>
      <c r="P90" s="7">
        <v>4510.8999999999996</v>
      </c>
      <c r="Q90" s="7">
        <v>155.5</v>
      </c>
      <c r="R90" s="7">
        <v>3.3</v>
      </c>
      <c r="S90" s="12">
        <v>10.3</v>
      </c>
      <c r="T90" s="12">
        <v>0.9</v>
      </c>
      <c r="U90" s="12">
        <v>109.65</v>
      </c>
      <c r="V90" s="12">
        <v>322.90666670000002</v>
      </c>
      <c r="W90" s="12">
        <v>4.9342104999999998</v>
      </c>
      <c r="X90" s="12">
        <v>2.8741794999999999</v>
      </c>
      <c r="Y90" s="12">
        <v>5.3240783</v>
      </c>
      <c r="Z90" s="12">
        <v>0.69574250000000004</v>
      </c>
      <c r="AA90" s="12">
        <v>49.846474499999999</v>
      </c>
      <c r="AB90" s="12">
        <v>19.954754600000001</v>
      </c>
      <c r="AC90" s="12">
        <v>26.1931464</v>
      </c>
      <c r="AD90" s="12">
        <v>82.553906499999997</v>
      </c>
      <c r="AE90" s="12">
        <v>78.548282099999994</v>
      </c>
      <c r="AF90" s="12">
        <v>7.6135409000000003</v>
      </c>
      <c r="AG90" s="12">
        <v>64.067064200000004</v>
      </c>
    </row>
    <row r="91" spans="1:33" s="11" customFormat="1" hidden="1" outlineLevel="1" x14ac:dyDescent="0.3">
      <c r="A91" s="11" t="s">
        <v>97</v>
      </c>
      <c r="B91" s="12">
        <v>2.3612953000000001</v>
      </c>
      <c r="C91" s="12">
        <v>105.74</v>
      </c>
      <c r="D91" s="12">
        <v>1.3158734999999999</v>
      </c>
      <c r="E91" s="17">
        <v>0</v>
      </c>
      <c r="F91" s="13">
        <v>61.93</v>
      </c>
      <c r="G91" s="12">
        <v>11.6260461</v>
      </c>
      <c r="H91" s="12">
        <v>5.0664948000000001</v>
      </c>
      <c r="I91" s="12">
        <v>-3.1031418</v>
      </c>
      <c r="J91" s="12">
        <v>5.0322392999999996</v>
      </c>
      <c r="K91" s="12">
        <v>5.3193554000000001</v>
      </c>
      <c r="L91" s="12">
        <v>4.5341114999999999</v>
      </c>
      <c r="M91" s="12">
        <v>7.9990189000000003</v>
      </c>
      <c r="N91" s="12">
        <v>9.6395195000000005</v>
      </c>
      <c r="O91" s="12">
        <v>11.4831535</v>
      </c>
      <c r="P91" s="7">
        <v>4521</v>
      </c>
      <c r="Q91" s="7">
        <v>162.5</v>
      </c>
      <c r="R91" s="7">
        <v>3.5</v>
      </c>
      <c r="S91" s="12">
        <v>11.2</v>
      </c>
      <c r="T91" s="12">
        <v>0.9</v>
      </c>
      <c r="U91" s="12">
        <v>109.9266667</v>
      </c>
      <c r="V91" s="12">
        <v>328.21</v>
      </c>
      <c r="W91" s="12">
        <v>8.1987971000000002</v>
      </c>
      <c r="X91" s="12">
        <v>8.9846982000000004</v>
      </c>
      <c r="Y91" s="12">
        <v>9.8500751999999991</v>
      </c>
      <c r="Z91" s="12">
        <v>-1.5127141</v>
      </c>
      <c r="AA91" s="12">
        <v>47.3581444</v>
      </c>
      <c r="AB91" s="12">
        <v>18.773961799999999</v>
      </c>
      <c r="AC91" s="12">
        <v>31.890522199999999</v>
      </c>
      <c r="AD91" s="12">
        <v>81.076798400000001</v>
      </c>
      <c r="AE91" s="12">
        <v>79.099426899999997</v>
      </c>
      <c r="AF91" s="12">
        <v>12.7660746</v>
      </c>
      <c r="AG91" s="12">
        <v>65.495613000000006</v>
      </c>
    </row>
    <row r="92" spans="1:33" s="11" customFormat="1" hidden="1" outlineLevel="1" x14ac:dyDescent="0.3">
      <c r="A92" s="11" t="s">
        <v>98</v>
      </c>
      <c r="B92" s="12">
        <v>1.3592039</v>
      </c>
      <c r="C92" s="12">
        <v>106.0066667</v>
      </c>
      <c r="D92" s="12">
        <v>1.3060653</v>
      </c>
      <c r="E92" s="17">
        <v>0</v>
      </c>
      <c r="F92" s="13">
        <v>63.41</v>
      </c>
      <c r="G92" s="12">
        <v>11.9779426</v>
      </c>
      <c r="H92" s="12">
        <v>11.414264899999999</v>
      </c>
      <c r="I92" s="12">
        <v>-5.7792669999999999</v>
      </c>
      <c r="J92" s="12">
        <v>4.4347469000000004</v>
      </c>
      <c r="K92" s="12">
        <v>5.4684261000000003</v>
      </c>
      <c r="L92" s="12">
        <v>13.243177599999999</v>
      </c>
      <c r="M92" s="12">
        <v>10.0591613</v>
      </c>
      <c r="N92" s="12">
        <v>2.4313446000000001</v>
      </c>
      <c r="O92" s="12">
        <v>7.4609592999999998</v>
      </c>
      <c r="P92" s="7">
        <v>4519.6000000000004</v>
      </c>
      <c r="Q92" s="7">
        <v>155.19999999999999</v>
      </c>
      <c r="R92" s="7">
        <v>3.3</v>
      </c>
      <c r="S92" s="12">
        <v>12.8</v>
      </c>
      <c r="T92" s="12">
        <v>0.9</v>
      </c>
      <c r="U92" s="12">
        <v>110.7333333</v>
      </c>
      <c r="V92" s="12">
        <v>331.93</v>
      </c>
      <c r="W92" s="12">
        <v>3.1482032000000002</v>
      </c>
      <c r="X92" s="12">
        <v>1.2382287999999999</v>
      </c>
      <c r="Y92" s="12">
        <v>5.0830703000000002</v>
      </c>
      <c r="Z92" s="12">
        <v>-2.1709876000000001</v>
      </c>
      <c r="AA92" s="12">
        <v>47.667549800000003</v>
      </c>
      <c r="AB92" s="12">
        <v>21.284409</v>
      </c>
      <c r="AC92" s="12">
        <v>30.848047300000001</v>
      </c>
      <c r="AD92" s="12">
        <v>74.652425500000007</v>
      </c>
      <c r="AE92" s="12">
        <v>74.452431700000005</v>
      </c>
      <c r="AF92" s="12">
        <v>15.591318899999999</v>
      </c>
      <c r="AG92" s="12">
        <v>65.333227399999998</v>
      </c>
    </row>
    <row r="93" spans="1:33" s="11" customFormat="1" hidden="1" outlineLevel="1" x14ac:dyDescent="0.3">
      <c r="A93" s="11" t="s">
        <v>99</v>
      </c>
      <c r="B93" s="12">
        <v>-2.2061226999999999</v>
      </c>
      <c r="C93" s="12">
        <v>105.74666670000001</v>
      </c>
      <c r="D93" s="12">
        <v>1.5135516</v>
      </c>
      <c r="E93" s="17">
        <v>0</v>
      </c>
      <c r="F93" s="13">
        <v>50.44</v>
      </c>
      <c r="G93" s="12">
        <v>9.2434132000000009</v>
      </c>
      <c r="H93" s="12">
        <v>3.9591731999999999</v>
      </c>
      <c r="I93" s="12">
        <v>-0.84963560000000005</v>
      </c>
      <c r="J93" s="12">
        <v>2.1314793999999999</v>
      </c>
      <c r="K93" s="12">
        <v>5.8376079000000001</v>
      </c>
      <c r="L93" s="12">
        <v>-0.2278791</v>
      </c>
      <c r="M93" s="12">
        <v>6.6554038999999996</v>
      </c>
      <c r="N93" s="12">
        <v>0.1966243</v>
      </c>
      <c r="O93" s="12">
        <v>2.9779523999999999</v>
      </c>
      <c r="P93" s="7">
        <v>4465.8</v>
      </c>
      <c r="Q93" s="7">
        <v>173</v>
      </c>
      <c r="R93" s="7">
        <v>3.7</v>
      </c>
      <c r="S93" s="12">
        <v>9.2355280000000004</v>
      </c>
      <c r="T93" s="12">
        <v>0.9</v>
      </c>
      <c r="U93" s="12">
        <v>112.2066667</v>
      </c>
      <c r="V93" s="12">
        <v>339.07666669999998</v>
      </c>
      <c r="W93" s="12">
        <v>0.3185636</v>
      </c>
      <c r="X93" s="12">
        <v>-1.3478166</v>
      </c>
      <c r="Y93" s="12">
        <v>-0.84603989999999996</v>
      </c>
      <c r="Z93" s="12">
        <v>-0.75363279999999999</v>
      </c>
      <c r="AA93" s="12">
        <v>54.081856000000002</v>
      </c>
      <c r="AB93" s="12">
        <v>20.491546700000001</v>
      </c>
      <c r="AC93" s="12">
        <v>22.474687400000001</v>
      </c>
      <c r="AD93" s="12">
        <v>87.969102500000005</v>
      </c>
      <c r="AE93" s="12">
        <v>85.017192600000001</v>
      </c>
      <c r="AF93" s="12">
        <v>18.1640248</v>
      </c>
      <c r="AG93" s="12">
        <v>65.505782600000003</v>
      </c>
    </row>
    <row r="94" spans="1:33" s="11" customFormat="1" hidden="1" outlineLevel="1" x14ac:dyDescent="0.3">
      <c r="A94" s="11" t="s">
        <v>100</v>
      </c>
      <c r="B94" s="12">
        <v>-13.380244299999999</v>
      </c>
      <c r="C94" s="12">
        <v>106.50333329999999</v>
      </c>
      <c r="D94" s="12">
        <v>0.70602319999999996</v>
      </c>
      <c r="E94" s="17">
        <v>0</v>
      </c>
      <c r="F94" s="13">
        <v>29.343333300000001</v>
      </c>
      <c r="G94" s="12">
        <v>13.3252899</v>
      </c>
      <c r="H94" s="12">
        <v>-4.9923463000000003</v>
      </c>
      <c r="I94" s="12">
        <v>-8.6251765000000002</v>
      </c>
      <c r="J94" s="12">
        <v>-12.8498096</v>
      </c>
      <c r="K94" s="12">
        <v>-6.3482618999999998</v>
      </c>
      <c r="L94" s="12">
        <v>-0.45783750000000001</v>
      </c>
      <c r="M94" s="12">
        <v>-10.164440300000001</v>
      </c>
      <c r="N94" s="12">
        <v>-23.955339200000001</v>
      </c>
      <c r="O94" s="12">
        <v>-16.204815799999999</v>
      </c>
      <c r="P94" s="7">
        <v>4408.2</v>
      </c>
      <c r="Q94" s="7">
        <v>214.2</v>
      </c>
      <c r="R94" s="7">
        <v>4.5999999999999996</v>
      </c>
      <c r="S94" s="12">
        <v>10.9868963</v>
      </c>
      <c r="T94" s="12">
        <v>0.75</v>
      </c>
      <c r="U94" s="12">
        <v>112.44</v>
      </c>
      <c r="V94" s="12">
        <v>351.71333329999999</v>
      </c>
      <c r="W94" s="12">
        <v>-25.2493588</v>
      </c>
      <c r="X94" s="12">
        <v>-26.7124788</v>
      </c>
      <c r="Y94" s="12">
        <v>-21.564734999999999</v>
      </c>
      <c r="Z94" s="12">
        <v>-4.3809157000000001</v>
      </c>
      <c r="AA94" s="12">
        <v>51.645263999999997</v>
      </c>
      <c r="AB94" s="12">
        <v>23.834131200000002</v>
      </c>
      <c r="AC94" s="12">
        <v>25.866311100000001</v>
      </c>
      <c r="AD94" s="12">
        <v>70.552134199999998</v>
      </c>
      <c r="AE94" s="12">
        <v>71.897840500000001</v>
      </c>
      <c r="AF94" s="12">
        <v>18.6917252</v>
      </c>
      <c r="AG94" s="12">
        <v>68.679559900000001</v>
      </c>
    </row>
    <row r="95" spans="1:33" s="11" customFormat="1" hidden="1" outlineLevel="1" x14ac:dyDescent="0.3">
      <c r="A95" s="11" t="s">
        <v>101</v>
      </c>
      <c r="B95" s="12">
        <v>-3.6984297000000002</v>
      </c>
      <c r="C95" s="12">
        <v>106.27</v>
      </c>
      <c r="D95" s="12">
        <v>0.50122940000000005</v>
      </c>
      <c r="E95" s="17">
        <v>0</v>
      </c>
      <c r="F95" s="13">
        <v>42.963333300000002</v>
      </c>
      <c r="G95" s="12">
        <v>6.3143836999999996</v>
      </c>
      <c r="H95" s="12">
        <v>4.9274313999999997</v>
      </c>
      <c r="I95" s="12">
        <v>-3.8151400999999998</v>
      </c>
      <c r="J95" s="12">
        <v>-4.1574211999999999</v>
      </c>
      <c r="K95" s="12">
        <v>-1.6915302000000001</v>
      </c>
      <c r="L95" s="12">
        <v>-0.6193187</v>
      </c>
      <c r="M95" s="12">
        <v>-11.729338200000001</v>
      </c>
      <c r="N95" s="12">
        <v>-3.9655244000000001</v>
      </c>
      <c r="O95" s="12">
        <v>-4.7266208000000001</v>
      </c>
      <c r="P95" s="7">
        <v>4485.5</v>
      </c>
      <c r="Q95" s="7">
        <v>208.3</v>
      </c>
      <c r="R95" s="7">
        <v>4.4000000000000004</v>
      </c>
      <c r="S95" s="12">
        <v>9.6533870000000004</v>
      </c>
      <c r="T95" s="12">
        <v>0.6</v>
      </c>
      <c r="U95" s="12">
        <v>114.0633333</v>
      </c>
      <c r="V95" s="12">
        <v>353.56666669999998</v>
      </c>
      <c r="W95" s="12">
        <v>-2.2820363000000001</v>
      </c>
      <c r="X95" s="12">
        <v>-7.9089985</v>
      </c>
      <c r="Y95" s="12">
        <v>-10.058346999999999</v>
      </c>
      <c r="Z95" s="12">
        <v>0.81315179999999998</v>
      </c>
      <c r="AA95" s="12">
        <v>47.792224300000001</v>
      </c>
      <c r="AB95" s="12">
        <v>19.328736599999999</v>
      </c>
      <c r="AC95" s="12">
        <v>29.127521399999999</v>
      </c>
      <c r="AD95" s="12">
        <v>79.312662500000002</v>
      </c>
      <c r="AE95" s="12">
        <v>75.561144799999994</v>
      </c>
      <c r="AF95" s="12">
        <v>15.026717100000001</v>
      </c>
      <c r="AG95" s="12">
        <v>72.321681999999996</v>
      </c>
    </row>
    <row r="96" spans="1:33" s="11" customFormat="1" hidden="1" outlineLevel="1" x14ac:dyDescent="0.3">
      <c r="A96" s="11" t="s">
        <v>102</v>
      </c>
      <c r="B96" s="12">
        <v>-3.2236577</v>
      </c>
      <c r="C96" s="12">
        <v>106.2833333</v>
      </c>
      <c r="D96" s="12">
        <v>0.26098979999999999</v>
      </c>
      <c r="E96" s="17">
        <v>0</v>
      </c>
      <c r="F96" s="13">
        <v>44.29</v>
      </c>
      <c r="G96" s="12">
        <v>22.016767999999999</v>
      </c>
      <c r="H96" s="12">
        <v>1.2469193999999999</v>
      </c>
      <c r="I96" s="12">
        <v>-15.4618973</v>
      </c>
      <c r="J96" s="12">
        <v>-2.8188327000000002</v>
      </c>
      <c r="K96" s="12">
        <v>-2.6816862000000001</v>
      </c>
      <c r="L96" s="12">
        <v>1.46105E-2</v>
      </c>
      <c r="M96" s="12">
        <v>-7.8037675000000002</v>
      </c>
      <c r="N96" s="12">
        <v>3.3312013</v>
      </c>
      <c r="O96" s="12">
        <v>2.4471980000000002</v>
      </c>
      <c r="P96" s="7">
        <v>4482.3</v>
      </c>
      <c r="Q96" s="7">
        <v>196.5</v>
      </c>
      <c r="R96" s="7">
        <v>4.2</v>
      </c>
      <c r="S96" s="12">
        <v>9.4173641999999997</v>
      </c>
      <c r="T96" s="12">
        <v>0.6</v>
      </c>
      <c r="U96" s="12">
        <v>113.9033333</v>
      </c>
      <c r="V96" s="12">
        <v>360.46333329999999</v>
      </c>
      <c r="W96" s="12">
        <v>3.3112582000000002</v>
      </c>
      <c r="X96" s="12">
        <v>-0.2017736</v>
      </c>
      <c r="Y96" s="12">
        <v>-2.6033710999999999</v>
      </c>
      <c r="Z96" s="12">
        <v>-0.55733100000000002</v>
      </c>
      <c r="AA96" s="12">
        <v>45.6412841</v>
      </c>
      <c r="AB96" s="12">
        <v>21.801869499999999</v>
      </c>
      <c r="AC96" s="12">
        <v>30.493549000000002</v>
      </c>
      <c r="AD96" s="12">
        <v>77.187319500000001</v>
      </c>
      <c r="AE96" s="12">
        <v>75.124022100000005</v>
      </c>
      <c r="AF96" s="12">
        <v>14.136919600000001</v>
      </c>
      <c r="AG96" s="12">
        <v>79.253287200000003</v>
      </c>
    </row>
    <row r="97" spans="1:33" s="11" customFormat="1" hidden="1" outlineLevel="1" x14ac:dyDescent="0.3">
      <c r="A97" s="11" t="s">
        <v>103</v>
      </c>
      <c r="B97" s="12">
        <v>-0.1765746</v>
      </c>
      <c r="C97" s="12">
        <v>107.21</v>
      </c>
      <c r="D97" s="12">
        <v>1.3838102999999999</v>
      </c>
      <c r="E97" s="17">
        <v>0</v>
      </c>
      <c r="F97" s="13">
        <v>60.82</v>
      </c>
      <c r="G97" s="12">
        <v>16.513148900000001</v>
      </c>
      <c r="H97" s="12">
        <v>1.3284019</v>
      </c>
      <c r="I97" s="12">
        <v>-7.6078659000000002</v>
      </c>
      <c r="J97" s="12">
        <v>-2.3056485000000002</v>
      </c>
      <c r="K97" s="12">
        <v>-5.5289548000000002</v>
      </c>
      <c r="L97" s="12">
        <v>8.0775436000000003</v>
      </c>
      <c r="M97" s="12">
        <v>-12.541635899999999</v>
      </c>
      <c r="N97" s="12">
        <v>3.2502661000000002</v>
      </c>
      <c r="O97" s="12">
        <v>1.2316965</v>
      </c>
      <c r="P97" s="7">
        <v>4572.8</v>
      </c>
      <c r="Q97" s="7">
        <v>214.8</v>
      </c>
      <c r="R97" s="7">
        <v>4.5</v>
      </c>
      <c r="S97" s="12">
        <v>9.3601279999999996</v>
      </c>
      <c r="T97" s="12">
        <v>0.6</v>
      </c>
      <c r="U97" s="12">
        <v>115.9633333</v>
      </c>
      <c r="V97" s="12">
        <v>360.98333330000003</v>
      </c>
      <c r="W97" s="12">
        <v>3.7528868000000002</v>
      </c>
      <c r="X97" s="12">
        <v>1.8342177</v>
      </c>
      <c r="Y97" s="12">
        <v>-0.19844890000000001</v>
      </c>
      <c r="Z97" s="12">
        <v>0.76197740000000003</v>
      </c>
      <c r="AA97" s="12">
        <v>52.054345400000003</v>
      </c>
      <c r="AB97" s="12">
        <v>23.041924699999999</v>
      </c>
      <c r="AC97" s="12">
        <v>19.952278700000001</v>
      </c>
      <c r="AD97" s="12">
        <v>93.491279899999995</v>
      </c>
      <c r="AE97" s="12">
        <v>88.539828700000001</v>
      </c>
      <c r="AF97" s="12">
        <v>13.3231348</v>
      </c>
      <c r="AG97" s="12">
        <v>70.737139499999998</v>
      </c>
    </row>
    <row r="98" spans="1:33" s="11" customFormat="1" hidden="1" outlineLevel="1" x14ac:dyDescent="0.3">
      <c r="A98" s="11" t="s">
        <v>104</v>
      </c>
      <c r="B98" s="12">
        <v>14.630134099999999</v>
      </c>
      <c r="C98" s="12">
        <v>108.82</v>
      </c>
      <c r="D98" s="12">
        <v>2.1752058000000001</v>
      </c>
      <c r="E98" s="17">
        <v>0</v>
      </c>
      <c r="F98" s="13">
        <v>68.833333300000007</v>
      </c>
      <c r="G98" s="12">
        <v>1.7242679999999999</v>
      </c>
      <c r="H98" s="12">
        <v>7.7911668000000001</v>
      </c>
      <c r="I98" s="12">
        <v>-4.8401110000000003</v>
      </c>
      <c r="J98" s="12">
        <v>17.748194600000001</v>
      </c>
      <c r="K98" s="12">
        <v>10.053561</v>
      </c>
      <c r="L98" s="12">
        <v>0.31509609999999999</v>
      </c>
      <c r="M98" s="12">
        <v>25.6510447</v>
      </c>
      <c r="N98" s="12">
        <v>34.176747900000002</v>
      </c>
      <c r="O98" s="12">
        <v>25.220085399999999</v>
      </c>
      <c r="P98" s="7">
        <v>4624.5</v>
      </c>
      <c r="Q98" s="7">
        <v>198</v>
      </c>
      <c r="R98" s="7">
        <v>4.0999999999999996</v>
      </c>
      <c r="S98" s="12">
        <v>7.4452617999999999</v>
      </c>
      <c r="T98" s="12">
        <v>0.9</v>
      </c>
      <c r="U98" s="12">
        <v>118.36</v>
      </c>
      <c r="V98" s="12">
        <v>354.72333329999998</v>
      </c>
      <c r="W98" s="12">
        <v>37.590545200000001</v>
      </c>
      <c r="X98" s="12">
        <v>38.866844200000003</v>
      </c>
      <c r="Y98" s="12">
        <v>32.988315</v>
      </c>
      <c r="Z98" s="12">
        <v>-3.0164740000000001</v>
      </c>
      <c r="AA98" s="12">
        <v>48.741672399999999</v>
      </c>
      <c r="AB98" s="12">
        <v>20.799557700000001</v>
      </c>
      <c r="AC98" s="12">
        <v>28.484166299999998</v>
      </c>
      <c r="AD98" s="12">
        <v>80.162801200000004</v>
      </c>
      <c r="AE98" s="12">
        <v>78.188197599999995</v>
      </c>
      <c r="AF98" s="12">
        <v>15.458466100000001</v>
      </c>
      <c r="AG98" s="12">
        <v>71.274280399999995</v>
      </c>
    </row>
    <row r="99" spans="1:33" s="11" customFormat="1" hidden="1" outlineLevel="1" x14ac:dyDescent="0.3">
      <c r="A99" s="11" t="s">
        <v>105</v>
      </c>
      <c r="B99" s="12">
        <v>4.8925850000000004</v>
      </c>
      <c r="C99" s="12">
        <v>109.55666669999999</v>
      </c>
      <c r="D99" s="12">
        <v>3.0927511999999999</v>
      </c>
      <c r="E99" s="17">
        <v>0</v>
      </c>
      <c r="F99" s="13">
        <v>73.47</v>
      </c>
      <c r="G99" s="12">
        <v>8.4212334000000002</v>
      </c>
      <c r="H99" s="12">
        <v>5.3992940999999997</v>
      </c>
      <c r="I99" s="12">
        <v>-4.7945580000000003</v>
      </c>
      <c r="J99" s="12">
        <v>6.1718843000000003</v>
      </c>
      <c r="K99" s="12">
        <v>6.9635214000000003</v>
      </c>
      <c r="L99" s="12">
        <v>3.0232217000000001</v>
      </c>
      <c r="M99" s="12">
        <v>17.368889200000002</v>
      </c>
      <c r="N99" s="12">
        <v>1.7489363</v>
      </c>
      <c r="O99" s="12">
        <v>5.3227542000000003</v>
      </c>
      <c r="P99" s="7">
        <v>4671.3</v>
      </c>
      <c r="Q99" s="7">
        <v>189.7</v>
      </c>
      <c r="R99" s="7">
        <v>3.9</v>
      </c>
      <c r="S99" s="12">
        <v>8.8106773</v>
      </c>
      <c r="T99" s="12">
        <v>1.65</v>
      </c>
      <c r="U99" s="12">
        <v>119.82</v>
      </c>
      <c r="V99" s="12">
        <v>353.87</v>
      </c>
      <c r="W99" s="12">
        <v>2.2155689000000001</v>
      </c>
      <c r="X99" s="12">
        <v>9.1154428999999997</v>
      </c>
      <c r="Y99" s="12">
        <v>16.604239100000001</v>
      </c>
      <c r="Z99" s="12">
        <v>-5.6268257000000004</v>
      </c>
      <c r="AA99" s="12">
        <v>47.803781600000001</v>
      </c>
      <c r="AB99" s="12">
        <v>19.207816999999999</v>
      </c>
      <c r="AC99" s="12">
        <v>34.392723400000001</v>
      </c>
      <c r="AD99" s="12">
        <v>76.498050899999996</v>
      </c>
      <c r="AE99" s="12">
        <v>77.902373100000005</v>
      </c>
      <c r="AF99" s="12">
        <v>16.019434100000002</v>
      </c>
      <c r="AG99" s="12">
        <v>76.1785098</v>
      </c>
    </row>
    <row r="100" spans="1:33" s="11" customFormat="1" hidden="1" outlineLevel="1" x14ac:dyDescent="0.3">
      <c r="A100" s="11" t="s">
        <v>106</v>
      </c>
      <c r="B100" s="12">
        <v>5.3916862999999999</v>
      </c>
      <c r="C100" s="12">
        <v>111.5333333</v>
      </c>
      <c r="D100" s="12">
        <v>4.9396268000000001</v>
      </c>
      <c r="E100" s="17">
        <v>0</v>
      </c>
      <c r="F100" s="13">
        <v>79.586666699999995</v>
      </c>
      <c r="G100" s="12">
        <v>4.7902766999999997</v>
      </c>
      <c r="H100" s="12">
        <v>13.142890599999999</v>
      </c>
      <c r="I100" s="12">
        <v>-10.837196499999999</v>
      </c>
      <c r="J100" s="12">
        <v>7.4078784000000004</v>
      </c>
      <c r="K100" s="12">
        <v>8.0556619999999999</v>
      </c>
      <c r="L100" s="12">
        <v>-3.0394093</v>
      </c>
      <c r="M100" s="12">
        <v>17.857529299999999</v>
      </c>
      <c r="N100" s="12">
        <v>3.9904599999999998E-2</v>
      </c>
      <c r="O100" s="12">
        <v>0.93257769999999995</v>
      </c>
      <c r="P100" s="7">
        <v>4698.8</v>
      </c>
      <c r="Q100" s="7">
        <v>180.3</v>
      </c>
      <c r="R100" s="7">
        <v>3.7</v>
      </c>
      <c r="S100" s="12">
        <v>9.6183791999999997</v>
      </c>
      <c r="T100" s="12">
        <v>2.4</v>
      </c>
      <c r="U100" s="12">
        <v>122.03</v>
      </c>
      <c r="V100" s="12">
        <v>364.27333329999999</v>
      </c>
      <c r="W100" s="12">
        <v>1.7279822</v>
      </c>
      <c r="X100" s="12">
        <v>9.6730388000000005</v>
      </c>
      <c r="Y100" s="12">
        <v>17.6717811</v>
      </c>
      <c r="Z100" s="12">
        <v>-7.5519990000000004</v>
      </c>
      <c r="AA100" s="12">
        <v>45.646451800000001</v>
      </c>
      <c r="AB100" s="12">
        <v>20.816956099999999</v>
      </c>
      <c r="AC100" s="12">
        <v>36.785505299999997</v>
      </c>
      <c r="AD100" s="12">
        <v>73.265331399999994</v>
      </c>
      <c r="AE100" s="12">
        <v>76.514244599999998</v>
      </c>
      <c r="AF100" s="12">
        <v>14.9709462</v>
      </c>
      <c r="AG100" s="12">
        <v>76.669066400000006</v>
      </c>
    </row>
    <row r="101" spans="1:33" hidden="1" outlineLevel="1" x14ac:dyDescent="0.3">
      <c r="A101" t="s">
        <v>108</v>
      </c>
      <c r="B101" s="12">
        <v>5.7284746999999996</v>
      </c>
      <c r="C101" s="12">
        <v>114.2266667</v>
      </c>
      <c r="D101" s="12">
        <v>6.5447875</v>
      </c>
      <c r="E101" s="17">
        <v>0</v>
      </c>
      <c r="F101" s="12">
        <v>100.2966667</v>
      </c>
      <c r="G101" s="12">
        <v>21.0497418</v>
      </c>
      <c r="H101" s="12">
        <v>33.742136500000001</v>
      </c>
      <c r="I101" s="12">
        <v>-2.9760417000000001</v>
      </c>
      <c r="J101" s="12">
        <v>7.8774398999999997</v>
      </c>
      <c r="K101" s="12">
        <v>12.0918739</v>
      </c>
      <c r="L101" s="12">
        <v>6.5313743999999998</v>
      </c>
      <c r="M101" s="12">
        <v>10.411830800000001</v>
      </c>
      <c r="N101" s="12">
        <v>9.6871583000000001</v>
      </c>
      <c r="O101" s="12">
        <v>11.5383947</v>
      </c>
      <c r="P101" s="7">
        <v>4688.6000000000004</v>
      </c>
      <c r="Q101" s="7">
        <v>181.1</v>
      </c>
      <c r="R101" s="7">
        <v>3.7</v>
      </c>
      <c r="S101" s="12">
        <v>20.705754299999999</v>
      </c>
      <c r="T101" s="12">
        <v>4.4000000000000004</v>
      </c>
      <c r="U101" s="12">
        <v>125.6</v>
      </c>
      <c r="V101" s="12">
        <v>364.09666670000001</v>
      </c>
      <c r="W101" s="12">
        <v>6.1769616000000003</v>
      </c>
      <c r="X101" s="12">
        <v>22.552991899999999</v>
      </c>
      <c r="Y101" s="12">
        <v>33.680292600000001</v>
      </c>
      <c r="Z101" s="12">
        <v>-5.7236174999999996</v>
      </c>
      <c r="AA101" s="12">
        <v>53.9030931</v>
      </c>
      <c r="AB101" s="12">
        <v>24.407583200000001</v>
      </c>
      <c r="AC101" s="12">
        <v>24.9017962</v>
      </c>
      <c r="AD101" s="12">
        <v>95.945306400000007</v>
      </c>
      <c r="AE101" s="12">
        <v>99.157771600000004</v>
      </c>
      <c r="AF101" s="12">
        <v>11.1323288</v>
      </c>
      <c r="AG101" s="12">
        <v>67.043509099999994</v>
      </c>
    </row>
    <row r="102" spans="1:33" hidden="1" outlineLevel="1" x14ac:dyDescent="0.3">
      <c r="A102" t="s">
        <v>109</v>
      </c>
      <c r="B102" s="12">
        <v>4.2015890999999996</v>
      </c>
      <c r="C102" s="12">
        <v>118.4333333</v>
      </c>
      <c r="D102" s="12">
        <v>8.8341604</v>
      </c>
      <c r="E102" s="17">
        <v>0</v>
      </c>
      <c r="F102" s="12">
        <v>113.5433333</v>
      </c>
      <c r="G102" s="12">
        <v>19.260391800000001</v>
      </c>
      <c r="H102" s="12">
        <v>28.813577800000001</v>
      </c>
      <c r="I102" s="12">
        <v>-1.6035254000000001</v>
      </c>
      <c r="J102" s="12">
        <v>6.6954796999999999</v>
      </c>
      <c r="K102" s="12">
        <v>8.0704004000000005</v>
      </c>
      <c r="L102" s="12">
        <v>4.8977655000000002</v>
      </c>
      <c r="M102" s="12">
        <v>4.5751771999999997</v>
      </c>
      <c r="N102" s="12">
        <v>10.5498671</v>
      </c>
      <c r="O102" s="12">
        <v>10.1740333</v>
      </c>
      <c r="P102" s="7">
        <v>4706.3</v>
      </c>
      <c r="Q102" s="7">
        <v>156.9</v>
      </c>
      <c r="R102" s="7">
        <v>3.2</v>
      </c>
      <c r="S102" s="12">
        <v>15.110895899999999</v>
      </c>
      <c r="T102" s="12">
        <v>7.75</v>
      </c>
      <c r="U102" s="12">
        <v>131.38999999999999</v>
      </c>
      <c r="V102" s="12">
        <v>385.32666669999998</v>
      </c>
      <c r="W102" s="12">
        <v>4.8766971999999997</v>
      </c>
      <c r="X102" s="12">
        <v>23.9209572</v>
      </c>
      <c r="Y102" s="12">
        <v>30.116093599999999</v>
      </c>
      <c r="Z102" s="12">
        <v>-6.1531580999999997</v>
      </c>
      <c r="AA102" s="12">
        <v>50.083849000000001</v>
      </c>
      <c r="AB102" s="12">
        <v>19.229498400000001</v>
      </c>
      <c r="AC102" s="12">
        <v>32.838360600000001</v>
      </c>
      <c r="AD102" s="12">
        <v>89.672049000000001</v>
      </c>
      <c r="AE102" s="12">
        <v>91.823757000000001</v>
      </c>
      <c r="AF102" s="12">
        <v>9.0239016999999997</v>
      </c>
      <c r="AG102" s="12">
        <v>69.971387100000001</v>
      </c>
    </row>
    <row r="103" spans="1:33" hidden="1" outlineLevel="1" x14ac:dyDescent="0.3">
      <c r="A103" t="s">
        <v>110</v>
      </c>
      <c r="B103" s="12">
        <v>2.5907767000000002</v>
      </c>
      <c r="C103" s="12">
        <v>120.83</v>
      </c>
      <c r="D103" s="12">
        <v>10.289956500000001</v>
      </c>
      <c r="E103" s="17">
        <v>0.75</v>
      </c>
      <c r="F103" s="12">
        <v>100.7133333</v>
      </c>
      <c r="G103" s="12">
        <v>23.8653944</v>
      </c>
      <c r="H103" s="12">
        <v>21.571861699999999</v>
      </c>
      <c r="I103" s="12">
        <v>-5.6196568999999998</v>
      </c>
      <c r="J103" s="12">
        <v>4.3179485</v>
      </c>
      <c r="K103" s="12">
        <v>4.5189801999999997</v>
      </c>
      <c r="L103" s="12">
        <v>1.6755781000000001</v>
      </c>
      <c r="M103" s="12">
        <v>-2.9991428</v>
      </c>
      <c r="N103" s="12">
        <v>17.585092299999999</v>
      </c>
      <c r="O103" s="12">
        <v>13.930419000000001</v>
      </c>
      <c r="P103" s="7">
        <v>4726.2</v>
      </c>
      <c r="Q103" s="7">
        <v>178.3</v>
      </c>
      <c r="R103" s="7">
        <v>3.6</v>
      </c>
      <c r="S103" s="12">
        <v>16.4199585</v>
      </c>
      <c r="T103" s="12">
        <v>13</v>
      </c>
      <c r="U103" s="12">
        <v>141.3833333</v>
      </c>
      <c r="V103" s="12">
        <v>403.46333329999999</v>
      </c>
      <c r="W103" s="12">
        <v>10.076157</v>
      </c>
      <c r="X103" s="12">
        <v>30.919183499999999</v>
      </c>
      <c r="Y103" s="12">
        <v>36.5161582</v>
      </c>
      <c r="Z103" s="12">
        <v>-10.8896345</v>
      </c>
      <c r="AA103" s="12">
        <v>48.019730699999997</v>
      </c>
      <c r="AB103" s="12">
        <v>18.462831300000001</v>
      </c>
      <c r="AC103" s="12">
        <v>39.3181011</v>
      </c>
      <c r="AD103" s="12">
        <v>93.690977799999999</v>
      </c>
      <c r="AE103" s="12">
        <v>99.491640899999993</v>
      </c>
      <c r="AF103" s="12">
        <v>7.6823948</v>
      </c>
      <c r="AG103" s="12">
        <v>72.428749699999997</v>
      </c>
    </row>
    <row r="104" spans="1:33" ht="20.399999999999999" hidden="1" customHeight="1" outlineLevel="1" x14ac:dyDescent="0.3">
      <c r="A104" t="s">
        <v>111</v>
      </c>
      <c r="B104" s="12">
        <v>1.4006327999999999</v>
      </c>
      <c r="C104" s="12">
        <v>123.8</v>
      </c>
      <c r="D104" s="12">
        <v>10.9982068</v>
      </c>
      <c r="E104" s="17">
        <v>1.9166666999999999</v>
      </c>
      <c r="F104" s="12">
        <v>88.556666699999994</v>
      </c>
      <c r="G104" s="12">
        <v>19.481157799999998</v>
      </c>
      <c r="H104" s="12">
        <v>13.5469375</v>
      </c>
      <c r="I104" s="12">
        <v>-13.203287599999999</v>
      </c>
      <c r="J104" s="12">
        <v>0.16908670000000001</v>
      </c>
      <c r="K104" s="12">
        <v>2.2791936000000002</v>
      </c>
      <c r="L104" s="12">
        <v>-0.91832899999999995</v>
      </c>
      <c r="M104" s="12">
        <v>-7.0730972999999997</v>
      </c>
      <c r="N104" s="12">
        <v>12.7293752</v>
      </c>
      <c r="O104" s="12">
        <v>10.786517099999999</v>
      </c>
      <c r="P104" s="7">
        <v>4715</v>
      </c>
      <c r="Q104" s="7">
        <v>188.9</v>
      </c>
      <c r="R104" s="7">
        <v>3.9</v>
      </c>
      <c r="S104" s="12">
        <v>17.5358634</v>
      </c>
      <c r="T104" s="12">
        <v>13</v>
      </c>
      <c r="U104" s="12">
        <v>150.51</v>
      </c>
      <c r="V104" s="12">
        <v>410.89</v>
      </c>
      <c r="W104" s="12">
        <v>3.4520548</v>
      </c>
      <c r="X104" s="12">
        <v>22.475258799999999</v>
      </c>
      <c r="Y104" s="12">
        <v>24.859224099999999</v>
      </c>
      <c r="Z104" s="12">
        <v>-9.7991279000000002</v>
      </c>
      <c r="AA104" s="12">
        <v>48.8071622</v>
      </c>
      <c r="AB104" s="12">
        <v>20.834600399999999</v>
      </c>
      <c r="AC104" s="12">
        <v>35.968336100000002</v>
      </c>
      <c r="AD104" s="12">
        <v>86.841773200000006</v>
      </c>
      <c r="AE104" s="12">
        <v>92.451871999999995</v>
      </c>
      <c r="AF104" s="12">
        <v>6.3353031</v>
      </c>
      <c r="AG104" s="12">
        <v>73.907033799999994</v>
      </c>
    </row>
    <row r="105" spans="1:33" collapsed="1" x14ac:dyDescent="0.3">
      <c r="A105" t="s">
        <v>112</v>
      </c>
      <c r="B105" s="12">
        <v>1.3448477999999999</v>
      </c>
      <c r="C105" s="12">
        <v>124.9666667</v>
      </c>
      <c r="D105" s="12">
        <v>9.4023579000000002</v>
      </c>
      <c r="E105" s="17">
        <v>3</v>
      </c>
      <c r="F105" s="12">
        <v>81.173333299999996</v>
      </c>
      <c r="G105" s="12">
        <v>25.244076799999998</v>
      </c>
      <c r="H105" s="12">
        <v>7.1874196000000001</v>
      </c>
      <c r="I105" s="12">
        <v>-11.145893299999999</v>
      </c>
      <c r="J105" s="12">
        <v>-0.94144410000000001</v>
      </c>
      <c r="K105" s="12">
        <v>-4.4515114000000002</v>
      </c>
      <c r="L105" s="12">
        <v>-2.7553842999999998</v>
      </c>
      <c r="M105" s="12">
        <v>-3.1966047</v>
      </c>
      <c r="N105" s="12">
        <v>6.5751119999999998</v>
      </c>
      <c r="O105" s="12">
        <v>2.3282655000000001</v>
      </c>
      <c r="P105" s="7">
        <v>4706.8</v>
      </c>
      <c r="Q105" s="7">
        <v>198.8</v>
      </c>
      <c r="R105" s="7">
        <v>4.0999999999999996</v>
      </c>
      <c r="S105" s="12">
        <v>10.817737299999999</v>
      </c>
      <c r="T105" s="12">
        <v>13</v>
      </c>
      <c r="U105" s="12">
        <v>158.1033333</v>
      </c>
      <c r="V105" s="12">
        <v>388.65</v>
      </c>
      <c r="W105" s="12">
        <v>-3.4853249000000002</v>
      </c>
      <c r="X105" s="12">
        <v>13.7485924</v>
      </c>
      <c r="Y105" s="12">
        <v>6.623475</v>
      </c>
      <c r="Z105" s="12">
        <v>-1.5223336000000001</v>
      </c>
      <c r="AA105" s="12">
        <v>57.765233199999997</v>
      </c>
      <c r="AB105" s="12">
        <v>22.388361100000001</v>
      </c>
      <c r="AC105" s="12">
        <v>16.637492200000001</v>
      </c>
      <c r="AD105" s="12">
        <v>102.8212508</v>
      </c>
      <c r="AE105" s="12">
        <v>99.612337299999993</v>
      </c>
      <c r="AF105" s="12">
        <v>6.7800982999999997</v>
      </c>
      <c r="AG105" s="12">
        <v>66.596380199999999</v>
      </c>
    </row>
    <row r="106" spans="1:33" x14ac:dyDescent="0.3">
      <c r="A106" t="s">
        <v>113</v>
      </c>
      <c r="B106" s="12">
        <v>0.20197219999999999</v>
      </c>
      <c r="C106" s="12">
        <v>126.9766667</v>
      </c>
      <c r="D106" s="12">
        <v>7.2136222999999999</v>
      </c>
      <c r="E106" s="17">
        <v>3.75</v>
      </c>
      <c r="F106" s="12">
        <v>78.316666699999999</v>
      </c>
      <c r="G106" s="12">
        <v>19.6111158</v>
      </c>
      <c r="H106" s="12">
        <v>15.959536099999999</v>
      </c>
      <c r="I106" s="12">
        <v>-3.0664359999999999</v>
      </c>
      <c r="J106" s="12">
        <v>-2.3930170999999998</v>
      </c>
      <c r="K106" s="12">
        <v>-3.5035240999999999</v>
      </c>
      <c r="L106" s="12">
        <v>3.3111017999999999</v>
      </c>
      <c r="M106" s="12">
        <v>-21.6120771</v>
      </c>
      <c r="N106" s="12">
        <v>0.2711345</v>
      </c>
      <c r="O106" s="12">
        <v>-5.9892300000000001</v>
      </c>
      <c r="P106" s="7">
        <v>4736</v>
      </c>
      <c r="Q106" s="7">
        <v>192.7</v>
      </c>
      <c r="R106" s="7">
        <v>3.9</v>
      </c>
      <c r="S106" s="12">
        <v>16.456129900000001</v>
      </c>
      <c r="T106" s="12">
        <v>13</v>
      </c>
      <c r="U106" s="12">
        <v>160.37</v>
      </c>
      <c r="V106" s="12">
        <v>372.77</v>
      </c>
      <c r="W106" s="12">
        <v>-6.1822984999999999</v>
      </c>
      <c r="X106" s="12">
        <v>5.7356897</v>
      </c>
      <c r="Y106" s="12">
        <v>-5.3294775000000003</v>
      </c>
      <c r="Z106" s="12">
        <v>1.4116533</v>
      </c>
      <c r="AA106" s="12">
        <v>50.990928099999998</v>
      </c>
      <c r="AB106" s="12">
        <v>20.4063306</v>
      </c>
      <c r="AC106" s="12">
        <v>21.9117946</v>
      </c>
      <c r="AD106" s="12">
        <v>80.605057400000007</v>
      </c>
      <c r="AE106" s="12">
        <v>73.914110800000003</v>
      </c>
      <c r="AF106" s="12">
        <v>4.5465648999999999</v>
      </c>
      <c r="AG106" s="12">
        <v>68.616023900000002</v>
      </c>
    </row>
    <row r="107" spans="1:33" x14ac:dyDescent="0.3">
      <c r="A107" t="s">
        <v>114</v>
      </c>
      <c r="B107" s="12">
        <v>-0.19771859999999999</v>
      </c>
      <c r="C107" s="12">
        <v>127.6866667</v>
      </c>
      <c r="D107" s="12">
        <v>5.6746392999999999</v>
      </c>
      <c r="E107" s="17">
        <v>4.25</v>
      </c>
      <c r="F107" s="12">
        <v>86.66</v>
      </c>
      <c r="G107" s="12">
        <v>7.6907050000000003</v>
      </c>
      <c r="H107" s="12">
        <v>12.6633528</v>
      </c>
      <c r="I107" s="12">
        <v>-3.6064131000000001</v>
      </c>
      <c r="J107" s="12">
        <v>-0.38107069999999998</v>
      </c>
      <c r="K107" s="12">
        <v>-2.6518549</v>
      </c>
      <c r="L107" s="12">
        <v>5.1637139999999997</v>
      </c>
      <c r="M107" s="12">
        <v>-15.652673800000001</v>
      </c>
      <c r="N107" s="12">
        <v>-3.5923685000000001</v>
      </c>
      <c r="O107" s="12">
        <v>-8.7497126999999999</v>
      </c>
      <c r="P107" s="7">
        <v>4752.6000000000004</v>
      </c>
      <c r="Q107" s="7">
        <v>200.3</v>
      </c>
      <c r="R107" s="7">
        <v>4.0999999999999996</v>
      </c>
      <c r="S107" s="12">
        <v>14.8418896</v>
      </c>
      <c r="T107" s="12">
        <v>13</v>
      </c>
      <c r="U107" s="12">
        <v>161.99333329999999</v>
      </c>
      <c r="V107" s="12">
        <v>383.50666669999998</v>
      </c>
      <c r="W107" s="12">
        <v>-5.1357105000000001</v>
      </c>
      <c r="X107" s="12">
        <v>-1.941845</v>
      </c>
      <c r="Y107" s="12">
        <v>-15.5636195</v>
      </c>
      <c r="Z107" s="12">
        <v>0.80975589999999997</v>
      </c>
      <c r="AA107" s="12">
        <v>46.624041400000003</v>
      </c>
      <c r="AB107" s="12">
        <v>18.719002700000001</v>
      </c>
      <c r="AC107" s="12">
        <v>28.0461864</v>
      </c>
      <c r="AD107" s="12">
        <v>77.178466099999994</v>
      </c>
      <c r="AE107" s="12">
        <v>70.567696499999997</v>
      </c>
      <c r="AF107" s="12">
        <v>2.3770856</v>
      </c>
      <c r="AG107" s="12">
        <v>70.686462599999999</v>
      </c>
    </row>
    <row r="108" spans="1:33" x14ac:dyDescent="0.3">
      <c r="A108" t="s">
        <v>115</v>
      </c>
      <c r="B108" s="7" t="s">
        <v>107</v>
      </c>
      <c r="C108" s="12">
        <v>127.9933333</v>
      </c>
      <c r="D108" s="12">
        <v>3.3871836000000002</v>
      </c>
      <c r="E108" s="17">
        <v>4.5</v>
      </c>
      <c r="F108" s="12">
        <v>83.723333299999993</v>
      </c>
      <c r="G108" s="7" t="s">
        <v>107</v>
      </c>
      <c r="H108" s="7" t="s">
        <v>107</v>
      </c>
      <c r="I108" s="7" t="s">
        <v>107</v>
      </c>
      <c r="J108" s="7" t="s">
        <v>107</v>
      </c>
      <c r="K108" s="7" t="s">
        <v>107</v>
      </c>
      <c r="L108" s="7" t="s">
        <v>107</v>
      </c>
      <c r="M108" s="7" t="s">
        <v>107</v>
      </c>
      <c r="N108" s="7" t="s">
        <v>107</v>
      </c>
      <c r="O108" s="7" t="s">
        <v>107</v>
      </c>
      <c r="P108" s="7" t="s">
        <v>107</v>
      </c>
      <c r="Q108" s="7" t="s">
        <v>107</v>
      </c>
      <c r="R108" s="7" t="s">
        <v>107</v>
      </c>
      <c r="S108" s="7" t="s">
        <v>107</v>
      </c>
      <c r="T108" s="12">
        <v>10.75</v>
      </c>
      <c r="U108" s="12">
        <v>161.90666669999999</v>
      </c>
      <c r="V108" s="12">
        <v>382.10666670000001</v>
      </c>
      <c r="W108" s="7" t="s">
        <v>107</v>
      </c>
      <c r="X108" s="7" t="s">
        <v>107</v>
      </c>
      <c r="Y108" s="7" t="s">
        <v>107</v>
      </c>
      <c r="Z108" s="7" t="s">
        <v>107</v>
      </c>
      <c r="AA108" s="7" t="s">
        <v>107</v>
      </c>
      <c r="AB108" s="7" t="s">
        <v>107</v>
      </c>
      <c r="AC108" s="7" t="s">
        <v>107</v>
      </c>
      <c r="AD108" s="7" t="s">
        <v>107</v>
      </c>
      <c r="AE108" s="7" t="s">
        <v>107</v>
      </c>
      <c r="AF108" s="7" t="s">
        <v>107</v>
      </c>
      <c r="AG108" s="7" t="s">
        <v>107</v>
      </c>
    </row>
  </sheetData>
  <pageMargins left="0.7" right="0.7" top="0.75" bottom="0.75" header="0.3" footer="0.3"/>
  <pageSetup paperSize="9" orientation="portrait" horizontalDpi="90" verticalDpi="9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1D776-AB08-4475-B9F2-62B787E4FC9C}">
  <sheetPr codeName="Tabelle11">
    <tabColor rgb="FFFFC000"/>
  </sheetPr>
  <dimension ref="A1:AG108"/>
  <sheetViews>
    <sheetView workbookViewId="0">
      <pane xSplit="1" ySplit="12" topLeftCell="Y13" activePane="bottomRight" state="frozen"/>
      <selection activeCell="E12" sqref="E12"/>
      <selection pane="topRight" activeCell="E12" sqref="E12"/>
      <selection pane="bottomLeft" activeCell="E12" sqref="E12"/>
      <selection pane="bottomRight" activeCell="AG1" sqref="AG1"/>
    </sheetView>
  </sheetViews>
  <sheetFormatPr defaultColWidth="9.109375" defaultRowHeight="14.4" outlineLevelRow="1" x14ac:dyDescent="0.3"/>
  <cols>
    <col min="2" max="2" width="11.5546875" bestFit="1" customWidth="1"/>
    <col min="4" max="4" width="12.44140625" customWidth="1"/>
    <col min="7" max="7" width="12.44140625" bestFit="1" customWidth="1"/>
    <col min="8" max="8" width="12.33203125" customWidth="1"/>
    <col min="18" max="18" width="11.109375" bestFit="1" customWidth="1"/>
    <col min="19" max="19" width="12.44140625" bestFit="1" customWidth="1"/>
    <col min="24" max="24" width="12.5546875" bestFit="1" customWidth="1"/>
    <col min="25" max="25" width="12.6640625" bestFit="1" customWidth="1"/>
    <col min="27" max="27" width="13.6640625" customWidth="1"/>
  </cols>
  <sheetData>
    <row r="1" spans="1:33" s="8" customFormat="1" x14ac:dyDescent="0.3">
      <c r="A1" s="8" t="s">
        <v>0</v>
      </c>
      <c r="B1" s="8" t="s">
        <v>1</v>
      </c>
      <c r="C1" s="8" t="s">
        <v>2</v>
      </c>
      <c r="D1" s="8" t="s">
        <v>3</v>
      </c>
      <c r="E1" s="14" t="s">
        <v>4</v>
      </c>
      <c r="F1" s="8" t="s">
        <v>5</v>
      </c>
      <c r="G1" s="8" t="s">
        <v>6</v>
      </c>
      <c r="H1" s="8" t="s">
        <v>254</v>
      </c>
      <c r="I1" s="8" t="s">
        <v>7</v>
      </c>
      <c r="J1" s="8" t="s">
        <v>230</v>
      </c>
      <c r="K1" s="8" t="s">
        <v>231</v>
      </c>
      <c r="L1" s="8" t="s">
        <v>232</v>
      </c>
      <c r="M1" s="8" t="s">
        <v>233</v>
      </c>
      <c r="N1" s="8" t="s">
        <v>234</v>
      </c>
      <c r="O1" s="8" t="s">
        <v>235</v>
      </c>
      <c r="P1" s="8" t="s">
        <v>8</v>
      </c>
      <c r="Q1" s="8" t="s">
        <v>9</v>
      </c>
      <c r="R1" s="8" t="s">
        <v>10</v>
      </c>
      <c r="S1" s="8" t="s">
        <v>11</v>
      </c>
      <c r="T1" s="14" t="s">
        <v>12</v>
      </c>
      <c r="U1" s="8" t="s">
        <v>13</v>
      </c>
      <c r="V1" s="8" t="s">
        <v>14</v>
      </c>
      <c r="W1" s="8" t="s">
        <v>15</v>
      </c>
      <c r="X1" s="8" t="s">
        <v>16</v>
      </c>
      <c r="Y1" s="8" t="s">
        <v>17</v>
      </c>
      <c r="Z1" s="8" t="s">
        <v>18</v>
      </c>
      <c r="AA1" s="9" t="s">
        <v>248</v>
      </c>
      <c r="AB1" s="8" t="s">
        <v>236</v>
      </c>
      <c r="AC1" s="8" t="s">
        <v>237</v>
      </c>
      <c r="AD1" s="8" t="s">
        <v>238</v>
      </c>
      <c r="AE1" s="8" t="s">
        <v>239</v>
      </c>
      <c r="AF1" s="14" t="s">
        <v>255</v>
      </c>
      <c r="AG1" s="14" t="s">
        <v>1317</v>
      </c>
    </row>
    <row r="2" spans="1:33" s="10" customFormat="1" outlineLevel="1" x14ac:dyDescent="0.3">
      <c r="A2" s="16" t="s">
        <v>1292</v>
      </c>
      <c r="B2" s="26"/>
      <c r="C2" s="26"/>
      <c r="D2" s="26" t="s">
        <v>198</v>
      </c>
      <c r="E2" s="26"/>
      <c r="F2" s="26"/>
      <c r="G2" s="26" t="s">
        <v>661</v>
      </c>
      <c r="H2" s="26" t="s">
        <v>665</v>
      </c>
      <c r="I2" s="26"/>
      <c r="J2" s="26" t="s">
        <v>668</v>
      </c>
      <c r="K2" s="26" t="s">
        <v>670</v>
      </c>
      <c r="L2" s="26" t="s">
        <v>672</v>
      </c>
      <c r="M2" s="26" t="s">
        <v>674</v>
      </c>
      <c r="N2" s="26" t="s">
        <v>676</v>
      </c>
      <c r="O2" s="26" t="s">
        <v>678</v>
      </c>
      <c r="P2" s="26"/>
      <c r="Q2" s="26"/>
      <c r="R2" s="26"/>
      <c r="S2" s="26" t="s">
        <v>700</v>
      </c>
      <c r="T2" s="26"/>
      <c r="U2" s="26"/>
      <c r="V2" s="26"/>
      <c r="W2" s="26" t="s">
        <v>686</v>
      </c>
      <c r="X2" s="26" t="s">
        <v>688</v>
      </c>
      <c r="Y2" s="26" t="s">
        <v>690</v>
      </c>
      <c r="Z2" s="26"/>
      <c r="AA2" s="26" t="s">
        <v>693</v>
      </c>
      <c r="AB2" s="26"/>
      <c r="AC2" s="26"/>
      <c r="AD2" s="26"/>
      <c r="AE2" s="26"/>
      <c r="AF2" s="26" t="s">
        <v>900</v>
      </c>
      <c r="AG2" s="26"/>
    </row>
    <row r="3" spans="1:33" outlineLevel="1" x14ac:dyDescent="0.3">
      <c r="A3" s="16" t="s">
        <v>1293</v>
      </c>
      <c r="B3" s="27" t="s">
        <v>123</v>
      </c>
      <c r="C3" s="27" t="s">
        <v>195</v>
      </c>
      <c r="D3" s="27" t="s">
        <v>195</v>
      </c>
      <c r="E3" s="27" t="s">
        <v>186</v>
      </c>
      <c r="F3" s="27" t="s">
        <v>125</v>
      </c>
      <c r="G3" s="27" t="s">
        <v>277</v>
      </c>
      <c r="H3" s="27" t="s">
        <v>277</v>
      </c>
      <c r="I3" s="27" t="s">
        <v>277</v>
      </c>
      <c r="J3" s="27" t="s">
        <v>123</v>
      </c>
      <c r="K3" s="27" t="s">
        <v>125</v>
      </c>
      <c r="L3" s="27" t="s">
        <v>125</v>
      </c>
      <c r="M3" s="27" t="s">
        <v>125</v>
      </c>
      <c r="N3" s="27" t="s">
        <v>125</v>
      </c>
      <c r="O3" s="27" t="s">
        <v>125</v>
      </c>
      <c r="P3" s="27" t="s">
        <v>1267</v>
      </c>
      <c r="Q3" s="27" t="s">
        <v>1267</v>
      </c>
      <c r="R3" s="27" t="s">
        <v>1267</v>
      </c>
      <c r="S3" s="27" t="s">
        <v>702</v>
      </c>
      <c r="T3" s="27" t="s">
        <v>683</v>
      </c>
      <c r="U3" s="27" t="s">
        <v>195</v>
      </c>
      <c r="V3" s="27" t="s">
        <v>284</v>
      </c>
      <c r="W3" s="27" t="s">
        <v>645</v>
      </c>
      <c r="X3" s="27" t="s">
        <v>207</v>
      </c>
      <c r="Y3" s="27" t="s">
        <v>207</v>
      </c>
      <c r="Z3" s="27" t="s">
        <v>203</v>
      </c>
      <c r="AA3" s="27" t="s">
        <v>125</v>
      </c>
      <c r="AB3" s="27" t="s">
        <v>125</v>
      </c>
      <c r="AC3" s="27" t="s">
        <v>125</v>
      </c>
      <c r="AD3" s="27" t="s">
        <v>125</v>
      </c>
      <c r="AE3" s="27" t="s">
        <v>125</v>
      </c>
      <c r="AF3" s="27" t="s">
        <v>125</v>
      </c>
      <c r="AG3" s="27" t="s">
        <v>125</v>
      </c>
    </row>
    <row r="4" spans="1:33" outlineLevel="1" x14ac:dyDescent="0.3">
      <c r="A4" s="16" t="s">
        <v>1288</v>
      </c>
      <c r="B4" s="2">
        <v>144396</v>
      </c>
      <c r="C4" s="2">
        <v>77811</v>
      </c>
      <c r="D4" s="2">
        <v>77812</v>
      </c>
      <c r="E4" s="2">
        <v>144399</v>
      </c>
      <c r="F4" s="27">
        <v>101874</v>
      </c>
      <c r="G4" s="2">
        <v>32803</v>
      </c>
      <c r="H4" s="2">
        <v>32802</v>
      </c>
      <c r="I4" s="2">
        <v>89169</v>
      </c>
      <c r="J4" s="2">
        <v>88664</v>
      </c>
      <c r="K4" s="27">
        <v>90875</v>
      </c>
      <c r="L4" s="27">
        <v>90919</v>
      </c>
      <c r="M4" s="27">
        <v>90941</v>
      </c>
      <c r="N4" s="27">
        <v>90985</v>
      </c>
      <c r="O4" s="27">
        <v>91007</v>
      </c>
      <c r="P4" s="2">
        <v>32650</v>
      </c>
      <c r="Q4" s="2">
        <v>32680</v>
      </c>
      <c r="R4" s="2">
        <v>32697</v>
      </c>
      <c r="S4" s="2">
        <v>314</v>
      </c>
      <c r="T4" s="2">
        <v>783</v>
      </c>
      <c r="U4" s="2">
        <v>32761</v>
      </c>
      <c r="V4" s="2">
        <v>963</v>
      </c>
      <c r="W4" s="2">
        <v>32209</v>
      </c>
      <c r="X4" s="2">
        <v>87273</v>
      </c>
      <c r="Y4" s="2">
        <v>87310</v>
      </c>
      <c r="Z4" s="2">
        <v>88743</v>
      </c>
      <c r="AA4" s="27">
        <v>90347</v>
      </c>
      <c r="AB4" s="27">
        <v>90391</v>
      </c>
      <c r="AC4" s="27">
        <v>90413</v>
      </c>
      <c r="AD4" s="27">
        <v>90501</v>
      </c>
      <c r="AE4" s="27">
        <v>90523</v>
      </c>
      <c r="AF4" s="27">
        <v>89621</v>
      </c>
      <c r="AG4" s="27">
        <v>144769</v>
      </c>
    </row>
    <row r="5" spans="1:33" outlineLevel="1" x14ac:dyDescent="0.3">
      <c r="A5" t="s">
        <v>1291</v>
      </c>
      <c r="B5" s="27" t="s">
        <v>221</v>
      </c>
      <c r="C5" s="27" t="s">
        <v>194</v>
      </c>
      <c r="D5" s="27" t="s">
        <v>199</v>
      </c>
      <c r="E5" s="27" t="s">
        <v>253</v>
      </c>
      <c r="F5" s="27" t="s">
        <v>189</v>
      </c>
      <c r="G5" s="27" t="s">
        <v>662</v>
      </c>
      <c r="H5" s="27" t="s">
        <v>666</v>
      </c>
      <c r="I5" s="27" t="s">
        <v>667</v>
      </c>
      <c r="J5" s="27" t="s">
        <v>669</v>
      </c>
      <c r="K5" s="27" t="s">
        <v>671</v>
      </c>
      <c r="L5" s="27" t="s">
        <v>673</v>
      </c>
      <c r="M5" s="27" t="s">
        <v>675</v>
      </c>
      <c r="N5" s="27" t="s">
        <v>677</v>
      </c>
      <c r="O5" s="27" t="s">
        <v>679</v>
      </c>
      <c r="P5" s="27" t="s">
        <v>680</v>
      </c>
      <c r="Q5" s="27" t="s">
        <v>681</v>
      </c>
      <c r="R5" s="27" t="s">
        <v>682</v>
      </c>
      <c r="S5" s="27" t="s">
        <v>701</v>
      </c>
      <c r="T5" s="27" t="s">
        <v>1300</v>
      </c>
      <c r="U5" s="27" t="s">
        <v>684</v>
      </c>
      <c r="V5" s="27" t="s">
        <v>685</v>
      </c>
      <c r="W5" s="27" t="s">
        <v>687</v>
      </c>
      <c r="X5" s="27" t="s">
        <v>689</v>
      </c>
      <c r="Y5" s="27" t="s">
        <v>691</v>
      </c>
      <c r="Z5" s="27" t="s">
        <v>692</v>
      </c>
      <c r="AA5" s="27" t="s">
        <v>694</v>
      </c>
      <c r="AB5" s="27" t="s">
        <v>695</v>
      </c>
      <c r="AC5" s="27" t="s">
        <v>696</v>
      </c>
      <c r="AD5" s="27" t="s">
        <v>697</v>
      </c>
      <c r="AE5" s="27" t="s">
        <v>698</v>
      </c>
      <c r="AF5" s="27" t="s">
        <v>901</v>
      </c>
      <c r="AG5" s="27" t="s">
        <v>699</v>
      </c>
    </row>
    <row r="6" spans="1:33" outlineLevel="1" x14ac:dyDescent="0.3">
      <c r="A6" t="s">
        <v>1289</v>
      </c>
      <c r="B6" s="27" t="s">
        <v>222</v>
      </c>
      <c r="C6" s="27" t="s">
        <v>196</v>
      </c>
      <c r="D6" s="27" t="s">
        <v>196</v>
      </c>
      <c r="E6" s="27" t="s">
        <v>187</v>
      </c>
      <c r="F6" s="27" t="s">
        <v>190</v>
      </c>
      <c r="G6" s="27" t="s">
        <v>663</v>
      </c>
      <c r="H6" s="27" t="s">
        <v>663</v>
      </c>
      <c r="I6" s="27" t="s">
        <v>663</v>
      </c>
      <c r="J6" s="27" t="s">
        <v>663</v>
      </c>
      <c r="K6" s="27" t="s">
        <v>663</v>
      </c>
      <c r="L6" s="27" t="s">
        <v>663</v>
      </c>
      <c r="M6" s="27" t="s">
        <v>663</v>
      </c>
      <c r="N6" s="27" t="s">
        <v>663</v>
      </c>
      <c r="O6" s="27" t="s">
        <v>663</v>
      </c>
      <c r="P6" s="27" t="s">
        <v>663</v>
      </c>
      <c r="Q6" s="27" t="s">
        <v>663</v>
      </c>
      <c r="R6" s="27" t="s">
        <v>663</v>
      </c>
      <c r="S6" s="27" t="s">
        <v>663</v>
      </c>
      <c r="T6" s="27" t="s">
        <v>663</v>
      </c>
      <c r="U6" s="27" t="s">
        <v>663</v>
      </c>
      <c r="V6" s="27" t="s">
        <v>663</v>
      </c>
      <c r="W6" s="27" t="s">
        <v>663</v>
      </c>
      <c r="X6" s="27" t="s">
        <v>663</v>
      </c>
      <c r="Y6" s="27" t="s">
        <v>663</v>
      </c>
      <c r="Z6" s="27" t="s">
        <v>663</v>
      </c>
      <c r="AA6" s="27" t="s">
        <v>663</v>
      </c>
      <c r="AB6" s="27" t="s">
        <v>663</v>
      </c>
      <c r="AC6" s="27" t="s">
        <v>663</v>
      </c>
      <c r="AD6" s="27" t="s">
        <v>663</v>
      </c>
      <c r="AE6" s="27" t="s">
        <v>663</v>
      </c>
      <c r="AF6" s="27" t="s">
        <v>663</v>
      </c>
      <c r="AG6" s="27" t="s">
        <v>663</v>
      </c>
    </row>
    <row r="7" spans="1:33" outlineLevel="1" x14ac:dyDescent="0.3">
      <c r="A7" t="s">
        <v>1290</v>
      </c>
      <c r="B7" s="27" t="s">
        <v>223</v>
      </c>
      <c r="C7" s="27" t="s">
        <v>197</v>
      </c>
      <c r="D7" s="27" t="s">
        <v>197</v>
      </c>
      <c r="E7" s="27" t="s">
        <v>188</v>
      </c>
      <c r="F7" s="27" t="s">
        <v>191</v>
      </c>
      <c r="G7" s="27" t="s">
        <v>664</v>
      </c>
      <c r="H7" s="27" t="s">
        <v>664</v>
      </c>
      <c r="I7" s="27" t="s">
        <v>664</v>
      </c>
      <c r="J7" s="27" t="s">
        <v>664</v>
      </c>
      <c r="K7" s="27" t="s">
        <v>664</v>
      </c>
      <c r="L7" s="27" t="s">
        <v>664</v>
      </c>
      <c r="M7" s="27" t="s">
        <v>664</v>
      </c>
      <c r="N7" s="27" t="s">
        <v>664</v>
      </c>
      <c r="O7" s="27" t="s">
        <v>664</v>
      </c>
      <c r="P7" s="27" t="s">
        <v>664</v>
      </c>
      <c r="Q7" s="27" t="s">
        <v>664</v>
      </c>
      <c r="R7" s="27" t="s">
        <v>664</v>
      </c>
      <c r="S7" s="27" t="s">
        <v>664</v>
      </c>
      <c r="T7" s="27" t="s">
        <v>664</v>
      </c>
      <c r="U7" s="27" t="s">
        <v>664</v>
      </c>
      <c r="V7" s="27" t="s">
        <v>664</v>
      </c>
      <c r="W7" s="27" t="s">
        <v>664</v>
      </c>
      <c r="X7" s="27" t="s">
        <v>664</v>
      </c>
      <c r="Y7" s="27" t="s">
        <v>664</v>
      </c>
      <c r="Z7" s="27" t="s">
        <v>664</v>
      </c>
      <c r="AA7" s="27" t="s">
        <v>664</v>
      </c>
      <c r="AB7" s="27" t="s">
        <v>664</v>
      </c>
      <c r="AC7" s="27" t="s">
        <v>664</v>
      </c>
      <c r="AD7" s="27" t="s">
        <v>664</v>
      </c>
      <c r="AE7" s="27" t="s">
        <v>664</v>
      </c>
      <c r="AF7" s="27" t="s">
        <v>664</v>
      </c>
      <c r="AG7" s="27" t="s">
        <v>664</v>
      </c>
    </row>
    <row r="8" spans="1:33" outlineLevel="1" x14ac:dyDescent="0.3">
      <c r="A8" s="16" t="s">
        <v>489</v>
      </c>
      <c r="B8" s="27" t="s">
        <v>120</v>
      </c>
      <c r="C8" s="27" t="s">
        <v>163</v>
      </c>
      <c r="D8" s="27" t="s">
        <v>163</v>
      </c>
      <c r="E8" s="27" t="s">
        <v>159</v>
      </c>
      <c r="F8" s="27"/>
      <c r="G8" s="27" t="s">
        <v>290</v>
      </c>
      <c r="H8" s="27" t="s">
        <v>293</v>
      </c>
      <c r="I8" s="27" t="s">
        <v>278</v>
      </c>
      <c r="J8" s="27" t="s">
        <v>120</v>
      </c>
      <c r="K8" s="27" t="s">
        <v>126</v>
      </c>
      <c r="L8" s="27" t="s">
        <v>129</v>
      </c>
      <c r="M8" s="27" t="s">
        <v>132</v>
      </c>
      <c r="N8" s="27" t="s">
        <v>135</v>
      </c>
      <c r="O8" s="27" t="s">
        <v>138</v>
      </c>
      <c r="P8" s="27" t="s">
        <v>141</v>
      </c>
      <c r="Q8" s="27" t="s">
        <v>146</v>
      </c>
      <c r="R8" s="27" t="s">
        <v>149</v>
      </c>
      <c r="S8" s="27" t="s">
        <v>154</v>
      </c>
      <c r="T8" s="27" t="s">
        <v>159</v>
      </c>
      <c r="U8" s="27" t="s">
        <v>163</v>
      </c>
      <c r="V8" s="27" t="s">
        <v>168</v>
      </c>
      <c r="W8" s="27" t="s">
        <v>217</v>
      </c>
      <c r="X8" s="27" t="s">
        <v>208</v>
      </c>
      <c r="Y8" s="27" t="s">
        <v>213</v>
      </c>
      <c r="Z8" s="27" t="s">
        <v>204</v>
      </c>
      <c r="AA8" s="27" t="s">
        <v>126</v>
      </c>
      <c r="AB8" s="27" t="s">
        <v>129</v>
      </c>
      <c r="AC8" s="27" t="s">
        <v>132</v>
      </c>
      <c r="AD8" s="27" t="s">
        <v>135</v>
      </c>
      <c r="AE8" s="27" t="s">
        <v>138</v>
      </c>
      <c r="AF8" s="27" t="s">
        <v>351</v>
      </c>
      <c r="AG8" s="27" t="s">
        <v>402</v>
      </c>
    </row>
    <row r="9" spans="1:33" outlineLevel="1" x14ac:dyDescent="0.3">
      <c r="A9" s="16" t="s">
        <v>490</v>
      </c>
      <c r="B9" s="27" t="s">
        <v>121</v>
      </c>
      <c r="C9" s="27" t="s">
        <v>164</v>
      </c>
      <c r="D9" s="27" t="s">
        <v>164</v>
      </c>
      <c r="E9" s="27" t="s">
        <v>160</v>
      </c>
      <c r="F9" s="27"/>
      <c r="G9" s="27" t="s">
        <v>291</v>
      </c>
      <c r="H9" s="27" t="s">
        <v>294</v>
      </c>
      <c r="I9" s="27" t="s">
        <v>279</v>
      </c>
      <c r="J9" s="27" t="s">
        <v>121</v>
      </c>
      <c r="K9" s="27" t="s">
        <v>127</v>
      </c>
      <c r="L9" s="27" t="s">
        <v>130</v>
      </c>
      <c r="M9" s="27" t="s">
        <v>133</v>
      </c>
      <c r="N9" s="27" t="s">
        <v>136</v>
      </c>
      <c r="O9" s="27" t="s">
        <v>139</v>
      </c>
      <c r="P9" s="27" t="s">
        <v>142</v>
      </c>
      <c r="Q9" s="27" t="s">
        <v>147</v>
      </c>
      <c r="R9" s="27" t="s">
        <v>150</v>
      </c>
      <c r="S9" s="27" t="s">
        <v>155</v>
      </c>
      <c r="T9" s="27" t="s">
        <v>160</v>
      </c>
      <c r="U9" s="27" t="s">
        <v>164</v>
      </c>
      <c r="V9" s="27" t="s">
        <v>169</v>
      </c>
      <c r="W9" s="27" t="s">
        <v>218</v>
      </c>
      <c r="X9" s="27" t="s">
        <v>209</v>
      </c>
      <c r="Y9" s="27" t="s">
        <v>214</v>
      </c>
      <c r="Z9" s="27" t="s">
        <v>205</v>
      </c>
      <c r="AA9" s="27" t="s">
        <v>127</v>
      </c>
      <c r="AB9" s="27" t="s">
        <v>130</v>
      </c>
      <c r="AC9" s="27" t="s">
        <v>133</v>
      </c>
      <c r="AD9" s="27" t="s">
        <v>136</v>
      </c>
      <c r="AE9" s="27" t="s">
        <v>139</v>
      </c>
      <c r="AF9" s="27" t="s">
        <v>352</v>
      </c>
      <c r="AG9" s="28" t="s">
        <v>403</v>
      </c>
    </row>
    <row r="10" spans="1:33" outlineLevel="1" x14ac:dyDescent="0.3">
      <c r="A10" s="16" t="s">
        <v>491</v>
      </c>
      <c r="B10" s="27" t="s">
        <v>224</v>
      </c>
      <c r="C10" s="27" t="s">
        <v>165</v>
      </c>
      <c r="D10" s="27" t="s">
        <v>200</v>
      </c>
      <c r="E10" s="27" t="s">
        <v>226</v>
      </c>
      <c r="F10" s="27"/>
      <c r="G10" s="27" t="s">
        <v>175</v>
      </c>
      <c r="H10" s="27" t="s">
        <v>175</v>
      </c>
      <c r="I10" s="27" t="s">
        <v>184</v>
      </c>
      <c r="J10" s="27" t="s">
        <v>122</v>
      </c>
      <c r="K10" s="27" t="s">
        <v>122</v>
      </c>
      <c r="L10" s="27" t="s">
        <v>122</v>
      </c>
      <c r="M10" s="27" t="s">
        <v>122</v>
      </c>
      <c r="N10" s="27" t="s">
        <v>122</v>
      </c>
      <c r="O10" s="27" t="s">
        <v>122</v>
      </c>
      <c r="P10" s="27" t="s">
        <v>143</v>
      </c>
      <c r="Q10" s="27" t="s">
        <v>143</v>
      </c>
      <c r="R10" s="27" t="s">
        <v>151</v>
      </c>
      <c r="S10" s="27" t="s">
        <v>156</v>
      </c>
      <c r="T10" s="27" t="s">
        <v>447</v>
      </c>
      <c r="U10" s="27" t="s">
        <v>165</v>
      </c>
      <c r="V10" s="27" t="s">
        <v>170</v>
      </c>
      <c r="W10" s="27" t="s">
        <v>219</v>
      </c>
      <c r="X10" s="27" t="s">
        <v>210</v>
      </c>
      <c r="Y10" s="27" t="s">
        <v>210</v>
      </c>
      <c r="Z10" s="27" t="s">
        <v>184</v>
      </c>
      <c r="AA10" s="27" t="s">
        <v>184</v>
      </c>
      <c r="AB10" s="27" t="s">
        <v>184</v>
      </c>
      <c r="AC10" s="27" t="s">
        <v>184</v>
      </c>
      <c r="AD10" s="27" t="s">
        <v>184</v>
      </c>
      <c r="AE10" s="27" t="s">
        <v>184</v>
      </c>
      <c r="AF10" s="27" t="s">
        <v>156</v>
      </c>
      <c r="AG10" s="27" t="s">
        <v>184</v>
      </c>
    </row>
    <row r="11" spans="1:33" ht="15.6" customHeight="1" outlineLevel="1" x14ac:dyDescent="0.3">
      <c r="A11" s="16" t="s">
        <v>492</v>
      </c>
      <c r="B11" s="27" t="s">
        <v>225</v>
      </c>
      <c r="C11" s="27" t="s">
        <v>166</v>
      </c>
      <c r="D11" s="27" t="s">
        <v>201</v>
      </c>
      <c r="E11" s="27" t="s">
        <v>227</v>
      </c>
      <c r="F11" s="27"/>
      <c r="G11" s="27" t="s">
        <v>176</v>
      </c>
      <c r="H11" s="27" t="s">
        <v>176</v>
      </c>
      <c r="I11" s="27" t="s">
        <v>185</v>
      </c>
      <c r="J11" s="27" t="s">
        <v>118</v>
      </c>
      <c r="K11" s="27" t="s">
        <v>118</v>
      </c>
      <c r="L11" s="27" t="s">
        <v>118</v>
      </c>
      <c r="M11" s="27" t="s">
        <v>118</v>
      </c>
      <c r="N11" s="27" t="s">
        <v>118</v>
      </c>
      <c r="O11" s="27" t="s">
        <v>118</v>
      </c>
      <c r="P11" s="27" t="s">
        <v>144</v>
      </c>
      <c r="Q11" s="27" t="s">
        <v>144</v>
      </c>
      <c r="R11" s="27" t="s">
        <v>152</v>
      </c>
      <c r="S11" s="27" t="s">
        <v>157</v>
      </c>
      <c r="T11" s="27" t="s">
        <v>448</v>
      </c>
      <c r="U11" s="27" t="s">
        <v>166</v>
      </c>
      <c r="V11" s="27" t="s">
        <v>171</v>
      </c>
      <c r="W11" s="27" t="s">
        <v>220</v>
      </c>
      <c r="X11" s="27" t="s">
        <v>211</v>
      </c>
      <c r="Y11" s="27" t="s">
        <v>211</v>
      </c>
      <c r="Z11" s="27" t="s">
        <v>185</v>
      </c>
      <c r="AA11" s="27" t="s">
        <v>185</v>
      </c>
      <c r="AB11" s="27" t="s">
        <v>185</v>
      </c>
      <c r="AC11" s="27" t="s">
        <v>185</v>
      </c>
      <c r="AD11" s="27" t="s">
        <v>185</v>
      </c>
      <c r="AE11" s="27" t="s">
        <v>185</v>
      </c>
      <c r="AF11" s="27" t="s">
        <v>157</v>
      </c>
      <c r="AG11" s="27" t="s">
        <v>185</v>
      </c>
    </row>
    <row r="12" spans="1:33" outlineLevel="1" x14ac:dyDescent="0.3">
      <c r="B12" s="4" t="str">
        <f>INDEX({"31/01/2024 @ 15:42","macro_id=DBGlobal","label_id=144396","time=Q","year_from=2000","year_to=2023","direction=V","opt_font=true","fontsize=8","opt_color=true","col_desc=Calculation:10;Footnote 1:9;ID:8;Label:7;Reporter:6:s;Reporter:5:long;Indicator:4:s;Indicator:3:l;Unit:2:s;Unit:1:long;","numberformat=0.00","auto_tr=1999|2015","com=true","comp=4"},1,1)</f>
        <v>31/01/2024 @ 15:42</v>
      </c>
      <c r="C12" s="4" t="str">
        <f>INDEX({"31/01/2024 @ 15:42","macro_id=DBGlobal","label_id=77811","time=Q","year_from=2000","year_to=2023","direction=V","opt_font=true","fontsize=8","opt_color=true","col_desc=Calculation:10;Footnote 1:9;ID:8;Label:7;Reporter:6:s;Reporter:5:long;Indicator:4:s;Indicator:3:l;Unit:2:s;Unit:1:long;","numberformat=0.00","auto_tr=1999|2015","com=true","comp=4"},1,1)</f>
        <v>31/01/2024 @ 15:42</v>
      </c>
      <c r="D12" s="6" t="str">
        <f>INDEX({"31/01/2024 @ 15:42","macro_id=DBGlobal","label_id=77812","calc=SubScal(L_77812,100)","time=Q","year_from=2000","year_to=2023","direction=V","opt_font=true","fontsize=8","opt_color=true","col_desc=Calculation:10;Footnote 1:9;ID:8;Label:7;Reporter:6:s;Reporter:5:long;Indicator:4:s;Indicator:3:l;Unit:2:s;Unit:1:long;","numberformat=0.00","auto_tr=1999|2015","com=true","comp=4"},1,1)</f>
        <v>31/01/2024 @ 15:42</v>
      </c>
      <c r="E12" s="4" t="str">
        <f>INDEX({"31/01/2024 @ 15:42","macro_id=DBGlobal","label_id=144399","time=Q","year_from=2000","year_to=2023","direction=V","opt_font=true","fontsize=8","opt_color=true","col_desc=Calculation:10;Footnote 1:9;ID:8;Label:7;Reporter:6:s;Reporter:5:long;Indicator:4:s;Indicator:3:l;Unit:2:s;Unit:1:long;","numberformat=0.00","auto_tr=1999|2015","com=true","comp=4"},1,1)</f>
        <v>31/01/2024 @ 15:42</v>
      </c>
      <c r="F12" s="4" t="str">
        <f>INDEX({"31/01/2024 @ 15:42","macro_id=DBGlobal","label_id=101874","time=Q","year_from=2000","year_to=2023","direction=V","opt_font=true","fontsize=8","opt_color=true","col_desc=Calculation:10;Footnote 1:9;ID:8;Label:7;Reporter:6:s;Reporter:5:long;Indicator:4:s;Indicator:3:l;Unit:2:s;Unit:1:long;","numberformat=0.00","auto_tr=1999|2015","com=true","comp=4"},1,1)</f>
        <v>31/01/2024 @ 15:42</v>
      </c>
      <c r="G12" s="5" t="str">
        <f>INDEX({"31/01/2024 @ 15:42","macro_id=DBGlobal","label_id=32803","calc=SubScal(CPPY=100(L_32803),100)","time=Q","year_from=2000","year_to=2023","direction=V","opt_font=true","fontsize=8","opt_color=true","col_desc=Calculation:10;Footnote 1:9;ID:8;Label:7;Reporter:6:s;Reporter:5:long;Indicator:4:s;Indicator:3:l;Unit:2:s;Unit:1:long;","numberformat=0.00","auto_tr=1999|2015","com=true","comp=4"},1,1)</f>
        <v>31/01/2024 @ 15:42</v>
      </c>
      <c r="H12" s="5" t="str">
        <f>INDEX({"31/01/2024 @ 15:42","macro_id=DBGlobal","label_id=32802","calc=SubScal(CPPY=100(L_32802),100)","time=Q","year_from=2000","year_to=2023","direction=V","opt_font=true","fontsize=8","opt_color=true","col_desc=Calculation:10;Footnote 1:9;ID:8;Label:7;Reporter:6:s;Reporter:5:long;Indicator:4:s;Indicator:3:l;Unit:2:s;Unit:1:long;","numberformat=0.00","auto_tr=1999|2015","com=true","comp=4"},1,1)</f>
        <v>31/01/2024 @ 15:42</v>
      </c>
      <c r="I12" s="1" t="str">
        <f>INDEX({"31/01/2024 @ 15:42","macro_id=DBGlobal","label_id=89169","time=Q","year_from=2000","year_to=2023","direction=V","opt_font=true","fontsize=8","opt_color=true","col_desc=Calculation:10;Footnote 1:9;ID:8;Label:7;Reporter:6:s;Reporter:5:long;Indicator:4:s;Indicator:3:l;Unit:2:s;Unit:1:long;","numberformat=0.00","auto_tr=1999|2015","com=true","comp=4"},1,1)</f>
        <v>31/01/2024 @ 15:42</v>
      </c>
      <c r="J12" s="5" t="str">
        <f>INDEX({"31/01/2024 @ 15:42","macro_id=DBGlobal","label_id=88664","calc=SubScal(CPPY=100(L_88664),100)","time=Q","year_from=2000","year_to=2023","direction=V","opt_font=true","fontsize=8","opt_color=true","col_desc=Calculation:10;Footnote 1:9;ID:8;Label:7;Reporter:6:s;Reporter:5:long;Indicator:4:s;Indicator:3:l;Unit:2:s;Unit:1:long;","numberformat=0.00","auto_tr=1999|2015","com=true","comp=4"},1,1)</f>
        <v>31/01/2024 @ 15:42</v>
      </c>
      <c r="K12" s="5" t="str">
        <f>INDEX({"31/01/2024 @ 15:42","macro_id=DBGlobal","label_id=90875","calc=SubScal(CPPY=100(L_90875),100)","time=Q","year_from=2000","year_to=2023","direction=V","opt_font=true","fontsize=8","opt_color=true","col_desc=Calculation:10;Footnote 1:9;ID:8;Label:7;Reporter:6:s;Reporter:5:long;Indicator:4:s;Indicator:3:l;Unit:2:s;Unit:1:long;","numberformat=0.00","auto_tr=1999|2015","com=true","comp=4"},1,1)</f>
        <v>31/01/2024 @ 15:42</v>
      </c>
      <c r="L12" s="5" t="str">
        <f>INDEX({"31/01/2024 @ 15:42","macro_id=DBGlobal","label_id=90919","calc=SubScal(CPPY=100(L_90919),100)","time=Q","year_from=2000","year_to=2023","direction=V","opt_font=true","fontsize=8","opt_color=true","col_desc=Calculation:10;Footnote 1:9;ID:8;Label:7;Reporter:6:s;Reporter:5:long;Indicator:4:s;Indicator:3:l;Unit:2:s;Unit:1:long;","numberformat=0.00","auto_tr=1999|2015","com=true","comp=4"},1,1)</f>
        <v>31/01/2024 @ 15:42</v>
      </c>
      <c r="M12" s="5" t="str">
        <f>INDEX({"31/01/2024 @ 15:42","macro_id=DBGlobal","label_id=90941","calc=SubScal(CPPY=100(L_90941),100)","time=Q","year_from=2000","year_to=2023","direction=V","opt_font=true","fontsize=8","opt_color=true","col_desc=Calculation:10;Footnote 1:9;ID:8;Label:7;Reporter:6:s;Reporter:5:long;Indicator:4:s;Indicator:3:l;Unit:2:s;Unit:1:long;","numberformat=0.00","auto_tr=1999|2015","com=true","comp=4"},1,1)</f>
        <v>31/01/2024 @ 15:42</v>
      </c>
      <c r="N12" s="5" t="str">
        <f>INDEX({"31/01/2024 @ 15:42","macro_id=DBGlobal","label_id=90985","calc=SubScal(CPPY=100(L_90985),100)","time=Q","year_from=2000","year_to=2023","direction=V","opt_font=true","fontsize=8","opt_color=true","col_desc=Calculation:10;Footnote 1:9;ID:8;Label:7;Reporter:6:s;Reporter:5:long;Indicator:4:s;Indicator:3:l;Unit:2:s;Unit:1:long;","numberformat=0.00","auto_tr=1999|2015","com=true","comp=4"},1,1)</f>
        <v>31/01/2024 @ 15:42</v>
      </c>
      <c r="O12" s="5" t="str">
        <f>INDEX({"31/01/2024 @ 15:42","macro_id=DBGlobal","label_id=91007","calc=SubScal(CPPY=100(L_91007),100)","time=Q","year_from=2000","year_to=2023","direction=V","opt_font=true","fontsize=8","opt_color=true","col_desc=Calculation:10;Footnote 1:9;ID:8;Label:7;Reporter:6:s;Reporter:5:long;Indicator:4:s;Indicator:3:l;Unit:2:s;Unit:1:long;","numberformat=0.00","auto_tr=1999|2015","com=true","comp=4"},1,1)</f>
        <v>31/01/2024 @ 15:42</v>
      </c>
      <c r="P12" s="1" t="str">
        <f>INDEX({"31/01/2024 @ 15:42","macro_id=DBGlobal","label_id=32650","time=Q","year_from=2000","year_to=2023","direction=V","opt_font=true","fontsize=8","opt_color=true","col_desc=Calculation:10;Footnote 1:9;ID:8;Label:7;Reporter:6:s;Reporter:5:long;Indicator:4:s;Indicator:3:l;Unit:2:s;Unit:1:long;","numberformat=0.00","auto_tr=1999|2015","com=true","comp=4"},1,1)</f>
        <v>31/01/2024 @ 15:42</v>
      </c>
      <c r="Q12" s="1" t="str">
        <f>INDEX({"31/01/2024 @ 15:42","macro_id=DBGlobal","label_id=32680","time=Q","year_from=2000","year_to=2023","direction=V","opt_font=true","fontsize=8","opt_color=true","col_desc=Calculation:10;Footnote 1:9;ID:8;Label:7;Reporter:6:s;Reporter:5:long;Indicator:4:s;Indicator:3:l;Unit:2:s;Unit:1:long;","numberformat=0.00","auto_tr=1999|2015","com=true","comp=4"},1,1)</f>
        <v>31/01/2024 @ 15:42</v>
      </c>
      <c r="R12" s="1" t="str">
        <f>INDEX({"31/01/2024 @ 15:42","macro_id=DBGlobal","label_id=32697","time=Q","year_from=2000","year_to=2023","direction=V","opt_font=true","fontsize=8","opt_color=true","col_desc=Calculation:10;Footnote 1:9;ID:8;Label:7;Reporter:6:s;Reporter:5:long;Indicator:4:s;Indicator:3:l;Unit:2:s;Unit:1:long;","numberformat=0.00","auto_tr=1999|2015","com=true","comp=4"},1,1)</f>
        <v>31/01/2024 @ 15:42</v>
      </c>
      <c r="S12" s="5" t="str">
        <f>INDEX({"31/01/2024 @ 15:42","macro_id=DBGlobal","label_id=314","calc=SubScal(L_314,100)","time=Q","year_from=2000","year_to=2023","direction=V","opt_font=true","fontsize=8","opt_color=true","col_desc=Calculation:10;Footnote 1:9;ID:8;Label:7;Reporter:6:s;Reporter:5:long;Indicator:4:s;Indicator:3:l;Unit:2:s;Unit:1:long;","numberformat=0.00","auto_tr=1999|2015","com=true","comp=4"},1,1)</f>
        <v>31/01/2024 @ 15:42</v>
      </c>
      <c r="T12" s="1" t="str">
        <f>INDEX({"31/01/2024 @ 15:42","macro_id=DBGlobal","label_id=783","time=Q","year_from=2000","year_to=2023","direction=V","opt_font=true","fontsize=8","opt_color=true","col_desc=Calculation:10;Footnote 1:9;ID:8;Label:7;Reporter:6:s;Reporter:5:long;Indicator:4:s;Indicator:3:l;Unit:2:s;Unit:1:long;","numberformat=0.00","auto_tr=1999|2015","com=true","comp=4"},1,1)</f>
        <v>31/01/2024 @ 15:42</v>
      </c>
      <c r="U12" s="1" t="str">
        <f>INDEX({"31/01/2024 @ 15:42","macro_id=DBGlobal","label_id=32761","time=Q","year_from=2000","year_to=2023","direction=V","opt_font=true","fontsize=8","opt_color=true","col_desc=Calculation:10;Footnote 1:9;ID:8;Label:7;Reporter:6:s;Reporter:5:long;Indicator:4:s;Indicator:3:l;Unit:2:s;Unit:1:long;","numberformat=0.00","auto_tr=1999|2015","com=true","comp=4"},1,1)</f>
        <v>31/01/2024 @ 15:42</v>
      </c>
      <c r="V12" s="1" t="str">
        <f>INDEX({"31/01/2024 @ 15:42","macro_id=DBGlobal","label_id=963","time=Q","year_from=2000","year_to=2023","direction=V","opt_font=true","fontsize=8","opt_color=true","col_desc=Calculation:10;Footnote 1:9;ID:8;Label:7;Reporter:6:s;Reporter:5:long;Indicator:4:s;Indicator:3:l;Unit:2:s;Unit:1:long;","numberformat=0.00","auto_tr=1999|2015","com=true","comp=4"},1,1)</f>
        <v>31/01/2024 @ 15:42</v>
      </c>
      <c r="W12" s="5" t="str">
        <f>INDEX({"31/01/2024 @ 15:42","macro_id=DBGlobal","label_id=32209","calc=SubScal(L_32209,100)","time=Q","year_from=2000","year_to=2023","direction=V","opt_font=true","fontsize=8","opt_color=true","col_desc=Calculation:10;Footnote 1:9;ID:8;Label:7;Reporter:6:s;Reporter:5:long;Indicator:4:s;Indicator:3:l;Unit:2:s;Unit:1:long;","numberformat=0.00","auto_tr=1999|2015","com=true","comp=4"},1,1)</f>
        <v>31/01/2024 @ 15:42</v>
      </c>
      <c r="X12" s="6" t="str">
        <f>INDEX({"31/01/2024 @ 15:42","macro_id=DBGlobal","label_id=87273","calc=SubScal(CPPY=100(AddNull(L_87273,L_87347)),100)","time=Q","year_from=2000","year_to=2023","direction=V","opt_font=true","fontsize=8","opt_color=true","col_desc=Calculation:10;Footnote 1:9;ID:8;Label:7;Reporter:6:s;Reporter:5:long;Indicator:4:s;Indicator:3:l;Unit:2:s;Unit:1:long;","numberformat=0.00","auto_tr=1999|2015","com=true","comp=4"},1,1)</f>
        <v>31/01/2024 @ 15:42</v>
      </c>
      <c r="Y12" s="6" t="str">
        <f>INDEX({"31/01/2024 @ 15:42","macro_id=DBGlobal","label_id=87310","calc=SubScal(CPPY=100(AddNull(L_87310,L_87384)),100)","time=Q","year_from=2000","year_to=2023","direction=V","opt_font=true","fontsize=8","opt_color=true","col_desc=Calculation:10;Footnote 1:9;ID:8;Label:7;Reporter:6:s;Reporter:5:long;Indicator:4:s;Indicator:3:l;Unit:2:s;Unit:1:long;","numberformat=0.00","auto_tr=1999|2015","com=true","comp=4"},1,1)</f>
        <v>31/01/2024 @ 15:42</v>
      </c>
      <c r="Z12" s="1" t="str">
        <f>INDEX({"31/01/2024 @ 15:42","macro_id=DBGlobal","label_id=88743","time=Q","year_from=2000","year_to=2023","direction=V","opt_font=true","fontsize=8","opt_color=true","col_desc=Calculation:10;Footnote 1:9;ID:8;Label:7;Reporter:6:s;Reporter:5:long;Indicator:4:s;Indicator:3:l;Unit:2:s;Unit:1:long;","numberformat=0.00","auto_tr=1999|2015","com=true","comp=4"},1,1)</f>
        <v>31/01/2024 @ 15:42</v>
      </c>
      <c r="AA12" s="5" t="str">
        <f>INDEX({"31/01/2024 @ 15:42","macro_id=DBGlobal","label_id=90347","calc=AddNull(L_90347,L_90369)","time=Q","year_from=2000","year_to=2023","direction=V","opt_font=true","fontsize=8","opt_color=true","col_desc=Calculation:10;Footnote 1:9;ID:8;Label:7;Reporter:6:s;Reporter:5:long;Indicator:4:s;Indicator:3:l;Unit:2:s;Unit:1:long;","numberformat=0.00","auto_tr=1999|2015","com=true","comp=4"},1,1)</f>
        <v>31/01/2024 @ 15:42</v>
      </c>
      <c r="AB12" s="1" t="str">
        <f>INDEX({"31/01/2024 @ 15:42","macro_id=DBGlobal","label_id=90391","time=Q","year_from=2000","year_to=2023","direction=V","opt_font=true","fontsize=8","opt_color=true","col_desc=Calculation:10;Footnote 1:9;ID:8;Label:7;Reporter:6:s;Reporter:5:long;Indicator:4:s;Indicator:3:l;Unit:2:s;Unit:1:long;","numberformat=0.00","auto_tr=1999|2015","com=true","comp=4"},1,1)</f>
        <v>31/01/2024 @ 15:42</v>
      </c>
      <c r="AC12" s="1" t="str">
        <f>INDEX({"31/01/2024 @ 15:42","macro_id=DBGlobal","label_id=90413","time=Q","year_from=2000","year_to=2023","direction=V","opt_font=true","fontsize=8","opt_color=true","col_desc=Calculation:10;Footnote 1:9;ID:8;Label:7;Reporter:6:s;Reporter:5:long;Indicator:4:s;Indicator:3:l;Unit:2:s;Unit:1:long;","numberformat=0.00","auto_tr=1999|2015","com=true","comp=4"},1,1)</f>
        <v>31/01/2024 @ 15:42</v>
      </c>
      <c r="AD12" s="1" t="str">
        <f>INDEX({"31/01/2024 @ 15:42","macro_id=DBGlobal","label_id=90501","time=Q","year_from=2000","year_to=2023","direction=V","opt_font=true","fontsize=8","opt_color=true","col_desc=Calculation:10;Footnote 1:9;ID:8;Label:7;Reporter:6:s;Reporter:5:long;Indicator:4:s;Indicator:3:l;Unit:2:s;Unit:1:long;","numberformat=0.00","auto_tr=1999|2015","com=true","comp=4"},1,1)</f>
        <v>31/01/2024 @ 15:42</v>
      </c>
      <c r="AE12" s="1" t="str">
        <f>INDEX({"31/01/2024 @ 15:42","macro_id=DBGlobal","label_id=90523","time=Q","year_from=2000","year_to=2023","direction=V","opt_font=true","fontsize=8","opt_color=true","col_desc=Calculation:10;Footnote 1:9;ID:8;Label:7;Reporter:6:s;Reporter:5:long;Indicator:4:s;Indicator:3:l;Unit:2:s;Unit:1:long;","numberformat=0.00","auto_tr=1999|2015","com=true","comp=4"},1,1)</f>
        <v>31/01/2024 @ 15:42</v>
      </c>
      <c r="AF12" s="5" t="str">
        <f>INDEX({"31/01/2024 @ 15:42","macro_id=DBGlobal","label_id=89621","calc=SubScal(L_89621,100)","time=Q","year_from=2000","year_to=2023","direction=V","opt_font=true","fontsize=8","opt_color=true","col_desc=Calculation:10;Footnote 1:9;ID:8;Label:7;Reporter:6:s;Reporter:5:long;Indicator:4:s;Indicator:3:l;Unit:2:s;Unit:1:long;","numberformat=0.00","auto_tr=1999|2015","com=true","comp=4"},1,1)</f>
        <v>31/01/2024 @ 15:42</v>
      </c>
      <c r="AG12" s="4" t="str">
        <f>INDEX({"31/01/2024 @ 15:42","macro_id=DBGlobal","label_id=144769","time=Q","year_from=2000","year_to=2023","direction=V","opt_font=true","fontsize=8","opt_color=true","col_desc=Calculation:10;Footnote 1:9;ID:8;Label:7;Reporter:6:s;Reporter:5:long;Indicator:4:s;Indicator:3:l;Unit:2:s;Unit:1:long;","numberformat=0.00","auto_tr=1999|2015","com=true","comp=4"},1,1)</f>
        <v>31/01/2024 @ 15:42</v>
      </c>
    </row>
    <row r="13" spans="1:33" s="11" customFormat="1" x14ac:dyDescent="0.3">
      <c r="A13" s="11" t="s">
        <v>19</v>
      </c>
      <c r="B13" s="12">
        <v>4.8214176000000002</v>
      </c>
      <c r="C13" s="12">
        <v>73.989999999999995</v>
      </c>
      <c r="D13" s="12">
        <v>1.7557532</v>
      </c>
      <c r="E13" s="12">
        <v>3.25</v>
      </c>
      <c r="F13" s="13">
        <v>26.926666699999998</v>
      </c>
      <c r="G13" s="12">
        <v>11.2173853</v>
      </c>
      <c r="H13" s="12">
        <v>7.4726359000000002</v>
      </c>
      <c r="I13" s="12">
        <v>-4.8474006000000003</v>
      </c>
      <c r="J13" s="12">
        <v>6.0524402000000004</v>
      </c>
      <c r="K13" s="12">
        <v>4.2160200999999997</v>
      </c>
      <c r="L13" s="12">
        <v>5.1789763000000004</v>
      </c>
      <c r="M13" s="12">
        <v>6.0450134000000002</v>
      </c>
      <c r="N13" s="12">
        <v>19.943988900000001</v>
      </c>
      <c r="O13" s="12">
        <v>13.008210500000001</v>
      </c>
      <c r="P13" s="7">
        <v>14318.6</v>
      </c>
      <c r="Q13" s="7">
        <v>2880</v>
      </c>
      <c r="R13" s="7">
        <v>16.7</v>
      </c>
      <c r="S13" s="12">
        <v>16.2</v>
      </c>
      <c r="T13" s="12">
        <v>17.5</v>
      </c>
      <c r="U13" s="12">
        <v>68.2</v>
      </c>
      <c r="V13" s="12">
        <v>4.0614999999999997</v>
      </c>
      <c r="W13" s="7" t="s">
        <v>107</v>
      </c>
      <c r="X13" s="7" t="s">
        <v>107</v>
      </c>
      <c r="Y13" s="7" t="s">
        <v>107</v>
      </c>
      <c r="Z13" s="12">
        <v>-7.2369947000000003</v>
      </c>
      <c r="AA13" s="12">
        <v>70.356418099999999</v>
      </c>
      <c r="AB13" s="12">
        <v>19.925109800000001</v>
      </c>
      <c r="AC13" s="12">
        <v>17.391560299999998</v>
      </c>
      <c r="AD13" s="12">
        <v>26.230287199999999</v>
      </c>
      <c r="AE13" s="12">
        <v>33.903435000000002</v>
      </c>
      <c r="AF13" s="7" t="s">
        <v>107</v>
      </c>
      <c r="AG13" s="12">
        <v>35.931210200000002</v>
      </c>
    </row>
    <row r="14" spans="1:33" s="11" customFormat="1" hidden="1" outlineLevel="1" x14ac:dyDescent="0.3">
      <c r="A14" s="11" t="s">
        <v>20</v>
      </c>
      <c r="B14" s="12">
        <v>4.3154814000000004</v>
      </c>
      <c r="C14" s="12">
        <v>74.493333300000003</v>
      </c>
      <c r="D14" s="12">
        <v>1.6742492</v>
      </c>
      <c r="E14" s="12">
        <v>3.9166666999999999</v>
      </c>
      <c r="F14" s="13">
        <v>26.766666699999998</v>
      </c>
      <c r="G14" s="12">
        <v>9.1065629999999995</v>
      </c>
      <c r="H14" s="12">
        <v>8.5287938000000008</v>
      </c>
      <c r="I14" s="12">
        <v>-2.6248119999999999</v>
      </c>
      <c r="J14" s="12">
        <v>4.7121557000000003</v>
      </c>
      <c r="K14" s="12">
        <v>1.5676000999999999</v>
      </c>
      <c r="L14" s="12">
        <v>4.4589860000000003</v>
      </c>
      <c r="M14" s="12">
        <v>1.6638782000000001</v>
      </c>
      <c r="N14" s="12">
        <v>24.283059999999999</v>
      </c>
      <c r="O14" s="12">
        <v>11.4893813</v>
      </c>
      <c r="P14" s="7">
        <v>14517.6</v>
      </c>
      <c r="Q14" s="7">
        <v>2825</v>
      </c>
      <c r="R14" s="7">
        <v>16.3</v>
      </c>
      <c r="S14" s="12">
        <v>13</v>
      </c>
      <c r="T14" s="12">
        <v>17.5</v>
      </c>
      <c r="U14" s="12">
        <v>69.566666699999999</v>
      </c>
      <c r="V14" s="12">
        <v>4.0842333000000002</v>
      </c>
      <c r="W14" s="7" t="s">
        <v>107</v>
      </c>
      <c r="X14" s="7" t="s">
        <v>107</v>
      </c>
      <c r="Y14" s="7" t="s">
        <v>107</v>
      </c>
      <c r="Z14" s="12">
        <v>-6.8271822999999996</v>
      </c>
      <c r="AA14" s="12">
        <v>66.217669400000005</v>
      </c>
      <c r="AB14" s="12">
        <v>19.367973800000001</v>
      </c>
      <c r="AC14" s="12">
        <v>21.991571400000002</v>
      </c>
      <c r="AD14" s="12">
        <v>27.487849499999999</v>
      </c>
      <c r="AE14" s="12">
        <v>35.065119299999999</v>
      </c>
      <c r="AF14" s="7" t="s">
        <v>107</v>
      </c>
      <c r="AG14" s="12">
        <v>37.536857900000001</v>
      </c>
    </row>
    <row r="15" spans="1:33" s="11" customFormat="1" hidden="1" outlineLevel="1" x14ac:dyDescent="0.3">
      <c r="A15" s="11" t="s">
        <v>21</v>
      </c>
      <c r="B15" s="12">
        <v>3.5071058000000002</v>
      </c>
      <c r="C15" s="12">
        <v>74.819999999999993</v>
      </c>
      <c r="D15" s="12">
        <v>1.9670194000000001</v>
      </c>
      <c r="E15" s="17">
        <v>4.3333332999999996</v>
      </c>
      <c r="F15" s="13">
        <v>30.673333299999999</v>
      </c>
      <c r="G15" s="12">
        <v>6.1800075000000003</v>
      </c>
      <c r="H15" s="12">
        <v>4.5681086999999998</v>
      </c>
      <c r="I15" s="12">
        <v>-2.3571876999999999</v>
      </c>
      <c r="J15" s="12">
        <v>2.9086481000000002</v>
      </c>
      <c r="K15" s="12">
        <v>2.4668380999999999</v>
      </c>
      <c r="L15" s="12">
        <v>11.2081502</v>
      </c>
      <c r="M15" s="12">
        <v>-4.2549484</v>
      </c>
      <c r="N15" s="12">
        <v>13.892144699999999</v>
      </c>
      <c r="O15" s="12">
        <v>10.4080811</v>
      </c>
      <c r="P15" s="7">
        <v>14726.8</v>
      </c>
      <c r="Q15" s="7">
        <v>2675</v>
      </c>
      <c r="R15" s="7">
        <v>15.4</v>
      </c>
      <c r="S15" s="12">
        <v>10.6</v>
      </c>
      <c r="T15" s="12">
        <v>19</v>
      </c>
      <c r="U15" s="12">
        <v>70.599999999999994</v>
      </c>
      <c r="V15" s="12">
        <v>3.9716</v>
      </c>
      <c r="W15" s="7" t="s">
        <v>107</v>
      </c>
      <c r="X15" s="7" t="s">
        <v>107</v>
      </c>
      <c r="Y15" s="7" t="s">
        <v>107</v>
      </c>
      <c r="Z15" s="12">
        <v>-4.4567882000000001</v>
      </c>
      <c r="AA15" s="12">
        <v>64.674307299999995</v>
      </c>
      <c r="AB15" s="12">
        <v>17.7629631</v>
      </c>
      <c r="AC15" s="12">
        <v>22.848306000000001</v>
      </c>
      <c r="AD15" s="12">
        <v>28.133079299999999</v>
      </c>
      <c r="AE15" s="12">
        <v>33.418655700000002</v>
      </c>
      <c r="AF15" s="7" t="s">
        <v>107</v>
      </c>
      <c r="AG15" s="12">
        <v>38.947177199999999</v>
      </c>
    </row>
    <row r="16" spans="1:33" s="11" customFormat="1" hidden="1" outlineLevel="1" x14ac:dyDescent="0.3">
      <c r="A16" s="11" t="s">
        <v>22</v>
      </c>
      <c r="B16" s="12">
        <v>2.8994336000000001</v>
      </c>
      <c r="C16" s="12">
        <v>75.3</v>
      </c>
      <c r="D16" s="12">
        <v>2.2218200000000001</v>
      </c>
      <c r="E16" s="17">
        <v>4.75</v>
      </c>
      <c r="F16" s="13">
        <v>29.7233333</v>
      </c>
      <c r="G16" s="12">
        <v>14.010342100000001</v>
      </c>
      <c r="H16" s="12">
        <v>1.7539499000000001</v>
      </c>
      <c r="I16" s="12">
        <v>-5.9267244999999997</v>
      </c>
      <c r="J16" s="12">
        <v>4.7002721999999997</v>
      </c>
      <c r="K16" s="12">
        <v>2.8678214</v>
      </c>
      <c r="L16" s="12">
        <v>11.4405187</v>
      </c>
      <c r="M16" s="12">
        <v>2.2328342000000001</v>
      </c>
      <c r="N16" s="12">
        <v>36.546105699999998</v>
      </c>
      <c r="O16" s="12">
        <v>26.801591999999999</v>
      </c>
      <c r="P16" s="7">
        <v>14539.7</v>
      </c>
      <c r="Q16" s="7">
        <v>2760</v>
      </c>
      <c r="R16" s="7">
        <v>16</v>
      </c>
      <c r="S16" s="12">
        <v>8.9</v>
      </c>
      <c r="T16" s="12">
        <v>19</v>
      </c>
      <c r="U16" s="12">
        <v>71.8</v>
      </c>
      <c r="V16" s="12">
        <v>3.9138000000000002</v>
      </c>
      <c r="W16" s="7" t="s">
        <v>107</v>
      </c>
      <c r="X16" s="7" t="s">
        <v>107</v>
      </c>
      <c r="Y16" s="7" t="s">
        <v>107</v>
      </c>
      <c r="Z16" s="12">
        <v>-5.6399033999999997</v>
      </c>
      <c r="AA16" s="12">
        <v>55.909894399999999</v>
      </c>
      <c r="AB16" s="12">
        <v>15.7675804</v>
      </c>
      <c r="AC16" s="12">
        <v>34.014382099999999</v>
      </c>
      <c r="AD16" s="12">
        <v>26.860781200000002</v>
      </c>
      <c r="AE16" s="12">
        <v>32.552638100000003</v>
      </c>
      <c r="AF16" s="7" t="s">
        <v>107</v>
      </c>
      <c r="AG16" s="12">
        <v>36.382522999999999</v>
      </c>
    </row>
    <row r="17" spans="1:33" s="11" customFormat="1" hidden="1" outlineLevel="1" x14ac:dyDescent="0.3">
      <c r="A17" s="11" t="s">
        <v>23</v>
      </c>
      <c r="B17" s="12">
        <v>3.0047543999999999</v>
      </c>
      <c r="C17" s="12">
        <v>75.393333299999995</v>
      </c>
      <c r="D17" s="12">
        <v>1.8966527</v>
      </c>
      <c r="E17" s="17">
        <v>4.75</v>
      </c>
      <c r="F17" s="13">
        <v>25.873333299999999</v>
      </c>
      <c r="G17" s="12">
        <v>8.7167136000000003</v>
      </c>
      <c r="H17" s="12">
        <v>7.6422667999999998</v>
      </c>
      <c r="I17" s="12">
        <v>-5.3513460999999998</v>
      </c>
      <c r="J17" s="12">
        <v>3.2880115999999999</v>
      </c>
      <c r="K17" s="12">
        <v>1.2635875000000001</v>
      </c>
      <c r="L17" s="12">
        <v>3.7629087000000001</v>
      </c>
      <c r="M17" s="12">
        <v>-7.9204410999999997</v>
      </c>
      <c r="N17" s="12">
        <v>5.1019008000000001</v>
      </c>
      <c r="O17" s="12">
        <v>-4.0832135000000003</v>
      </c>
      <c r="P17" s="7">
        <v>14147.2</v>
      </c>
      <c r="Q17" s="7">
        <v>3157.9</v>
      </c>
      <c r="R17" s="7">
        <v>18.2</v>
      </c>
      <c r="S17" s="12">
        <v>8.4901643</v>
      </c>
      <c r="T17" s="12">
        <v>17</v>
      </c>
      <c r="U17" s="12">
        <v>72.733333299999998</v>
      </c>
      <c r="V17" s="12">
        <v>3.7735666999999999</v>
      </c>
      <c r="W17" s="12">
        <v>4.4345898000000004</v>
      </c>
      <c r="X17" s="7" t="s">
        <v>107</v>
      </c>
      <c r="Y17" s="7" t="s">
        <v>107</v>
      </c>
      <c r="Z17" s="12">
        <v>-3.4887722999999999</v>
      </c>
      <c r="AA17" s="12">
        <v>70.156155699999999</v>
      </c>
      <c r="AB17" s="12">
        <v>19.991897099999999</v>
      </c>
      <c r="AC17" s="12">
        <v>14.358734</v>
      </c>
      <c r="AD17" s="12">
        <v>27.9169339</v>
      </c>
      <c r="AE17" s="12">
        <v>32.423720799999998</v>
      </c>
      <c r="AF17" s="12">
        <v>21.108524599999999</v>
      </c>
      <c r="AG17" s="12">
        <v>35.409725299999998</v>
      </c>
    </row>
    <row r="18" spans="1:33" s="11" customFormat="1" hidden="1" outlineLevel="1" x14ac:dyDescent="0.3">
      <c r="A18" s="11" t="s">
        <v>24</v>
      </c>
      <c r="B18" s="12">
        <v>2.2522867999999998</v>
      </c>
      <c r="C18" s="12">
        <v>76.483333299999998</v>
      </c>
      <c r="D18" s="12">
        <v>2.6713800000000001</v>
      </c>
      <c r="E18" s="17">
        <v>4.5833332999999996</v>
      </c>
      <c r="F18" s="13">
        <v>27.273333300000001</v>
      </c>
      <c r="G18" s="12">
        <v>13.265420300000001</v>
      </c>
      <c r="H18" s="12">
        <v>8.4558812999999997</v>
      </c>
      <c r="I18" s="12">
        <v>-4.6553735999999999</v>
      </c>
      <c r="J18" s="12">
        <v>1.4057371999999999</v>
      </c>
      <c r="K18" s="12">
        <v>1.9249504</v>
      </c>
      <c r="L18" s="12">
        <v>4.8359696000000003</v>
      </c>
      <c r="M18" s="12">
        <v>-10.750901900000001</v>
      </c>
      <c r="N18" s="12">
        <v>-0.51350450000000003</v>
      </c>
      <c r="O18" s="12">
        <v>-5.0173895999999996</v>
      </c>
      <c r="P18" s="7">
        <v>14251.8</v>
      </c>
      <c r="Q18" s="7">
        <v>3208</v>
      </c>
      <c r="R18" s="7">
        <v>18.399999999999999</v>
      </c>
      <c r="S18" s="12">
        <v>6.2776141000000001</v>
      </c>
      <c r="T18" s="12">
        <v>15.5</v>
      </c>
      <c r="U18" s="12">
        <v>74.166666699999993</v>
      </c>
      <c r="V18" s="12">
        <v>3.4874000000000001</v>
      </c>
      <c r="W18" s="12">
        <v>-0.50000009999999995</v>
      </c>
      <c r="X18" s="7" t="s">
        <v>107</v>
      </c>
      <c r="Y18" s="7" t="s">
        <v>107</v>
      </c>
      <c r="Z18" s="12">
        <v>-4.7048354999999997</v>
      </c>
      <c r="AA18" s="12">
        <v>65.689017300000003</v>
      </c>
      <c r="AB18" s="12">
        <v>19.8533683</v>
      </c>
      <c r="AC18" s="12">
        <v>18.6811519</v>
      </c>
      <c r="AD18" s="12">
        <v>25.987095199999999</v>
      </c>
      <c r="AE18" s="12">
        <v>30.2106326</v>
      </c>
      <c r="AF18" s="12">
        <v>1.8231359</v>
      </c>
      <c r="AG18" s="12">
        <v>35.118508400000003</v>
      </c>
    </row>
    <row r="19" spans="1:33" s="11" customFormat="1" hidden="1" outlineLevel="1" x14ac:dyDescent="0.3">
      <c r="A19" s="11" t="s">
        <v>25</v>
      </c>
      <c r="B19" s="12">
        <v>1.8991327</v>
      </c>
      <c r="C19" s="12">
        <v>76.516666700000002</v>
      </c>
      <c r="D19" s="12">
        <v>2.2676647000000001</v>
      </c>
      <c r="E19" s="17">
        <v>4.1666667000000004</v>
      </c>
      <c r="F19" s="13">
        <v>25.303333299999998</v>
      </c>
      <c r="G19" s="12">
        <v>9.2229852000000001</v>
      </c>
      <c r="H19" s="12">
        <v>7.6352567000000002</v>
      </c>
      <c r="I19" s="12">
        <v>-3.0792796</v>
      </c>
      <c r="J19" s="12">
        <v>1.7347743</v>
      </c>
      <c r="K19" s="12">
        <v>3.6012135000000001</v>
      </c>
      <c r="L19" s="12">
        <v>-0.3259898</v>
      </c>
      <c r="M19" s="12">
        <v>-13.6384083</v>
      </c>
      <c r="N19" s="12">
        <v>14.2565157</v>
      </c>
      <c r="O19" s="12">
        <v>3.5667125</v>
      </c>
      <c r="P19" s="7">
        <v>14383</v>
      </c>
      <c r="Q19" s="7">
        <v>3126.9</v>
      </c>
      <c r="R19" s="7">
        <v>17.899999999999999</v>
      </c>
      <c r="S19" s="12">
        <v>7.0190751999999996</v>
      </c>
      <c r="T19" s="12">
        <v>14.5</v>
      </c>
      <c r="U19" s="12">
        <v>73.833333300000007</v>
      </c>
      <c r="V19" s="12">
        <v>3.7627332999999998</v>
      </c>
      <c r="W19" s="12">
        <v>-0.4888267</v>
      </c>
      <c r="X19" s="7" t="s">
        <v>107</v>
      </c>
      <c r="Y19" s="7" t="s">
        <v>107</v>
      </c>
      <c r="Z19" s="12">
        <v>-1.3119799000000001</v>
      </c>
      <c r="AA19" s="12">
        <v>64.939331699999997</v>
      </c>
      <c r="AB19" s="12">
        <v>18.417066500000001</v>
      </c>
      <c r="AC19" s="12">
        <v>19.5953591</v>
      </c>
      <c r="AD19" s="12">
        <v>28.960874499999999</v>
      </c>
      <c r="AE19" s="12">
        <v>31.9125804</v>
      </c>
      <c r="AF19" s="12">
        <v>19.591836700000002</v>
      </c>
      <c r="AG19" s="12">
        <v>38.035667699999998</v>
      </c>
    </row>
    <row r="20" spans="1:33" s="11" customFormat="1" hidden="1" outlineLevel="1" x14ac:dyDescent="0.3">
      <c r="A20" s="11" t="s">
        <v>26</v>
      </c>
      <c r="B20" s="12">
        <v>1.4300580000000001</v>
      </c>
      <c r="C20" s="12">
        <v>76.746666700000006</v>
      </c>
      <c r="D20" s="12">
        <v>1.9212041</v>
      </c>
      <c r="E20" s="17">
        <v>3.4166666999999999</v>
      </c>
      <c r="F20" s="13">
        <v>19.350000000000001</v>
      </c>
      <c r="G20" s="12">
        <v>4.5564741</v>
      </c>
      <c r="H20" s="12">
        <v>5.3190280000000003</v>
      </c>
      <c r="I20" s="12">
        <v>-5.8008661000000004</v>
      </c>
      <c r="J20" s="12">
        <v>-0.93315800000000004</v>
      </c>
      <c r="K20" s="12">
        <v>1.52789</v>
      </c>
      <c r="L20" s="12">
        <v>7.3112588000000001</v>
      </c>
      <c r="M20" s="12">
        <v>-17.095048899999998</v>
      </c>
      <c r="N20" s="12">
        <v>-5.2321087999999998</v>
      </c>
      <c r="O20" s="12">
        <v>-13.986232899999999</v>
      </c>
      <c r="P20" s="7">
        <v>14042.7</v>
      </c>
      <c r="Q20" s="7">
        <v>3186.1</v>
      </c>
      <c r="R20" s="7">
        <v>18.5</v>
      </c>
      <c r="S20" s="12">
        <v>6.4649627000000001</v>
      </c>
      <c r="T20" s="12">
        <v>11.5</v>
      </c>
      <c r="U20" s="12">
        <v>74.333333300000007</v>
      </c>
      <c r="V20" s="12">
        <v>3.6564667000000002</v>
      </c>
      <c r="W20" s="12">
        <v>-1.2616201</v>
      </c>
      <c r="X20" s="7" t="s">
        <v>107</v>
      </c>
      <c r="Y20" s="7" t="s">
        <v>107</v>
      </c>
      <c r="Z20" s="12">
        <v>-2.9119929999999998</v>
      </c>
      <c r="AA20" s="12">
        <v>58.772269199999997</v>
      </c>
      <c r="AB20" s="12">
        <v>16.710283199999999</v>
      </c>
      <c r="AC20" s="12">
        <v>28.054282199999999</v>
      </c>
      <c r="AD20" s="12">
        <v>26.053517599999999</v>
      </c>
      <c r="AE20" s="12">
        <v>29.590306000000002</v>
      </c>
      <c r="AF20" s="12">
        <v>14.2093341</v>
      </c>
      <c r="AG20" s="12">
        <v>37.256956700000003</v>
      </c>
    </row>
    <row r="21" spans="1:33" s="11" customFormat="1" hidden="1" outlineLevel="1" x14ac:dyDescent="0.3">
      <c r="A21" s="11" t="s">
        <v>27</v>
      </c>
      <c r="B21" s="12">
        <v>7.1740499999999999E-2</v>
      </c>
      <c r="C21" s="12">
        <v>77.180000000000007</v>
      </c>
      <c r="D21" s="12">
        <v>2.3697940000000002</v>
      </c>
      <c r="E21" s="17">
        <v>3.25</v>
      </c>
      <c r="F21" s="13">
        <v>21.1333333</v>
      </c>
      <c r="G21" s="12">
        <v>4.5327197000000004</v>
      </c>
      <c r="H21" s="12">
        <v>4.3745466999999998</v>
      </c>
      <c r="I21" s="12">
        <v>-5.3483422000000003</v>
      </c>
      <c r="J21" s="12">
        <v>1.0299050999999999</v>
      </c>
      <c r="K21" s="12">
        <v>3.8917595</v>
      </c>
      <c r="L21" s="12">
        <v>0.24128240000000001</v>
      </c>
      <c r="M21" s="12">
        <v>-17.1235313</v>
      </c>
      <c r="N21" s="12">
        <v>-3.3612918999999999</v>
      </c>
      <c r="O21" s="12">
        <v>-4.7869475000000001</v>
      </c>
      <c r="P21" s="7">
        <v>13697.1</v>
      </c>
      <c r="Q21" s="7">
        <v>3480.4</v>
      </c>
      <c r="R21" s="7">
        <v>20.3</v>
      </c>
      <c r="S21" s="12">
        <v>5.3351723</v>
      </c>
      <c r="T21" s="12">
        <v>10</v>
      </c>
      <c r="U21" s="12">
        <v>75.333333300000007</v>
      </c>
      <c r="V21" s="12">
        <v>3.6190332999999999</v>
      </c>
      <c r="W21" s="12">
        <v>-0.99079980000000001</v>
      </c>
      <c r="X21" s="7" t="s">
        <v>107</v>
      </c>
      <c r="Y21" s="7" t="s">
        <v>107</v>
      </c>
      <c r="Z21" s="12">
        <v>-3.668981</v>
      </c>
      <c r="AA21" s="12">
        <v>71.989905199999995</v>
      </c>
      <c r="AB21" s="12">
        <v>19.564523600000001</v>
      </c>
      <c r="AC21" s="12">
        <v>12.669041500000001</v>
      </c>
      <c r="AD21" s="12">
        <v>25.569282399999999</v>
      </c>
      <c r="AE21" s="12">
        <v>29.792752700000001</v>
      </c>
      <c r="AF21" s="12">
        <v>17.005072899999998</v>
      </c>
      <c r="AG21" s="12">
        <v>38.9722413</v>
      </c>
    </row>
    <row r="22" spans="1:33" s="11" customFormat="1" hidden="1" outlineLevel="1" x14ac:dyDescent="0.3">
      <c r="A22" s="11" t="s">
        <v>28</v>
      </c>
      <c r="B22" s="12">
        <v>1.2490021</v>
      </c>
      <c r="C22" s="12">
        <v>77.933333300000001</v>
      </c>
      <c r="D22" s="12">
        <v>1.8958379000000001</v>
      </c>
      <c r="E22" s="17">
        <v>3.25</v>
      </c>
      <c r="F22" s="13">
        <v>25.053333299999998</v>
      </c>
      <c r="G22" s="12">
        <v>5.4608283999999996</v>
      </c>
      <c r="H22" s="12">
        <v>5.0051854000000002</v>
      </c>
      <c r="I22" s="12">
        <v>-4.9090075999999998</v>
      </c>
      <c r="J22" s="12">
        <v>2.3982481</v>
      </c>
      <c r="K22" s="12">
        <v>2.8142065000000001</v>
      </c>
      <c r="L22" s="12">
        <v>1.7136769999999999</v>
      </c>
      <c r="M22" s="12">
        <v>-4.6282344000000002</v>
      </c>
      <c r="N22" s="12">
        <v>8.9848523999999994</v>
      </c>
      <c r="O22" s="12">
        <v>4.7085717999999996</v>
      </c>
      <c r="P22" s="7">
        <v>13820.3</v>
      </c>
      <c r="Q22" s="7">
        <v>3432.4</v>
      </c>
      <c r="R22" s="7">
        <v>19.899999999999999</v>
      </c>
      <c r="S22" s="12">
        <v>3.4821184999999999</v>
      </c>
      <c r="T22" s="12">
        <v>8.5</v>
      </c>
      <c r="U22" s="12">
        <v>75.566666699999999</v>
      </c>
      <c r="V22" s="12">
        <v>3.7190666999999999</v>
      </c>
      <c r="W22" s="12">
        <v>-0.57429989999999997</v>
      </c>
      <c r="X22" s="7" t="s">
        <v>107</v>
      </c>
      <c r="Y22" s="7" t="s">
        <v>107</v>
      </c>
      <c r="Z22" s="12">
        <v>-3.5717425999999999</v>
      </c>
      <c r="AA22" s="12">
        <v>67.245670099999998</v>
      </c>
      <c r="AB22" s="12">
        <v>19.866805500000002</v>
      </c>
      <c r="AC22" s="12">
        <v>16.875346700000001</v>
      </c>
      <c r="AD22" s="12">
        <v>28.335845200000001</v>
      </c>
      <c r="AE22" s="12">
        <v>32.323667499999999</v>
      </c>
      <c r="AF22" s="12">
        <v>14.8438766</v>
      </c>
      <c r="AG22" s="12">
        <v>40.456456099999997</v>
      </c>
    </row>
    <row r="23" spans="1:33" s="11" customFormat="1" hidden="1" outlineLevel="1" x14ac:dyDescent="0.3">
      <c r="A23" s="11" t="s">
        <v>29</v>
      </c>
      <c r="B23" s="12">
        <v>1.6677649999999999</v>
      </c>
      <c r="C23" s="12">
        <v>77.973333299999993</v>
      </c>
      <c r="D23" s="12">
        <v>1.9037246000000001</v>
      </c>
      <c r="E23" s="17">
        <v>3.25</v>
      </c>
      <c r="F23" s="13">
        <v>26.93</v>
      </c>
      <c r="G23" s="12">
        <v>5.9453141</v>
      </c>
      <c r="H23" s="12">
        <v>4.1338058999999996</v>
      </c>
      <c r="I23" s="12">
        <v>-3.8663211</v>
      </c>
      <c r="J23" s="12">
        <v>2.6027623000000002</v>
      </c>
      <c r="K23" s="12">
        <v>2.9979724999999999</v>
      </c>
      <c r="L23" s="12">
        <v>3.5240510999999999</v>
      </c>
      <c r="M23" s="12">
        <v>-2.1573042</v>
      </c>
      <c r="N23" s="12">
        <v>2.5934653999999999</v>
      </c>
      <c r="O23" s="12">
        <v>1.1560674</v>
      </c>
      <c r="P23" s="7">
        <v>13888.1</v>
      </c>
      <c r="Q23" s="7">
        <v>3436.5</v>
      </c>
      <c r="R23" s="7">
        <v>19.8</v>
      </c>
      <c r="S23" s="12">
        <v>3.5572583999999998</v>
      </c>
      <c r="T23" s="12">
        <v>7.5</v>
      </c>
      <c r="U23" s="12">
        <v>74.8</v>
      </c>
      <c r="V23" s="12">
        <v>4.0807000000000002</v>
      </c>
      <c r="W23" s="12">
        <v>3.508772</v>
      </c>
      <c r="X23" s="7" t="s">
        <v>107</v>
      </c>
      <c r="Y23" s="7" t="s">
        <v>107</v>
      </c>
      <c r="Z23" s="12">
        <v>-1.6282836000000001</v>
      </c>
      <c r="AA23" s="12">
        <v>66.389325700000001</v>
      </c>
      <c r="AB23" s="12">
        <v>18.4614221</v>
      </c>
      <c r="AC23" s="12">
        <v>18.052600099999999</v>
      </c>
      <c r="AD23" s="12">
        <v>31.459942999999999</v>
      </c>
      <c r="AE23" s="12">
        <v>34.363290900000003</v>
      </c>
      <c r="AF23" s="12">
        <v>7.7078290000000003</v>
      </c>
      <c r="AG23" s="12">
        <v>41.836141699999999</v>
      </c>
    </row>
    <row r="24" spans="1:33" s="11" customFormat="1" hidden="1" outlineLevel="1" x14ac:dyDescent="0.3">
      <c r="A24" s="11" t="s">
        <v>30</v>
      </c>
      <c r="B24" s="12">
        <v>1.208337</v>
      </c>
      <c r="C24" s="12">
        <v>78.4033333</v>
      </c>
      <c r="D24" s="12">
        <v>2.158617</v>
      </c>
      <c r="E24" s="17">
        <v>3.0833333000000001</v>
      </c>
      <c r="F24" s="13">
        <v>26.736666700000001</v>
      </c>
      <c r="G24" s="12">
        <v>3.2668210000000002</v>
      </c>
      <c r="H24" s="12">
        <v>5.1643856000000001</v>
      </c>
      <c r="I24" s="12">
        <v>-5.1419436000000003</v>
      </c>
      <c r="J24" s="12">
        <v>2.0617459999999999</v>
      </c>
      <c r="K24" s="12">
        <v>5.7066451000000002</v>
      </c>
      <c r="L24" s="12">
        <v>2.8122853000000001</v>
      </c>
      <c r="M24" s="12">
        <v>-5.3893545999999999</v>
      </c>
      <c r="N24" s="12">
        <v>10.8094935</v>
      </c>
      <c r="O24" s="12">
        <v>9.5040210999999992</v>
      </c>
      <c r="P24" s="7">
        <v>13722.2</v>
      </c>
      <c r="Q24" s="7">
        <v>3374.7</v>
      </c>
      <c r="R24" s="7">
        <v>19.7</v>
      </c>
      <c r="S24" s="12">
        <v>1.6144919</v>
      </c>
      <c r="T24" s="12">
        <v>6.75</v>
      </c>
      <c r="U24" s="12">
        <v>75.099999999999994</v>
      </c>
      <c r="V24" s="12">
        <v>3.9953666999999999</v>
      </c>
      <c r="W24" s="12">
        <v>3.6987222000000002</v>
      </c>
      <c r="X24" s="7" t="s">
        <v>107</v>
      </c>
      <c r="Y24" s="7" t="s">
        <v>107</v>
      </c>
      <c r="Z24" s="12">
        <v>-2.3142507999999999</v>
      </c>
      <c r="AA24" s="12">
        <v>61.313294499999998</v>
      </c>
      <c r="AB24" s="12">
        <v>16.909943299999998</v>
      </c>
      <c r="AC24" s="12">
        <v>24.9868652</v>
      </c>
      <c r="AD24" s="12">
        <v>29.250177300000001</v>
      </c>
      <c r="AE24" s="12">
        <v>32.460370099999999</v>
      </c>
      <c r="AF24" s="12">
        <v>7.6889628999999999</v>
      </c>
      <c r="AG24" s="12">
        <v>41.696523300000003</v>
      </c>
    </row>
    <row r="25" spans="1:33" s="11" customFormat="1" hidden="1" outlineLevel="1" x14ac:dyDescent="0.3">
      <c r="A25" s="11" t="s">
        <v>31</v>
      </c>
      <c r="B25" s="12">
        <v>1.0748135000000001</v>
      </c>
      <c r="C25" s="12">
        <v>78.856666700000005</v>
      </c>
      <c r="D25" s="12">
        <v>2.1724109</v>
      </c>
      <c r="E25" s="17">
        <v>2.6666666999999999</v>
      </c>
      <c r="F25" s="13">
        <v>31.52</v>
      </c>
      <c r="G25" s="12">
        <v>5.7568637999999996</v>
      </c>
      <c r="H25" s="12">
        <v>2.4732313000000001</v>
      </c>
      <c r="I25" s="12">
        <v>-6.8206784999999996</v>
      </c>
      <c r="J25" s="12">
        <v>2.9848767999999999</v>
      </c>
      <c r="K25" s="12">
        <v>-0.37671890000000002</v>
      </c>
      <c r="L25" s="12">
        <v>1.7104565</v>
      </c>
      <c r="M25" s="12">
        <v>22.857232799999998</v>
      </c>
      <c r="N25" s="12">
        <v>11.336715399999999</v>
      </c>
      <c r="O25" s="12">
        <v>10.0826972</v>
      </c>
      <c r="P25" s="7">
        <v>13348.1</v>
      </c>
      <c r="Q25" s="7">
        <v>3453</v>
      </c>
      <c r="R25" s="7">
        <v>20.6</v>
      </c>
      <c r="S25" s="12">
        <v>1.8091473</v>
      </c>
      <c r="T25" s="12">
        <v>6</v>
      </c>
      <c r="U25" s="12">
        <v>75.566666699999999</v>
      </c>
      <c r="V25" s="12">
        <v>4.1907667000000002</v>
      </c>
      <c r="W25" s="12">
        <v>4.431737</v>
      </c>
      <c r="X25" s="7" t="s">
        <v>107</v>
      </c>
      <c r="Y25" s="7" t="s">
        <v>107</v>
      </c>
      <c r="Z25" s="12">
        <v>-3.9131824000000002</v>
      </c>
      <c r="AA25" s="12">
        <v>70.131240199999993</v>
      </c>
      <c r="AB25" s="12">
        <v>19.845669900000001</v>
      </c>
      <c r="AC25" s="12">
        <v>14.192990699999999</v>
      </c>
      <c r="AD25" s="12">
        <v>30.461768599999999</v>
      </c>
      <c r="AE25" s="12">
        <v>34.631618000000003</v>
      </c>
      <c r="AF25" s="12">
        <v>6.8241442000000001</v>
      </c>
      <c r="AG25" s="12">
        <v>42.9422347</v>
      </c>
    </row>
    <row r="26" spans="1:33" s="11" customFormat="1" hidden="1" outlineLevel="1" x14ac:dyDescent="0.3">
      <c r="A26" s="11" t="s">
        <v>32</v>
      </c>
      <c r="B26" s="12">
        <v>0.33264589999999999</v>
      </c>
      <c r="C26" s="12">
        <v>79.37</v>
      </c>
      <c r="D26" s="12">
        <v>1.843456</v>
      </c>
      <c r="E26" s="17">
        <v>2.3333333000000001</v>
      </c>
      <c r="F26" s="13">
        <v>26.17</v>
      </c>
      <c r="G26" s="12">
        <v>4.9719658000000004</v>
      </c>
      <c r="H26" s="12">
        <v>-6.3758E-3</v>
      </c>
      <c r="I26" s="12">
        <v>-6.9160586000000004</v>
      </c>
      <c r="J26" s="12">
        <v>3.9809383999999999</v>
      </c>
      <c r="K26" s="12">
        <v>1.9711932999999999</v>
      </c>
      <c r="L26" s="12">
        <v>1.1732396</v>
      </c>
      <c r="M26" s="12">
        <v>1.6395275</v>
      </c>
      <c r="N26" s="12">
        <v>10.6159193</v>
      </c>
      <c r="O26" s="12">
        <v>3.0108668000000001</v>
      </c>
      <c r="P26" s="7">
        <v>13656.8</v>
      </c>
      <c r="Q26" s="7">
        <v>3288</v>
      </c>
      <c r="R26" s="7">
        <v>19.399999999999999</v>
      </c>
      <c r="S26" s="12">
        <v>2.4242811999999998</v>
      </c>
      <c r="T26" s="12">
        <v>5.25</v>
      </c>
      <c r="U26" s="12">
        <v>75.866666699999996</v>
      </c>
      <c r="V26" s="12">
        <v>4.3551000000000002</v>
      </c>
      <c r="W26" s="12">
        <v>9.3862815000000008</v>
      </c>
      <c r="X26" s="7" t="s">
        <v>107</v>
      </c>
      <c r="Y26" s="7" t="s">
        <v>107</v>
      </c>
      <c r="Z26" s="12">
        <v>-2.6691533000000001</v>
      </c>
      <c r="AA26" s="12">
        <v>66.0659031</v>
      </c>
      <c r="AB26" s="12">
        <v>19.6665606</v>
      </c>
      <c r="AC26" s="12">
        <v>16.556471899999998</v>
      </c>
      <c r="AD26" s="12">
        <v>32.688164499999999</v>
      </c>
      <c r="AE26" s="12">
        <v>34.977051899999999</v>
      </c>
      <c r="AF26" s="12">
        <v>8.1909109999999998</v>
      </c>
      <c r="AG26" s="12">
        <v>44.153823600000003</v>
      </c>
    </row>
    <row r="27" spans="1:33" s="11" customFormat="1" hidden="1" outlineLevel="1" x14ac:dyDescent="0.3">
      <c r="A27" s="11" t="s">
        <v>33</v>
      </c>
      <c r="B27" s="12">
        <v>0.71308099999999996</v>
      </c>
      <c r="C27" s="12">
        <v>79.47</v>
      </c>
      <c r="D27" s="12">
        <v>1.9194597</v>
      </c>
      <c r="E27" s="17">
        <v>2</v>
      </c>
      <c r="F27" s="13">
        <v>28.45</v>
      </c>
      <c r="G27" s="12">
        <v>4.1482267999999998</v>
      </c>
      <c r="H27" s="12">
        <v>3.1872915000000002</v>
      </c>
      <c r="I27" s="12">
        <v>-4.2553538</v>
      </c>
      <c r="J27" s="12">
        <v>3.3543077000000001</v>
      </c>
      <c r="K27" s="12">
        <v>1.0967927</v>
      </c>
      <c r="L27" s="12">
        <v>4.0477482</v>
      </c>
      <c r="M27" s="12">
        <v>3.4021588999999999</v>
      </c>
      <c r="N27" s="12">
        <v>15.061744600000001</v>
      </c>
      <c r="O27" s="12">
        <v>10.1610801</v>
      </c>
      <c r="P27" s="7">
        <v>13744.1</v>
      </c>
      <c r="Q27" s="7">
        <v>3300</v>
      </c>
      <c r="R27" s="7">
        <v>19.399999999999999</v>
      </c>
      <c r="S27" s="12">
        <v>2.1532716000000001</v>
      </c>
      <c r="T27" s="12">
        <v>5.25</v>
      </c>
      <c r="U27" s="12">
        <v>75.333333300000007</v>
      </c>
      <c r="V27" s="12">
        <v>4.4234</v>
      </c>
      <c r="W27" s="12">
        <v>9.1525423999999997</v>
      </c>
      <c r="X27" s="7" t="s">
        <v>107</v>
      </c>
      <c r="Y27" s="7" t="s">
        <v>107</v>
      </c>
      <c r="Z27" s="12">
        <v>-1.6796156</v>
      </c>
      <c r="AA27" s="12">
        <v>65.472881999999998</v>
      </c>
      <c r="AB27" s="12">
        <v>18.980783599999999</v>
      </c>
      <c r="AC27" s="12">
        <v>18.0052652</v>
      </c>
      <c r="AD27" s="12">
        <v>35.755841199999999</v>
      </c>
      <c r="AE27" s="12">
        <v>38.214724199999999</v>
      </c>
      <c r="AF27" s="12">
        <v>10.119322500000001</v>
      </c>
      <c r="AG27" s="12">
        <v>44.797037600000003</v>
      </c>
    </row>
    <row r="28" spans="1:33" s="11" customFormat="1" hidden="1" outlineLevel="1" x14ac:dyDescent="0.3">
      <c r="A28" s="11" t="s">
        <v>34</v>
      </c>
      <c r="B28" s="12">
        <v>1.3127310999999999</v>
      </c>
      <c r="C28" s="12">
        <v>79.913333300000005</v>
      </c>
      <c r="D28" s="12">
        <v>1.9259385</v>
      </c>
      <c r="E28" s="17">
        <v>2</v>
      </c>
      <c r="F28" s="13">
        <v>29.39</v>
      </c>
      <c r="G28" s="12">
        <v>6.0530685000000002</v>
      </c>
      <c r="H28" s="12">
        <v>3.1730849000000001</v>
      </c>
      <c r="I28" s="12">
        <v>-6.1899964000000001</v>
      </c>
      <c r="J28" s="12">
        <v>3.6331953000000001</v>
      </c>
      <c r="K28" s="12">
        <v>2.5451812</v>
      </c>
      <c r="L28" s="12">
        <v>7.1065322000000002</v>
      </c>
      <c r="M28" s="12">
        <v>0.73830010000000001</v>
      </c>
      <c r="N28" s="12">
        <v>18.491759800000001</v>
      </c>
      <c r="O28" s="12">
        <v>13.8704106</v>
      </c>
      <c r="P28" s="7">
        <v>13718.1</v>
      </c>
      <c r="Q28" s="7">
        <v>3273</v>
      </c>
      <c r="R28" s="7">
        <v>19.3</v>
      </c>
      <c r="S28" s="12">
        <v>4.1140637</v>
      </c>
      <c r="T28" s="12">
        <v>5.25</v>
      </c>
      <c r="U28" s="12">
        <v>76.166666699999993</v>
      </c>
      <c r="V28" s="12">
        <v>4.6240332999999998</v>
      </c>
      <c r="W28" s="12">
        <v>11.9325551</v>
      </c>
      <c r="X28" s="7" t="s">
        <v>107</v>
      </c>
      <c r="Y28" s="7" t="s">
        <v>107</v>
      </c>
      <c r="Z28" s="12">
        <v>-1.9472859</v>
      </c>
      <c r="AA28" s="12">
        <v>59.473185100000002</v>
      </c>
      <c r="AB28" s="12">
        <v>17.447970300000001</v>
      </c>
      <c r="AC28" s="12">
        <v>25.302949699999999</v>
      </c>
      <c r="AD28" s="12">
        <v>34.1900829</v>
      </c>
      <c r="AE28" s="12">
        <v>36.414060800000001</v>
      </c>
      <c r="AF28" s="12">
        <v>13.7483708</v>
      </c>
      <c r="AG28" s="12">
        <v>46.563190499999997</v>
      </c>
    </row>
    <row r="29" spans="1:33" s="11" customFormat="1" hidden="1" outlineLevel="1" x14ac:dyDescent="0.3">
      <c r="A29" s="11" t="s">
        <v>35</v>
      </c>
      <c r="B29" s="12">
        <v>2.4350660999999998</v>
      </c>
      <c r="C29" s="12">
        <v>80.113333299999994</v>
      </c>
      <c r="D29" s="12">
        <v>1.5936086</v>
      </c>
      <c r="E29" s="17">
        <v>2</v>
      </c>
      <c r="F29" s="13">
        <v>31.923333299999999</v>
      </c>
      <c r="G29" s="12">
        <v>2.6742066000000002</v>
      </c>
      <c r="H29" s="12">
        <v>11.7706415</v>
      </c>
      <c r="I29" s="12">
        <v>-2.9921416000000001</v>
      </c>
      <c r="J29" s="12">
        <v>7.1772610999999999</v>
      </c>
      <c r="K29" s="12">
        <v>4.7651059</v>
      </c>
      <c r="L29" s="12">
        <v>3.9555487</v>
      </c>
      <c r="M29" s="12">
        <v>19.020028799999999</v>
      </c>
      <c r="N29" s="12">
        <v>10.9592548</v>
      </c>
      <c r="O29" s="12">
        <v>8.2194132999999994</v>
      </c>
      <c r="P29" s="7">
        <v>13465.2</v>
      </c>
      <c r="Q29" s="7">
        <v>3508.7</v>
      </c>
      <c r="R29" s="7">
        <v>20.7</v>
      </c>
      <c r="S29" s="12">
        <v>5.6504500000000002</v>
      </c>
      <c r="T29" s="12">
        <v>5.25</v>
      </c>
      <c r="U29" s="12">
        <v>76.933333300000001</v>
      </c>
      <c r="V29" s="12">
        <v>4.7779667000000003</v>
      </c>
      <c r="W29" s="12">
        <v>19.0965092</v>
      </c>
      <c r="X29" s="7" t="s">
        <v>107</v>
      </c>
      <c r="Y29" s="7" t="s">
        <v>107</v>
      </c>
      <c r="Z29" s="12">
        <v>-5.9126877000000002</v>
      </c>
      <c r="AA29" s="12">
        <v>68.675861999999995</v>
      </c>
      <c r="AB29" s="12">
        <v>18.972939</v>
      </c>
      <c r="AC29" s="12">
        <v>15.495927099999999</v>
      </c>
      <c r="AD29" s="12">
        <v>33.147009799999999</v>
      </c>
      <c r="AE29" s="12">
        <v>36.291737900000001</v>
      </c>
      <c r="AF29" s="12">
        <v>13.189002</v>
      </c>
      <c r="AG29" s="12">
        <v>45.228600399999998</v>
      </c>
    </row>
    <row r="30" spans="1:33" s="11" customFormat="1" hidden="1" outlineLevel="1" x14ac:dyDescent="0.3">
      <c r="A30" s="11" t="s">
        <v>36</v>
      </c>
      <c r="B30" s="12">
        <v>2.9592486</v>
      </c>
      <c r="C30" s="12">
        <v>81.069999999999993</v>
      </c>
      <c r="D30" s="12">
        <v>2.1418672000000001</v>
      </c>
      <c r="E30" s="17">
        <v>2</v>
      </c>
      <c r="F30" s="13">
        <v>35.446666700000002</v>
      </c>
      <c r="G30" s="12">
        <v>2.1493321000000001</v>
      </c>
      <c r="H30" s="12">
        <v>1.3856923999999999</v>
      </c>
      <c r="I30" s="12">
        <v>-6.7732156000000003</v>
      </c>
      <c r="J30" s="12">
        <v>5.2749734000000004</v>
      </c>
      <c r="K30" s="12">
        <v>5.6343617000000004</v>
      </c>
      <c r="L30" s="12">
        <v>3.3672895</v>
      </c>
      <c r="M30" s="12">
        <v>20.899735400000001</v>
      </c>
      <c r="N30" s="12">
        <v>9.3525025999999993</v>
      </c>
      <c r="O30" s="12">
        <v>16.174585499999999</v>
      </c>
      <c r="P30" s="7">
        <v>13682.3</v>
      </c>
      <c r="Q30" s="7">
        <v>3224.6</v>
      </c>
      <c r="R30" s="7">
        <v>19.100000000000001</v>
      </c>
      <c r="S30" s="12">
        <v>4.5022745999999998</v>
      </c>
      <c r="T30" s="12">
        <v>5.25</v>
      </c>
      <c r="U30" s="12">
        <v>78.433333300000001</v>
      </c>
      <c r="V30" s="12">
        <v>4.6904000000000003</v>
      </c>
      <c r="W30" s="12">
        <v>16.897689700000001</v>
      </c>
      <c r="X30" s="7" t="s">
        <v>107</v>
      </c>
      <c r="Y30" s="7" t="s">
        <v>107</v>
      </c>
      <c r="Z30" s="12">
        <v>-7.0454096000000002</v>
      </c>
      <c r="AA30" s="12">
        <v>66.586496100000005</v>
      </c>
      <c r="AB30" s="12">
        <v>19.030768299999998</v>
      </c>
      <c r="AC30" s="12">
        <v>18.7010161</v>
      </c>
      <c r="AD30" s="12">
        <v>36.920079899999998</v>
      </c>
      <c r="AE30" s="12">
        <v>41.238360499999999</v>
      </c>
      <c r="AF30" s="12">
        <v>16.315742700000001</v>
      </c>
      <c r="AG30" s="12">
        <v>45.783744599999999</v>
      </c>
    </row>
    <row r="31" spans="1:33" s="11" customFormat="1" hidden="1" outlineLevel="1" x14ac:dyDescent="0.3">
      <c r="A31" s="11" t="s">
        <v>37</v>
      </c>
      <c r="B31" s="12">
        <v>2.4141233999999998</v>
      </c>
      <c r="C31" s="12">
        <v>81.156666700000002</v>
      </c>
      <c r="D31" s="12">
        <v>2.1223942</v>
      </c>
      <c r="E31" s="17">
        <v>2</v>
      </c>
      <c r="F31" s="13">
        <v>41.386666699999999</v>
      </c>
      <c r="G31" s="12">
        <v>6.5085607000000003</v>
      </c>
      <c r="H31" s="12">
        <v>6.1605506999999999</v>
      </c>
      <c r="I31" s="12">
        <v>-4.2653333</v>
      </c>
      <c r="J31" s="12">
        <v>3.2412846000000002</v>
      </c>
      <c r="K31" s="12">
        <v>4.8690480000000003</v>
      </c>
      <c r="L31" s="12">
        <v>1.1794355999999999</v>
      </c>
      <c r="M31" s="12">
        <v>11.987307100000001</v>
      </c>
      <c r="N31" s="12">
        <v>2.9021593000000001</v>
      </c>
      <c r="O31" s="12">
        <v>8.9152676</v>
      </c>
      <c r="P31" s="7">
        <v>13969.8</v>
      </c>
      <c r="Q31" s="7">
        <v>3107</v>
      </c>
      <c r="R31" s="7">
        <v>18.2</v>
      </c>
      <c r="S31" s="12">
        <v>4.1406685999999997</v>
      </c>
      <c r="T31" s="12">
        <v>6.5</v>
      </c>
      <c r="U31" s="12">
        <v>78.933333300000001</v>
      </c>
      <c r="V31" s="12">
        <v>4.4236332999999997</v>
      </c>
      <c r="W31" s="12">
        <v>9.9999999000000006</v>
      </c>
      <c r="X31" s="7" t="s">
        <v>107</v>
      </c>
      <c r="Y31" s="7" t="s">
        <v>107</v>
      </c>
      <c r="Z31" s="12">
        <v>-5.3771284000000001</v>
      </c>
      <c r="AA31" s="12">
        <v>66.199746200000007</v>
      </c>
      <c r="AB31" s="12">
        <v>18.089478499999998</v>
      </c>
      <c r="AC31" s="12">
        <v>18.790536400000001</v>
      </c>
      <c r="AD31" s="12">
        <v>35.707987600000003</v>
      </c>
      <c r="AE31" s="12">
        <v>38.787748800000003</v>
      </c>
      <c r="AF31" s="12">
        <v>14.5125537</v>
      </c>
      <c r="AG31" s="12">
        <v>45.858549699999998</v>
      </c>
    </row>
    <row r="32" spans="1:33" s="11" customFormat="1" hidden="1" outlineLevel="1" x14ac:dyDescent="0.3">
      <c r="A32" s="11" t="s">
        <v>38</v>
      </c>
      <c r="B32" s="12">
        <v>2.308249</v>
      </c>
      <c r="C32" s="12">
        <v>81.663333300000005</v>
      </c>
      <c r="D32" s="12">
        <v>2.1898724000000001</v>
      </c>
      <c r="E32" s="17">
        <v>2</v>
      </c>
      <c r="F32" s="13">
        <v>44.163333299999998</v>
      </c>
      <c r="G32" s="12">
        <v>8.1814458999999999</v>
      </c>
      <c r="H32" s="12">
        <v>8.8069431999999992</v>
      </c>
      <c r="I32" s="12">
        <v>-5.7760093000000001</v>
      </c>
      <c r="J32" s="12">
        <v>4.4585670000000004</v>
      </c>
      <c r="K32" s="12">
        <v>2.2088776999999999</v>
      </c>
      <c r="L32" s="12">
        <v>6.5406157</v>
      </c>
      <c r="M32" s="12">
        <v>13.346608099999999</v>
      </c>
      <c r="N32" s="12">
        <v>-2.0191047000000002</v>
      </c>
      <c r="O32" s="12">
        <v>1.9991208</v>
      </c>
      <c r="P32" s="7">
        <v>14058.2</v>
      </c>
      <c r="Q32" s="7">
        <v>3080.8</v>
      </c>
      <c r="R32" s="7">
        <v>18</v>
      </c>
      <c r="S32" s="12">
        <v>2.7790035999999998</v>
      </c>
      <c r="T32" s="12">
        <v>6.5</v>
      </c>
      <c r="U32" s="12">
        <v>79.633333300000004</v>
      </c>
      <c r="V32" s="12">
        <v>4.2369667</v>
      </c>
      <c r="W32" s="12">
        <v>7.1842411000000004</v>
      </c>
      <c r="X32" s="7" t="s">
        <v>107</v>
      </c>
      <c r="Y32" s="7" t="s">
        <v>107</v>
      </c>
      <c r="Z32" s="12">
        <v>-3.0617239000000001</v>
      </c>
      <c r="AA32" s="12">
        <v>57.5836623</v>
      </c>
      <c r="AB32" s="12">
        <v>17.3789561</v>
      </c>
      <c r="AC32" s="12">
        <v>26.632189</v>
      </c>
      <c r="AD32" s="12">
        <v>31.542984799999999</v>
      </c>
      <c r="AE32" s="12">
        <v>33.137867999999997</v>
      </c>
      <c r="AF32" s="12">
        <v>13.3386528</v>
      </c>
      <c r="AG32" s="12">
        <v>45.112963299999997</v>
      </c>
    </row>
    <row r="33" spans="1:33" s="11" customFormat="1" hidden="1" outlineLevel="1" x14ac:dyDescent="0.3">
      <c r="A33" s="11" t="s">
        <v>39</v>
      </c>
      <c r="B33" s="12">
        <v>1.1277817999999999</v>
      </c>
      <c r="C33" s="12">
        <v>81.773333300000004</v>
      </c>
      <c r="D33" s="12">
        <v>2.0720646</v>
      </c>
      <c r="E33" s="17">
        <v>2</v>
      </c>
      <c r="F33" s="13">
        <v>47.696666700000002</v>
      </c>
      <c r="G33" s="12">
        <v>8.0091549999999998</v>
      </c>
      <c r="H33" s="12">
        <v>8.2618346999999996</v>
      </c>
      <c r="I33" s="12">
        <v>-2.9123998000000002</v>
      </c>
      <c r="J33" s="12">
        <v>2.7703967999999999</v>
      </c>
      <c r="K33" s="12">
        <v>1.6189777999999999</v>
      </c>
      <c r="L33" s="12">
        <v>1.0230592000000001</v>
      </c>
      <c r="M33" s="12">
        <v>-1.4709129000000001</v>
      </c>
      <c r="N33" s="12">
        <v>7.1591943000000002</v>
      </c>
      <c r="O33" s="12">
        <v>2.1490999</v>
      </c>
      <c r="P33" s="7">
        <v>13766.6</v>
      </c>
      <c r="Q33" s="7">
        <v>3199.1</v>
      </c>
      <c r="R33" s="7">
        <v>18.899999999999999</v>
      </c>
      <c r="S33" s="12">
        <v>2.0617443</v>
      </c>
      <c r="T33" s="12">
        <v>6</v>
      </c>
      <c r="U33" s="12">
        <v>79.7</v>
      </c>
      <c r="V33" s="12">
        <v>4.0261332999999997</v>
      </c>
      <c r="W33" s="12">
        <v>0.91954020000000003</v>
      </c>
      <c r="X33" s="7" t="s">
        <v>107</v>
      </c>
      <c r="Y33" s="7" t="s">
        <v>107</v>
      </c>
      <c r="Z33" s="12">
        <v>-2.0961889</v>
      </c>
      <c r="AA33" s="12">
        <v>67.387110500000006</v>
      </c>
      <c r="AB33" s="12">
        <v>18.527033400000001</v>
      </c>
      <c r="AC33" s="12">
        <v>15.0447916</v>
      </c>
      <c r="AD33" s="12">
        <v>32.795767400000003</v>
      </c>
      <c r="AE33" s="12">
        <v>33.754746300000001</v>
      </c>
      <c r="AF33" s="12">
        <v>16.781983400000001</v>
      </c>
      <c r="AG33" s="12">
        <v>44.3039585</v>
      </c>
    </row>
    <row r="34" spans="1:33" s="11" customFormat="1" hidden="1" outlineLevel="1" x14ac:dyDescent="0.3">
      <c r="A34" s="11" t="s">
        <v>40</v>
      </c>
      <c r="B34" s="12">
        <v>2.2042253999999999</v>
      </c>
      <c r="C34" s="12">
        <v>82.71</v>
      </c>
      <c r="D34" s="12">
        <v>2.0229431</v>
      </c>
      <c r="E34" s="17">
        <v>2</v>
      </c>
      <c r="F34" s="13">
        <v>51.626666700000001</v>
      </c>
      <c r="G34" s="12">
        <v>8.3133999000000003</v>
      </c>
      <c r="H34" s="12">
        <v>17.554558</v>
      </c>
      <c r="I34" s="12">
        <v>-3.6271048000000001</v>
      </c>
      <c r="J34" s="12">
        <v>1.5819736</v>
      </c>
      <c r="K34" s="12">
        <v>0.43226540000000002</v>
      </c>
      <c r="L34" s="12">
        <v>5.8601510000000001</v>
      </c>
      <c r="M34" s="12">
        <v>-6.5410896000000003</v>
      </c>
      <c r="N34" s="12">
        <v>8.4849887000000006</v>
      </c>
      <c r="O34" s="12">
        <v>4.3684833000000003</v>
      </c>
      <c r="P34" s="7">
        <v>13947.3</v>
      </c>
      <c r="Q34" s="7">
        <v>3071.6</v>
      </c>
      <c r="R34" s="7">
        <v>18.100000000000001</v>
      </c>
      <c r="S34" s="12">
        <v>3.0931049000000002</v>
      </c>
      <c r="T34" s="12">
        <v>5</v>
      </c>
      <c r="U34" s="12">
        <v>80.2</v>
      </c>
      <c r="V34" s="12">
        <v>4.1304667000000004</v>
      </c>
      <c r="W34" s="12">
        <v>2.3150762999999999</v>
      </c>
      <c r="X34" s="7" t="s">
        <v>107</v>
      </c>
      <c r="Y34" s="7" t="s">
        <v>107</v>
      </c>
      <c r="Z34" s="12">
        <v>-1.7820677</v>
      </c>
      <c r="AA34" s="12">
        <v>63.247185999999999</v>
      </c>
      <c r="AB34" s="12">
        <v>19.352890800000001</v>
      </c>
      <c r="AC34" s="12">
        <v>18.8935219</v>
      </c>
      <c r="AD34" s="12">
        <v>35.333212600000003</v>
      </c>
      <c r="AE34" s="12">
        <v>36.826811300000003</v>
      </c>
      <c r="AF34" s="12">
        <v>18.385117399999999</v>
      </c>
      <c r="AG34" s="12">
        <v>45.897145999999999</v>
      </c>
    </row>
    <row r="35" spans="1:33" s="11" customFormat="1" hidden="1" outlineLevel="1" x14ac:dyDescent="0.3">
      <c r="A35" s="11" t="s">
        <v>41</v>
      </c>
      <c r="B35" s="12">
        <v>2.0830310000000001</v>
      </c>
      <c r="C35" s="12">
        <v>83.016666700000002</v>
      </c>
      <c r="D35" s="12">
        <v>2.2918634999999998</v>
      </c>
      <c r="E35" s="17">
        <v>2</v>
      </c>
      <c r="F35" s="13">
        <v>61.47</v>
      </c>
      <c r="G35" s="12">
        <v>6.3683281000000003</v>
      </c>
      <c r="H35" s="12">
        <v>8.4456042999999994</v>
      </c>
      <c r="I35" s="12">
        <v>-3.47614</v>
      </c>
      <c r="J35" s="12">
        <v>4.0961825999999997</v>
      </c>
      <c r="K35" s="12">
        <v>2.4129489</v>
      </c>
      <c r="L35" s="12">
        <v>5.3632486000000004</v>
      </c>
      <c r="M35" s="12">
        <v>2.7633361000000001</v>
      </c>
      <c r="N35" s="12">
        <v>6.9494986000000001</v>
      </c>
      <c r="O35" s="12">
        <v>4.2954470000000002</v>
      </c>
      <c r="P35" s="7">
        <v>14358.5</v>
      </c>
      <c r="Q35" s="7">
        <v>3017.1</v>
      </c>
      <c r="R35" s="7">
        <v>17.399999999999999</v>
      </c>
      <c r="S35" s="12">
        <v>2.6197843999999999</v>
      </c>
      <c r="T35" s="12">
        <v>4.5</v>
      </c>
      <c r="U35" s="12">
        <v>80.3</v>
      </c>
      <c r="V35" s="12">
        <v>4.0194000000000001</v>
      </c>
      <c r="W35" s="12">
        <v>4.6301525999999997</v>
      </c>
      <c r="X35" s="7" t="s">
        <v>107</v>
      </c>
      <c r="Y35" s="7" t="s">
        <v>107</v>
      </c>
      <c r="Z35" s="12">
        <v>-2.7765572000000001</v>
      </c>
      <c r="AA35" s="12">
        <v>63.748090099999999</v>
      </c>
      <c r="AB35" s="12">
        <v>18.2915195</v>
      </c>
      <c r="AC35" s="12">
        <v>19.588159000000001</v>
      </c>
      <c r="AD35" s="12">
        <v>35.776369099999997</v>
      </c>
      <c r="AE35" s="12">
        <v>37.404096799999998</v>
      </c>
      <c r="AF35" s="12">
        <v>22.018671099999999</v>
      </c>
      <c r="AG35" s="12">
        <v>45.557125999999997</v>
      </c>
    </row>
    <row r="36" spans="1:33" s="11" customFormat="1" hidden="1" outlineLevel="1" x14ac:dyDescent="0.3">
      <c r="A36" s="11" t="s">
        <v>42</v>
      </c>
      <c r="B36" s="12">
        <v>2.0666498999999998</v>
      </c>
      <c r="C36" s="12">
        <v>83.51</v>
      </c>
      <c r="D36" s="12">
        <v>2.2613167999999999</v>
      </c>
      <c r="E36" s="17">
        <v>2.0833333000000001</v>
      </c>
      <c r="F36" s="13">
        <v>56.88</v>
      </c>
      <c r="G36" s="12">
        <v>9.4117934999999999</v>
      </c>
      <c r="H36" s="12">
        <v>11.162522900000001</v>
      </c>
      <c r="I36" s="12">
        <v>-5.4917182999999996</v>
      </c>
      <c r="J36" s="12">
        <v>5.3310108999999999</v>
      </c>
      <c r="K36" s="12">
        <v>2.3512366</v>
      </c>
      <c r="L36" s="12">
        <v>1.6217765</v>
      </c>
      <c r="M36" s="12">
        <v>11.826873900000001</v>
      </c>
      <c r="N36" s="12">
        <v>16.775301599999999</v>
      </c>
      <c r="O36" s="12">
        <v>13.7290508</v>
      </c>
      <c r="P36" s="7">
        <v>14389.4</v>
      </c>
      <c r="Q36" s="7">
        <v>2893.7</v>
      </c>
      <c r="R36" s="7">
        <v>16.8</v>
      </c>
      <c r="S36" s="12">
        <v>4.7944614000000003</v>
      </c>
      <c r="T36" s="12">
        <v>4.5</v>
      </c>
      <c r="U36" s="12">
        <v>80.533333299999995</v>
      </c>
      <c r="V36" s="12">
        <v>3.9143667</v>
      </c>
      <c r="W36" s="12">
        <v>8.9729729000000003</v>
      </c>
      <c r="X36" s="7" t="s">
        <v>107</v>
      </c>
      <c r="Y36" s="7" t="s">
        <v>107</v>
      </c>
      <c r="Z36" s="12">
        <v>-2.7523757999999998</v>
      </c>
      <c r="AA36" s="12">
        <v>58.728298799999997</v>
      </c>
      <c r="AB36" s="12">
        <v>17.304883100000001</v>
      </c>
      <c r="AC36" s="12">
        <v>25.115633299999999</v>
      </c>
      <c r="AD36" s="12">
        <v>34.457685900000001</v>
      </c>
      <c r="AE36" s="12">
        <v>35.606501000000002</v>
      </c>
      <c r="AF36" s="12">
        <v>26.037977600000001</v>
      </c>
      <c r="AG36" s="12">
        <v>46.6038383</v>
      </c>
    </row>
    <row r="37" spans="1:33" s="11" customFormat="1" hidden="1" outlineLevel="1" x14ac:dyDescent="0.3">
      <c r="A37" s="11" t="s">
        <v>43</v>
      </c>
      <c r="B37" s="12">
        <v>3.8191847000000001</v>
      </c>
      <c r="C37" s="12">
        <v>83.573333300000002</v>
      </c>
      <c r="D37" s="12">
        <v>2.2012065999999999</v>
      </c>
      <c r="E37" s="17">
        <v>2.3333333000000001</v>
      </c>
      <c r="F37" s="13">
        <v>61.753333300000001</v>
      </c>
      <c r="G37" s="12">
        <v>6.2710749000000003</v>
      </c>
      <c r="H37" s="12">
        <v>7.9301735999999998</v>
      </c>
      <c r="I37" s="12">
        <v>-2.2564662000000002</v>
      </c>
      <c r="J37" s="12">
        <v>5.6630947999999997</v>
      </c>
      <c r="K37" s="12">
        <v>4.5738953999999996</v>
      </c>
      <c r="L37" s="12">
        <v>9.8896861000000005</v>
      </c>
      <c r="M37" s="12">
        <v>8.1491723999999994</v>
      </c>
      <c r="N37" s="12">
        <v>24.2239358</v>
      </c>
      <c r="O37" s="12">
        <v>25.310339599999999</v>
      </c>
      <c r="P37" s="7">
        <v>14098.2</v>
      </c>
      <c r="Q37" s="7">
        <v>2701.4</v>
      </c>
      <c r="R37" s="7">
        <v>16.100000000000001</v>
      </c>
      <c r="S37" s="12">
        <v>4.5840673000000001</v>
      </c>
      <c r="T37" s="12">
        <v>4</v>
      </c>
      <c r="U37" s="12">
        <v>80.433333300000001</v>
      </c>
      <c r="V37" s="12">
        <v>3.8326332999999999</v>
      </c>
      <c r="W37" s="12">
        <v>12.585421500000001</v>
      </c>
      <c r="X37" s="7" t="s">
        <v>107</v>
      </c>
      <c r="Y37" s="7" t="s">
        <v>107</v>
      </c>
      <c r="Z37" s="12">
        <v>-3.5275172000000001</v>
      </c>
      <c r="AA37" s="12">
        <v>67.033992400000002</v>
      </c>
      <c r="AB37" s="12">
        <v>19.472045699999999</v>
      </c>
      <c r="AC37" s="12">
        <v>15.033103799999999</v>
      </c>
      <c r="AD37" s="12">
        <v>37.452561500000002</v>
      </c>
      <c r="AE37" s="12">
        <v>38.991621799999997</v>
      </c>
      <c r="AF37" s="12">
        <v>25.420674699999999</v>
      </c>
      <c r="AG37" s="12">
        <v>45.584053599999997</v>
      </c>
    </row>
    <row r="38" spans="1:33" s="11" customFormat="1" hidden="1" outlineLevel="1" x14ac:dyDescent="0.3">
      <c r="A38" s="11" t="s">
        <v>44</v>
      </c>
      <c r="B38" s="12">
        <v>2.9723983</v>
      </c>
      <c r="C38" s="12">
        <v>84.693333300000006</v>
      </c>
      <c r="D38" s="12">
        <v>2.3979365000000001</v>
      </c>
      <c r="E38" s="17">
        <v>2.5833333000000001</v>
      </c>
      <c r="F38" s="13">
        <v>69.533333299999995</v>
      </c>
      <c r="G38" s="12">
        <v>8.8190246999999999</v>
      </c>
      <c r="H38" s="12">
        <v>8.1265696999999992</v>
      </c>
      <c r="I38" s="12">
        <v>-3.9964583999999999</v>
      </c>
      <c r="J38" s="12">
        <v>7.6331534000000003</v>
      </c>
      <c r="K38" s="12">
        <v>3.3220470999999998</v>
      </c>
      <c r="L38" s="12">
        <v>6.5264753999999998</v>
      </c>
      <c r="M38" s="12">
        <v>25.021779599999999</v>
      </c>
      <c r="N38" s="12">
        <v>14.3814932</v>
      </c>
      <c r="O38" s="12">
        <v>14.3394677</v>
      </c>
      <c r="P38" s="7">
        <v>14459.4</v>
      </c>
      <c r="Q38" s="7">
        <v>2365.1</v>
      </c>
      <c r="R38" s="7">
        <v>14.1</v>
      </c>
      <c r="S38" s="12">
        <v>4.5459453999999999</v>
      </c>
      <c r="T38" s="12">
        <v>4</v>
      </c>
      <c r="U38" s="12">
        <v>81.3</v>
      </c>
      <c r="V38" s="12">
        <v>3.9464000000000001</v>
      </c>
      <c r="W38" s="12">
        <v>12.527593899999999</v>
      </c>
      <c r="X38" s="7" t="s">
        <v>107</v>
      </c>
      <c r="Y38" s="7" t="s">
        <v>107</v>
      </c>
      <c r="Z38" s="12">
        <v>-3.4357350000000002</v>
      </c>
      <c r="AA38" s="12">
        <v>64.414135799999997</v>
      </c>
      <c r="AB38" s="12">
        <v>19.982408700000001</v>
      </c>
      <c r="AC38" s="12">
        <v>17.9213007</v>
      </c>
      <c r="AD38" s="12">
        <v>38.745626999999999</v>
      </c>
      <c r="AE38" s="12">
        <v>41.0633944</v>
      </c>
      <c r="AF38" s="12">
        <v>28.8099709</v>
      </c>
      <c r="AG38" s="12">
        <v>46.796100000000003</v>
      </c>
    </row>
    <row r="39" spans="1:33" s="11" customFormat="1" hidden="1" outlineLevel="1" x14ac:dyDescent="0.3">
      <c r="A39" s="11" t="s">
        <v>45</v>
      </c>
      <c r="B39" s="12">
        <v>3.3099788999999999</v>
      </c>
      <c r="C39" s="12">
        <v>84.873333299999999</v>
      </c>
      <c r="D39" s="12">
        <v>2.2364986</v>
      </c>
      <c r="E39" s="17">
        <v>2.9166666999999999</v>
      </c>
      <c r="F39" s="13">
        <v>69.62</v>
      </c>
      <c r="G39" s="12">
        <v>10.8884583</v>
      </c>
      <c r="H39" s="12">
        <v>12.345014600000001</v>
      </c>
      <c r="I39" s="12">
        <v>-3.0270413999999999</v>
      </c>
      <c r="J39" s="12">
        <v>7.3593954999999998</v>
      </c>
      <c r="K39" s="12">
        <v>4.8756120000000003</v>
      </c>
      <c r="L39" s="12">
        <v>5.2627502000000002</v>
      </c>
      <c r="M39" s="12">
        <v>21.791018699999999</v>
      </c>
      <c r="N39" s="12">
        <v>14.7421226</v>
      </c>
      <c r="O39" s="12">
        <v>16.559520899999999</v>
      </c>
      <c r="P39" s="7">
        <v>14905.5</v>
      </c>
      <c r="Q39" s="7">
        <v>2235</v>
      </c>
      <c r="R39" s="7">
        <v>13.1</v>
      </c>
      <c r="S39" s="12">
        <v>5.3511531000000003</v>
      </c>
      <c r="T39" s="12">
        <v>4</v>
      </c>
      <c r="U39" s="12">
        <v>81.5</v>
      </c>
      <c r="V39" s="12">
        <v>3.9552333000000002</v>
      </c>
      <c r="W39" s="12">
        <v>13.0059363</v>
      </c>
      <c r="X39" s="7" t="s">
        <v>107</v>
      </c>
      <c r="Y39" s="7" t="s">
        <v>107</v>
      </c>
      <c r="Z39" s="12">
        <v>-3.1438470000000001</v>
      </c>
      <c r="AA39" s="12">
        <v>63.455167299999999</v>
      </c>
      <c r="AB39" s="12">
        <v>18.410693500000001</v>
      </c>
      <c r="AC39" s="12">
        <v>20.887803999999999</v>
      </c>
      <c r="AD39" s="12">
        <v>39.040178300000001</v>
      </c>
      <c r="AE39" s="12">
        <v>41.793767600000002</v>
      </c>
      <c r="AF39" s="12">
        <v>31.1409728</v>
      </c>
      <c r="AG39" s="12">
        <v>47.021920999999999</v>
      </c>
    </row>
    <row r="40" spans="1:33" s="11" customFormat="1" hidden="1" outlineLevel="1" x14ac:dyDescent="0.3">
      <c r="A40" s="11" t="s">
        <v>46</v>
      </c>
      <c r="B40" s="12">
        <v>3.7478780999999999</v>
      </c>
      <c r="C40" s="12">
        <v>85.166666699999993</v>
      </c>
      <c r="D40" s="12">
        <v>1.9837944000000001</v>
      </c>
      <c r="E40" s="17">
        <v>3.3333333000000001</v>
      </c>
      <c r="F40" s="13">
        <v>59.68</v>
      </c>
      <c r="G40" s="12">
        <v>7.9745197000000001</v>
      </c>
      <c r="H40" s="12">
        <v>9.9960681999999998</v>
      </c>
      <c r="I40" s="12">
        <v>-4.6340919999999999</v>
      </c>
      <c r="J40" s="12">
        <v>4.1516248999999998</v>
      </c>
      <c r="K40" s="12">
        <v>5.7645337000000003</v>
      </c>
      <c r="L40" s="12">
        <v>0.82958940000000003</v>
      </c>
      <c r="M40" s="12">
        <v>11.883116100000001</v>
      </c>
      <c r="N40" s="12">
        <v>9.9074732000000001</v>
      </c>
      <c r="O40" s="12">
        <v>16.517907600000001</v>
      </c>
      <c r="P40" s="7">
        <v>14911.3</v>
      </c>
      <c r="Q40" s="7">
        <v>2075.6</v>
      </c>
      <c r="R40" s="7">
        <v>12.2</v>
      </c>
      <c r="S40" s="12">
        <v>5.4785896999999997</v>
      </c>
      <c r="T40" s="12">
        <v>4</v>
      </c>
      <c r="U40" s="12">
        <v>81.533333299999995</v>
      </c>
      <c r="V40" s="12">
        <v>3.8462333000000002</v>
      </c>
      <c r="W40" s="12">
        <v>10.664682600000001</v>
      </c>
      <c r="X40" s="7" t="s">
        <v>107</v>
      </c>
      <c r="Y40" s="7" t="s">
        <v>107</v>
      </c>
      <c r="Z40" s="12">
        <v>-4.8545636999999999</v>
      </c>
      <c r="AA40" s="12">
        <v>55.034841100000001</v>
      </c>
      <c r="AB40" s="12">
        <v>16.667962200000002</v>
      </c>
      <c r="AC40" s="12">
        <v>30.9024447</v>
      </c>
      <c r="AD40" s="12">
        <v>36.275256400000004</v>
      </c>
      <c r="AE40" s="12">
        <v>38.8804716</v>
      </c>
      <c r="AF40" s="12">
        <v>33.422157800000001</v>
      </c>
      <c r="AG40" s="12">
        <v>47.271306000000003</v>
      </c>
    </row>
    <row r="41" spans="1:33" s="11" customFormat="1" hidden="1" outlineLevel="1" x14ac:dyDescent="0.3">
      <c r="A41" s="11" t="s">
        <v>47</v>
      </c>
      <c r="B41" s="12">
        <v>3.5234725999999998</v>
      </c>
      <c r="C41" s="12">
        <v>85.39</v>
      </c>
      <c r="D41" s="12">
        <v>2.1737397000000001</v>
      </c>
      <c r="E41" s="17">
        <v>3.5833333000000001</v>
      </c>
      <c r="F41" s="13">
        <v>57.763333299999999</v>
      </c>
      <c r="G41" s="12">
        <v>9.3923273999999992</v>
      </c>
      <c r="H41" s="12">
        <v>18.880162899999998</v>
      </c>
      <c r="I41" s="12">
        <v>1.393743</v>
      </c>
      <c r="J41" s="12">
        <v>7.2576321000000004</v>
      </c>
      <c r="K41" s="12">
        <v>7.2668087999999997</v>
      </c>
      <c r="L41" s="12">
        <v>1.8049568</v>
      </c>
      <c r="M41" s="12">
        <v>30.097786500000002</v>
      </c>
      <c r="N41" s="12">
        <v>11.6594911</v>
      </c>
      <c r="O41" s="12">
        <v>17.698688799999999</v>
      </c>
      <c r="P41" s="7">
        <v>14839.3</v>
      </c>
      <c r="Q41" s="7">
        <v>1894.2</v>
      </c>
      <c r="R41" s="7">
        <v>11.3</v>
      </c>
      <c r="S41" s="12">
        <v>7.7882217999999996</v>
      </c>
      <c r="T41" s="12">
        <v>4</v>
      </c>
      <c r="U41" s="12">
        <v>82.033333299999995</v>
      </c>
      <c r="V41" s="12">
        <v>3.8865666999999999</v>
      </c>
      <c r="W41" s="12">
        <v>12.3419322</v>
      </c>
      <c r="X41" s="7" t="s">
        <v>107</v>
      </c>
      <c r="Y41" s="7" t="s">
        <v>107</v>
      </c>
      <c r="Z41" s="12">
        <v>-5.5641318000000002</v>
      </c>
      <c r="AA41" s="12">
        <v>65.842156299999999</v>
      </c>
      <c r="AB41" s="12">
        <v>19.096727300000001</v>
      </c>
      <c r="AC41" s="12">
        <v>18.256912499999999</v>
      </c>
      <c r="AD41" s="12">
        <v>39.893384300000001</v>
      </c>
      <c r="AE41" s="12">
        <v>43.089070399999997</v>
      </c>
      <c r="AF41" s="12">
        <v>37.7405294</v>
      </c>
      <c r="AG41" s="12">
        <v>43.708842400000002</v>
      </c>
    </row>
    <row r="42" spans="1:33" s="11" customFormat="1" hidden="1" outlineLevel="1" x14ac:dyDescent="0.3">
      <c r="A42" s="11" t="s">
        <v>48</v>
      </c>
      <c r="B42" s="12">
        <v>3.1678283999999999</v>
      </c>
      <c r="C42" s="12">
        <v>86.5</v>
      </c>
      <c r="D42" s="12">
        <v>2.1331864</v>
      </c>
      <c r="E42" s="17">
        <v>3.8333333000000001</v>
      </c>
      <c r="F42" s="13">
        <v>68.583333300000007</v>
      </c>
      <c r="G42" s="12">
        <v>7.4299536000000002</v>
      </c>
      <c r="H42" s="12">
        <v>8.3370441999999993</v>
      </c>
      <c r="I42" s="12">
        <v>-3.5162429999999998</v>
      </c>
      <c r="J42" s="12">
        <v>5.7773576999999996</v>
      </c>
      <c r="K42" s="12">
        <v>7.2305640999999996</v>
      </c>
      <c r="L42" s="12">
        <v>1.73133</v>
      </c>
      <c r="M42" s="12">
        <v>21.073112500000001</v>
      </c>
      <c r="N42" s="12">
        <v>8.6372312999999998</v>
      </c>
      <c r="O42" s="12">
        <v>16.525822900000001</v>
      </c>
      <c r="P42" s="7">
        <v>15152.3</v>
      </c>
      <c r="Q42" s="7">
        <v>1601.5</v>
      </c>
      <c r="R42" s="7">
        <v>9.6</v>
      </c>
      <c r="S42" s="12">
        <v>8.8863581000000007</v>
      </c>
      <c r="T42" s="12">
        <v>4.5</v>
      </c>
      <c r="U42" s="12">
        <v>83.166666699999993</v>
      </c>
      <c r="V42" s="12">
        <v>3.8012332999999998</v>
      </c>
      <c r="W42" s="12">
        <v>8.7297694000000003</v>
      </c>
      <c r="X42" s="7" t="s">
        <v>107</v>
      </c>
      <c r="Y42" s="7" t="s">
        <v>107</v>
      </c>
      <c r="Z42" s="12">
        <v>-6.9788147</v>
      </c>
      <c r="AA42" s="12">
        <v>62.594719499999997</v>
      </c>
      <c r="AB42" s="12">
        <v>19.2911368</v>
      </c>
      <c r="AC42" s="12">
        <v>22.449083900000002</v>
      </c>
      <c r="AD42" s="12">
        <v>38.649235400000002</v>
      </c>
      <c r="AE42" s="12">
        <v>42.984105599999999</v>
      </c>
      <c r="AF42" s="12">
        <v>37.671904099999999</v>
      </c>
      <c r="AG42" s="12">
        <v>43.168551299999997</v>
      </c>
    </row>
    <row r="43" spans="1:33" s="11" customFormat="1" hidden="1" outlineLevel="1" x14ac:dyDescent="0.3">
      <c r="A43" s="11" t="s">
        <v>49</v>
      </c>
      <c r="B43" s="12">
        <v>3.1476855000000001</v>
      </c>
      <c r="C43" s="12">
        <v>86.6</v>
      </c>
      <c r="D43" s="12">
        <v>2.0344042999999998</v>
      </c>
      <c r="E43" s="17">
        <v>4</v>
      </c>
      <c r="F43" s="13">
        <v>74.953333299999997</v>
      </c>
      <c r="G43" s="12">
        <v>5.8741832</v>
      </c>
      <c r="H43" s="12">
        <v>9.6707409999999996</v>
      </c>
      <c r="I43" s="12">
        <v>-1.4754818000000001</v>
      </c>
      <c r="J43" s="12">
        <v>5.7533623</v>
      </c>
      <c r="K43" s="12">
        <v>5.1825478</v>
      </c>
      <c r="L43" s="12">
        <v>0.76742889999999997</v>
      </c>
      <c r="M43" s="12">
        <v>24.223501899999999</v>
      </c>
      <c r="N43" s="12">
        <v>9.8053747999999992</v>
      </c>
      <c r="O43" s="12">
        <v>16.239504700000001</v>
      </c>
      <c r="P43" s="7">
        <v>15432.3</v>
      </c>
      <c r="Q43" s="7">
        <v>1531.2</v>
      </c>
      <c r="R43" s="7">
        <v>9</v>
      </c>
      <c r="S43" s="12">
        <v>9.7526454999999999</v>
      </c>
      <c r="T43" s="12">
        <v>4.75</v>
      </c>
      <c r="U43" s="12">
        <v>83.433333300000001</v>
      </c>
      <c r="V43" s="12">
        <v>3.7896333000000002</v>
      </c>
      <c r="W43" s="12">
        <v>8.1661891000000004</v>
      </c>
      <c r="X43" s="7" t="s">
        <v>107</v>
      </c>
      <c r="Y43" s="7" t="s">
        <v>107</v>
      </c>
      <c r="Z43" s="12">
        <v>-5.6875448000000004</v>
      </c>
      <c r="AA43" s="12">
        <v>62.259555300000002</v>
      </c>
      <c r="AB43" s="12">
        <v>18.041468699999999</v>
      </c>
      <c r="AC43" s="12">
        <v>23.435562099999999</v>
      </c>
      <c r="AD43" s="12">
        <v>40.278511600000002</v>
      </c>
      <c r="AE43" s="12">
        <v>44.015028800000003</v>
      </c>
      <c r="AF43" s="12">
        <v>39.645900599999997</v>
      </c>
      <c r="AG43" s="12">
        <v>43.336297500000001</v>
      </c>
    </row>
    <row r="44" spans="1:33" s="11" customFormat="1" hidden="1" outlineLevel="1" x14ac:dyDescent="0.3">
      <c r="A44" s="11" t="s">
        <v>50</v>
      </c>
      <c r="B44" s="12">
        <v>2.7223932</v>
      </c>
      <c r="C44" s="12">
        <v>87.72</v>
      </c>
      <c r="D44" s="12">
        <v>2.998043</v>
      </c>
      <c r="E44" s="17">
        <v>4</v>
      </c>
      <c r="F44" s="13">
        <v>88.56</v>
      </c>
      <c r="G44" s="12">
        <v>6.2349942</v>
      </c>
      <c r="H44" s="12">
        <v>8.9156365999999991</v>
      </c>
      <c r="I44" s="12">
        <v>-3.4948579999999998</v>
      </c>
      <c r="J44" s="12">
        <v>9.2202915999999995</v>
      </c>
      <c r="K44" s="12">
        <v>2.6482111000000002</v>
      </c>
      <c r="L44" s="12">
        <v>8.3949569999999998</v>
      </c>
      <c r="M44" s="12">
        <v>26.706067000000001</v>
      </c>
      <c r="N44" s="12">
        <v>10.1942293</v>
      </c>
      <c r="O44" s="12">
        <v>13.1917486</v>
      </c>
      <c r="P44" s="7">
        <v>15538</v>
      </c>
      <c r="Q44" s="7">
        <v>1448.1</v>
      </c>
      <c r="R44" s="7">
        <v>8.5</v>
      </c>
      <c r="S44" s="12">
        <v>10.011119900000001</v>
      </c>
      <c r="T44" s="12">
        <v>5</v>
      </c>
      <c r="U44" s="12">
        <v>84.6</v>
      </c>
      <c r="V44" s="12">
        <v>3.6550666999999999</v>
      </c>
      <c r="W44" s="12">
        <v>8.6060063000000007</v>
      </c>
      <c r="X44" s="7" t="s">
        <v>107</v>
      </c>
      <c r="Y44" s="7" t="s">
        <v>107</v>
      </c>
      <c r="Z44" s="12">
        <v>-6.2007105999999999</v>
      </c>
      <c r="AA44" s="12">
        <v>52.595442300000002</v>
      </c>
      <c r="AB44" s="12">
        <v>16.670380099999999</v>
      </c>
      <c r="AC44" s="12">
        <v>34.620692300000002</v>
      </c>
      <c r="AD44" s="12">
        <v>35.780532800000003</v>
      </c>
      <c r="AE44" s="12">
        <v>39.666988400000001</v>
      </c>
      <c r="AF44" s="12">
        <v>37.948764199999999</v>
      </c>
      <c r="AG44" s="12">
        <v>44.499405500000002</v>
      </c>
    </row>
    <row r="45" spans="1:33" s="11" customFormat="1" hidden="1" outlineLevel="1" x14ac:dyDescent="0.3">
      <c r="A45" s="11" t="s">
        <v>51</v>
      </c>
      <c r="B45" s="12">
        <v>1.9060995000000001</v>
      </c>
      <c r="C45" s="12">
        <v>88.42</v>
      </c>
      <c r="D45" s="12">
        <v>3.5484249000000001</v>
      </c>
      <c r="E45" s="17">
        <v>4</v>
      </c>
      <c r="F45" s="13">
        <v>96.936666700000004</v>
      </c>
      <c r="G45" s="12">
        <v>5.9896101000000002</v>
      </c>
      <c r="H45" s="12">
        <v>5.8698208000000003</v>
      </c>
      <c r="I45" s="12">
        <v>1.2858290999999999</v>
      </c>
      <c r="J45" s="12">
        <v>6.3210668999999999</v>
      </c>
      <c r="K45" s="12">
        <v>7.1099924999999997</v>
      </c>
      <c r="L45" s="12">
        <v>2.7137045999999998</v>
      </c>
      <c r="M45" s="12">
        <v>13.187084199999999</v>
      </c>
      <c r="N45" s="12">
        <v>12.3535521</v>
      </c>
      <c r="O45" s="12">
        <v>14.476675200000001</v>
      </c>
      <c r="P45" s="7">
        <v>15515</v>
      </c>
      <c r="Q45" s="7">
        <v>1360.8</v>
      </c>
      <c r="R45" s="7">
        <v>8.1</v>
      </c>
      <c r="S45" s="12">
        <v>11.4950011</v>
      </c>
      <c r="T45" s="12">
        <v>5.75</v>
      </c>
      <c r="U45" s="12">
        <v>85.666666699999993</v>
      </c>
      <c r="V45" s="12">
        <v>3.5741000000000001</v>
      </c>
      <c r="W45" s="12">
        <v>8.4646556000000004</v>
      </c>
      <c r="X45" s="7" t="s">
        <v>107</v>
      </c>
      <c r="Y45" s="7" t="s">
        <v>107</v>
      </c>
      <c r="Z45" s="12">
        <v>-5.5320716000000001</v>
      </c>
      <c r="AA45" s="12">
        <v>66.706441799999993</v>
      </c>
      <c r="AB45" s="12">
        <v>18.696437599999999</v>
      </c>
      <c r="AC45" s="12">
        <v>18.9309832</v>
      </c>
      <c r="AD45" s="12">
        <v>40.401839799999998</v>
      </c>
      <c r="AE45" s="12">
        <v>44.735735599999998</v>
      </c>
      <c r="AF45" s="12">
        <v>37.395584499999998</v>
      </c>
      <c r="AG45" s="12">
        <v>40.6110592</v>
      </c>
    </row>
    <row r="46" spans="1:33" s="11" customFormat="1" hidden="1" outlineLevel="1" x14ac:dyDescent="0.3">
      <c r="A46" s="11" t="s">
        <v>52</v>
      </c>
      <c r="B46" s="12">
        <v>1.9101475000000001</v>
      </c>
      <c r="C46" s="12">
        <v>89.906666700000002</v>
      </c>
      <c r="D46" s="12">
        <v>3.9383430000000001</v>
      </c>
      <c r="E46" s="17">
        <v>4</v>
      </c>
      <c r="F46" s="13">
        <v>121.3966667</v>
      </c>
      <c r="G46" s="12">
        <v>8.6452925</v>
      </c>
      <c r="H46" s="12">
        <v>7.1784398999999999</v>
      </c>
      <c r="I46" s="12">
        <v>-4.0558842999999998</v>
      </c>
      <c r="J46" s="12">
        <v>5.2412527000000004</v>
      </c>
      <c r="K46" s="12">
        <v>6.5936814999999998</v>
      </c>
      <c r="L46" s="12">
        <v>1.6754201</v>
      </c>
      <c r="M46" s="12">
        <v>8.1538564999999998</v>
      </c>
      <c r="N46" s="12">
        <v>12.3026359</v>
      </c>
      <c r="O46" s="12">
        <v>13.6045424</v>
      </c>
      <c r="P46" s="7">
        <v>15689.1</v>
      </c>
      <c r="Q46" s="7">
        <v>1196.0999999999999</v>
      </c>
      <c r="R46" s="7">
        <v>7.1</v>
      </c>
      <c r="S46" s="12">
        <v>11.734871800000001</v>
      </c>
      <c r="T46" s="12">
        <v>6</v>
      </c>
      <c r="U46" s="12">
        <v>86.766666700000002</v>
      </c>
      <c r="V46" s="12">
        <v>3.4064999999999999</v>
      </c>
      <c r="W46" s="12">
        <v>7.4875958000000002</v>
      </c>
      <c r="X46" s="7" t="s">
        <v>107</v>
      </c>
      <c r="Y46" s="7" t="s">
        <v>107</v>
      </c>
      <c r="Z46" s="12">
        <v>-6.9468981000000003</v>
      </c>
      <c r="AA46" s="12">
        <v>64.003379499999994</v>
      </c>
      <c r="AB46" s="12">
        <v>18.821263099999999</v>
      </c>
      <c r="AC46" s="12">
        <v>22.612179699999999</v>
      </c>
      <c r="AD46" s="12">
        <v>39.590820600000001</v>
      </c>
      <c r="AE46" s="12">
        <v>45.027675000000002</v>
      </c>
      <c r="AF46" s="12">
        <v>34.420344700000001</v>
      </c>
      <c r="AG46" s="12">
        <v>41.292468499999998</v>
      </c>
    </row>
    <row r="47" spans="1:33" s="11" customFormat="1" hidden="1" outlineLevel="1" x14ac:dyDescent="0.3">
      <c r="A47" s="11" t="s">
        <v>53</v>
      </c>
      <c r="B47" s="12">
        <v>0.87131639999999999</v>
      </c>
      <c r="C47" s="12">
        <v>90.323333300000002</v>
      </c>
      <c r="D47" s="12">
        <v>4.2994611000000003</v>
      </c>
      <c r="E47" s="17">
        <v>4.25</v>
      </c>
      <c r="F47" s="13">
        <v>114.3966667</v>
      </c>
      <c r="G47" s="12">
        <v>9.6757752000000004</v>
      </c>
      <c r="H47" s="12">
        <v>4.6576113000000001</v>
      </c>
      <c r="I47" s="12">
        <v>-3.4289619</v>
      </c>
      <c r="J47" s="12">
        <v>3.1046168000000001</v>
      </c>
      <c r="K47" s="12">
        <v>6.5943934000000004</v>
      </c>
      <c r="L47" s="12">
        <v>5.6487463</v>
      </c>
      <c r="M47" s="12">
        <v>-0.5564344</v>
      </c>
      <c r="N47" s="12">
        <v>7.8026099999999996</v>
      </c>
      <c r="O47" s="12">
        <v>11.297421999999999</v>
      </c>
      <c r="P47" s="7">
        <v>15990</v>
      </c>
      <c r="Q47" s="7">
        <v>1132.4000000000001</v>
      </c>
      <c r="R47" s="7">
        <v>6.6</v>
      </c>
      <c r="S47" s="12">
        <v>10.734026999999999</v>
      </c>
      <c r="T47" s="12">
        <v>6</v>
      </c>
      <c r="U47" s="12">
        <v>87.066666699999999</v>
      </c>
      <c r="V47" s="12">
        <v>3.3086000000000002</v>
      </c>
      <c r="W47" s="12">
        <v>1.9426049000000001</v>
      </c>
      <c r="X47" s="7" t="s">
        <v>107</v>
      </c>
      <c r="Y47" s="7" t="s">
        <v>107</v>
      </c>
      <c r="Z47" s="12">
        <v>-7.2348828999999997</v>
      </c>
      <c r="AA47" s="12">
        <v>64.151593599999998</v>
      </c>
      <c r="AB47" s="12">
        <v>18.442525100000001</v>
      </c>
      <c r="AC47" s="12">
        <v>23.360850200000002</v>
      </c>
      <c r="AD47" s="12">
        <v>38.718698000000003</v>
      </c>
      <c r="AE47" s="12">
        <v>44.673698600000002</v>
      </c>
      <c r="AF47" s="12">
        <v>33.491689999999998</v>
      </c>
      <c r="AG47" s="12">
        <v>42.135595799999997</v>
      </c>
    </row>
    <row r="48" spans="1:33" s="11" customFormat="1" hidden="1" outlineLevel="1" x14ac:dyDescent="0.3">
      <c r="A48" s="11" t="s">
        <v>54</v>
      </c>
      <c r="B48" s="12">
        <v>-1.9881508000000001</v>
      </c>
      <c r="C48" s="12">
        <v>90.23</v>
      </c>
      <c r="D48" s="12">
        <v>2.8613770999999999</v>
      </c>
      <c r="E48" s="17">
        <v>3.1666666999999999</v>
      </c>
      <c r="F48" s="13">
        <v>54.66</v>
      </c>
      <c r="G48" s="12">
        <v>20.3779404</v>
      </c>
      <c r="H48" s="12">
        <v>10.4199571</v>
      </c>
      <c r="I48" s="12">
        <v>-7.4927650999999997</v>
      </c>
      <c r="J48" s="12">
        <v>2.4983662999999998</v>
      </c>
      <c r="K48" s="12">
        <v>6.3399432999999998</v>
      </c>
      <c r="L48" s="12">
        <v>7.1336539999999999</v>
      </c>
      <c r="M48" s="12">
        <v>-2.998939</v>
      </c>
      <c r="N48" s="12">
        <v>-3.1775536</v>
      </c>
      <c r="O48" s="12">
        <v>-0.28780489999999997</v>
      </c>
      <c r="P48" s="7">
        <v>16005.3</v>
      </c>
      <c r="Q48" s="7">
        <v>1153.5999999999999</v>
      </c>
      <c r="R48" s="7">
        <v>6.7</v>
      </c>
      <c r="S48" s="12">
        <v>7.4587069000000001</v>
      </c>
      <c r="T48" s="12">
        <v>5</v>
      </c>
      <c r="U48" s="12">
        <v>87.633333300000004</v>
      </c>
      <c r="V48" s="12">
        <v>3.7712333</v>
      </c>
      <c r="W48" s="12">
        <v>-6.1494016</v>
      </c>
      <c r="X48" s="7" t="s">
        <v>107</v>
      </c>
      <c r="Y48" s="7" t="s">
        <v>107</v>
      </c>
      <c r="Z48" s="12">
        <v>-7.1263904</v>
      </c>
      <c r="AA48" s="12">
        <v>54.235001099999998</v>
      </c>
      <c r="AB48" s="12">
        <v>18.737477999999999</v>
      </c>
      <c r="AC48" s="12">
        <v>32.362977299999997</v>
      </c>
      <c r="AD48" s="12">
        <v>33.302414900000002</v>
      </c>
      <c r="AE48" s="12">
        <v>38.6378992</v>
      </c>
      <c r="AF48" s="12">
        <v>44.625222600000001</v>
      </c>
      <c r="AG48" s="12">
        <v>46.734952800000002</v>
      </c>
    </row>
    <row r="49" spans="1:33" s="11" customFormat="1" hidden="1" outlineLevel="1" x14ac:dyDescent="0.3">
      <c r="A49" s="11" t="s">
        <v>55</v>
      </c>
      <c r="B49" s="12">
        <v>-5.4359460999999998</v>
      </c>
      <c r="C49" s="12">
        <v>89.88</v>
      </c>
      <c r="D49" s="12">
        <v>1.6512100999999999</v>
      </c>
      <c r="E49" s="17">
        <v>1.8333333000000001</v>
      </c>
      <c r="F49" s="13">
        <v>44.433333300000001</v>
      </c>
      <c r="G49" s="12">
        <v>13.731880200000001</v>
      </c>
      <c r="H49" s="12">
        <v>0.36572640000000001</v>
      </c>
      <c r="I49" s="12">
        <v>-4.0625305999999997</v>
      </c>
      <c r="J49" s="12">
        <v>1.5957752000000001</v>
      </c>
      <c r="K49" s="12">
        <v>4.5970981000000002</v>
      </c>
      <c r="L49" s="12">
        <v>7.8898229999999998</v>
      </c>
      <c r="M49" s="12">
        <v>-25.4282979</v>
      </c>
      <c r="N49" s="12">
        <v>-11.8930682</v>
      </c>
      <c r="O49" s="12">
        <v>-15.0469822</v>
      </c>
      <c r="P49" s="7">
        <v>15714.3</v>
      </c>
      <c r="Q49" s="7">
        <v>1413.8</v>
      </c>
      <c r="R49" s="7">
        <v>8.3000000000000007</v>
      </c>
      <c r="S49" s="12">
        <v>6.5290879000000004</v>
      </c>
      <c r="T49" s="12">
        <v>3.75</v>
      </c>
      <c r="U49" s="12">
        <v>88.766666700000002</v>
      </c>
      <c r="V49" s="12">
        <v>4.4992333000000002</v>
      </c>
      <c r="W49" s="12">
        <v>-10.751349100000001</v>
      </c>
      <c r="X49" s="12">
        <v>-18.922143800000001</v>
      </c>
      <c r="Y49" s="12">
        <v>-25.619576599999998</v>
      </c>
      <c r="Z49" s="12">
        <v>-1.6460702</v>
      </c>
      <c r="AA49" s="12">
        <v>67.027643499999996</v>
      </c>
      <c r="AB49" s="12">
        <v>19.723540400000001</v>
      </c>
      <c r="AC49" s="12">
        <v>13.908932200000001</v>
      </c>
      <c r="AD49" s="12">
        <v>38.795746800000003</v>
      </c>
      <c r="AE49" s="12">
        <v>39.455831699999997</v>
      </c>
      <c r="AF49" s="12">
        <v>43.704521900000003</v>
      </c>
      <c r="AG49" s="12">
        <v>46.148575999999998</v>
      </c>
    </row>
    <row r="50" spans="1:33" s="11" customFormat="1" hidden="1" outlineLevel="1" x14ac:dyDescent="0.3">
      <c r="A50" s="11" t="s">
        <v>56</v>
      </c>
      <c r="B50" s="12">
        <v>-5.8020649999999998</v>
      </c>
      <c r="C50" s="12">
        <v>90.723333299999993</v>
      </c>
      <c r="D50" s="12">
        <v>0.90834930000000003</v>
      </c>
      <c r="E50" s="17">
        <v>1.0833333000000001</v>
      </c>
      <c r="F50" s="13">
        <v>58.696666700000002</v>
      </c>
      <c r="G50" s="12">
        <v>9.0459435999999993</v>
      </c>
      <c r="H50" s="12">
        <v>1.5115200000000001E-2</v>
      </c>
      <c r="I50" s="12">
        <v>-7.5623240999999997</v>
      </c>
      <c r="J50" s="12">
        <v>1.5735816</v>
      </c>
      <c r="K50" s="12">
        <v>2.6416501000000001</v>
      </c>
      <c r="L50" s="12">
        <v>-0.22429489999999999</v>
      </c>
      <c r="M50" s="12">
        <v>-18.566261099999998</v>
      </c>
      <c r="N50" s="12">
        <v>-10.0117323</v>
      </c>
      <c r="O50" s="12">
        <v>-18.0199967</v>
      </c>
      <c r="P50" s="7">
        <v>15846.4</v>
      </c>
      <c r="Q50" s="7">
        <v>1355.1</v>
      </c>
      <c r="R50" s="7">
        <v>7.9</v>
      </c>
      <c r="S50" s="12">
        <v>3.7574993000000001</v>
      </c>
      <c r="T50" s="12">
        <v>3.5</v>
      </c>
      <c r="U50" s="12">
        <v>90.5</v>
      </c>
      <c r="V50" s="12">
        <v>4.4504333000000003</v>
      </c>
      <c r="W50" s="12">
        <v>-7.5535040000000002</v>
      </c>
      <c r="X50" s="12">
        <v>-21.680155299999999</v>
      </c>
      <c r="Y50" s="12">
        <v>-30.058368600000001</v>
      </c>
      <c r="Z50" s="12">
        <v>-4.1810774000000004</v>
      </c>
      <c r="AA50" s="12">
        <v>63.194280499999998</v>
      </c>
      <c r="AB50" s="12">
        <v>18.8917839</v>
      </c>
      <c r="AC50" s="12">
        <v>18.607565399999999</v>
      </c>
      <c r="AD50" s="12">
        <v>38.133817499999999</v>
      </c>
      <c r="AE50" s="12">
        <v>38.827417199999999</v>
      </c>
      <c r="AF50" s="12">
        <v>35.721722200000002</v>
      </c>
      <c r="AG50" s="12">
        <v>46.641934399999997</v>
      </c>
    </row>
    <row r="51" spans="1:33" s="11" customFormat="1" hidden="1" outlineLevel="1" x14ac:dyDescent="0.3">
      <c r="A51" s="11" t="s">
        <v>57</v>
      </c>
      <c r="B51" s="12">
        <v>-4.1677857999999999</v>
      </c>
      <c r="C51" s="12">
        <v>90.663333300000005</v>
      </c>
      <c r="D51" s="12">
        <v>0.37642540000000002</v>
      </c>
      <c r="E51" s="17">
        <v>1</v>
      </c>
      <c r="F51" s="13">
        <v>68.2</v>
      </c>
      <c r="G51" s="12">
        <v>5.8068759999999999</v>
      </c>
      <c r="H51" s="12">
        <v>5.0209301000000002</v>
      </c>
      <c r="I51" s="12">
        <v>-3.6721143000000001</v>
      </c>
      <c r="J51" s="12">
        <v>2.8196419000000001</v>
      </c>
      <c r="K51" s="12">
        <v>3.6456742000000002</v>
      </c>
      <c r="L51" s="12">
        <v>-0.51523229999999998</v>
      </c>
      <c r="M51" s="12">
        <v>-13.3272423</v>
      </c>
      <c r="N51" s="12">
        <v>-5.322902</v>
      </c>
      <c r="O51" s="12">
        <v>-12.5025092</v>
      </c>
      <c r="P51" s="7">
        <v>16026.2</v>
      </c>
      <c r="Q51" s="7">
        <v>1404.3</v>
      </c>
      <c r="R51" s="7">
        <v>8.1</v>
      </c>
      <c r="S51" s="12">
        <v>3.6379716000000002</v>
      </c>
      <c r="T51" s="12">
        <v>3.5</v>
      </c>
      <c r="U51" s="12">
        <v>90.8</v>
      </c>
      <c r="V51" s="12">
        <v>4.1953332999999997</v>
      </c>
      <c r="W51" s="12">
        <v>-1.9922044999999999</v>
      </c>
      <c r="X51" s="12">
        <v>-17.6030227</v>
      </c>
      <c r="Y51" s="12">
        <v>-25.829962399999999</v>
      </c>
      <c r="Z51" s="12">
        <v>-4.4702400999999998</v>
      </c>
      <c r="AA51" s="12">
        <v>63.894285099999998</v>
      </c>
      <c r="AB51" s="12">
        <v>17.8437719</v>
      </c>
      <c r="AC51" s="12">
        <v>19.6524076</v>
      </c>
      <c r="AD51" s="12">
        <v>37.770898799999998</v>
      </c>
      <c r="AE51" s="12">
        <v>39.161363399999999</v>
      </c>
      <c r="AF51" s="12">
        <v>26.266072900000001</v>
      </c>
      <c r="AG51" s="12">
        <v>48.563546600000002</v>
      </c>
    </row>
    <row r="52" spans="1:33" s="11" customFormat="1" hidden="1" outlineLevel="1" x14ac:dyDescent="0.3">
      <c r="A52" s="11" t="s">
        <v>58</v>
      </c>
      <c r="B52" s="12">
        <v>-1.8288317999999999</v>
      </c>
      <c r="C52" s="12">
        <v>91.146666699999997</v>
      </c>
      <c r="D52" s="12">
        <v>1.0159222999999999</v>
      </c>
      <c r="E52" s="17">
        <v>1</v>
      </c>
      <c r="F52" s="13">
        <v>74.63</v>
      </c>
      <c r="G52" s="12">
        <v>7.1731715999999999</v>
      </c>
      <c r="H52" s="12">
        <v>-7.3247562999999998</v>
      </c>
      <c r="I52" s="12">
        <v>-12.8094249</v>
      </c>
      <c r="J52" s="12">
        <v>5.0229628999999996</v>
      </c>
      <c r="K52" s="12">
        <v>2.4657581999999998</v>
      </c>
      <c r="L52" s="12">
        <v>6.1172624999999998</v>
      </c>
      <c r="M52" s="12">
        <v>-1.8784327000000001</v>
      </c>
      <c r="N52" s="12">
        <v>3.9078018999999999</v>
      </c>
      <c r="O52" s="12">
        <v>-4.6881662999999998</v>
      </c>
      <c r="P52" s="7">
        <v>15885.1</v>
      </c>
      <c r="Q52" s="7">
        <v>1471.3</v>
      </c>
      <c r="R52" s="7">
        <v>8.5</v>
      </c>
      <c r="S52" s="12">
        <v>3.8674409000000001</v>
      </c>
      <c r="T52" s="12">
        <v>3.5</v>
      </c>
      <c r="U52" s="12">
        <v>91</v>
      </c>
      <c r="V52" s="12">
        <v>4.1743667000000002</v>
      </c>
      <c r="W52" s="12">
        <v>4.9252418000000002</v>
      </c>
      <c r="X52" s="12">
        <v>-0.66332270000000004</v>
      </c>
      <c r="Y52" s="12">
        <v>-11.376034799999999</v>
      </c>
      <c r="Z52" s="12">
        <v>-4.7988990999999999</v>
      </c>
      <c r="AA52" s="12">
        <v>53.908798400000002</v>
      </c>
      <c r="AB52" s="12">
        <v>18.619417200000001</v>
      </c>
      <c r="AC52" s="12">
        <v>28.617402299999998</v>
      </c>
      <c r="AD52" s="12">
        <v>34.347788899999998</v>
      </c>
      <c r="AE52" s="12">
        <v>35.493406800000002</v>
      </c>
      <c r="AF52" s="12">
        <v>11.9617626</v>
      </c>
      <c r="AG52" s="12">
        <v>49.820885199999999</v>
      </c>
    </row>
    <row r="53" spans="1:33" s="11" customFormat="1" hidden="1" outlineLevel="1" x14ac:dyDescent="0.3">
      <c r="A53" s="11" t="s">
        <v>59</v>
      </c>
      <c r="B53" s="12">
        <v>1.1991562</v>
      </c>
      <c r="C53" s="12">
        <v>91.416666699999993</v>
      </c>
      <c r="D53" s="12">
        <v>1.709687</v>
      </c>
      <c r="E53" s="17">
        <v>1</v>
      </c>
      <c r="F53" s="13">
        <v>76.25</v>
      </c>
      <c r="G53" s="12">
        <v>2.6268823000000001</v>
      </c>
      <c r="H53" s="12">
        <v>3.1822297000000002</v>
      </c>
      <c r="I53" s="12">
        <v>-3.8578850999999998</v>
      </c>
      <c r="J53" s="12">
        <v>0.97712690000000002</v>
      </c>
      <c r="K53" s="12">
        <v>2.3941270000000001</v>
      </c>
      <c r="L53" s="12">
        <v>-1.1503637</v>
      </c>
      <c r="M53" s="12">
        <v>-2.9950549999999998</v>
      </c>
      <c r="N53" s="12">
        <v>9.8607980000000008</v>
      </c>
      <c r="O53" s="12">
        <v>10.0735188</v>
      </c>
      <c r="P53" s="7">
        <v>15574.2</v>
      </c>
      <c r="Q53" s="7">
        <v>1838.9</v>
      </c>
      <c r="R53" s="7">
        <v>10.6</v>
      </c>
      <c r="S53" s="12">
        <v>2.7594530000000002</v>
      </c>
      <c r="T53" s="12">
        <v>3.5</v>
      </c>
      <c r="U53" s="12">
        <v>91.766666700000002</v>
      </c>
      <c r="V53" s="12">
        <v>3.9917666999999999</v>
      </c>
      <c r="W53" s="12">
        <v>10.2325581</v>
      </c>
      <c r="X53" s="12">
        <v>16.471349700000001</v>
      </c>
      <c r="Y53" s="12">
        <v>19.802325400000001</v>
      </c>
      <c r="Z53" s="12">
        <v>-5.1035779000000003</v>
      </c>
      <c r="AA53" s="12">
        <v>68.533265</v>
      </c>
      <c r="AB53" s="12">
        <v>19.849258599999999</v>
      </c>
      <c r="AC53" s="12">
        <v>13.325956700000001</v>
      </c>
      <c r="AD53" s="12">
        <v>39.132436800000001</v>
      </c>
      <c r="AE53" s="12">
        <v>40.840916999999997</v>
      </c>
      <c r="AF53" s="12">
        <v>5.7403738999999998</v>
      </c>
      <c r="AG53" s="12">
        <v>48.9237769</v>
      </c>
    </row>
    <row r="54" spans="1:33" s="11" customFormat="1" hidden="1" outlineLevel="1" x14ac:dyDescent="0.3">
      <c r="A54" s="11" t="s">
        <v>60</v>
      </c>
      <c r="B54" s="12">
        <v>2.6157658000000001</v>
      </c>
      <c r="C54" s="12">
        <v>92.57</v>
      </c>
      <c r="D54" s="12">
        <v>2.0354926</v>
      </c>
      <c r="E54" s="17">
        <v>1</v>
      </c>
      <c r="F54" s="13">
        <v>78.510000000000005</v>
      </c>
      <c r="G54" s="12">
        <v>7.6813551999999996</v>
      </c>
      <c r="H54" s="12">
        <v>7.0587080999999996</v>
      </c>
      <c r="I54" s="12">
        <v>-7.9723585999999997</v>
      </c>
      <c r="J54" s="12">
        <v>3.0234426999999999</v>
      </c>
      <c r="K54" s="12">
        <v>2.7936157000000001</v>
      </c>
      <c r="L54" s="12">
        <v>2.1339096</v>
      </c>
      <c r="M54" s="12">
        <v>10.8078336</v>
      </c>
      <c r="N54" s="12">
        <v>17.671410600000002</v>
      </c>
      <c r="O54" s="12">
        <v>21.019496499999999</v>
      </c>
      <c r="P54" s="7">
        <v>15994.2</v>
      </c>
      <c r="Q54" s="7">
        <v>1682</v>
      </c>
      <c r="R54" s="7">
        <v>9.6</v>
      </c>
      <c r="S54" s="12">
        <v>3.8090163000000001</v>
      </c>
      <c r="T54" s="12">
        <v>3.5</v>
      </c>
      <c r="U54" s="12">
        <v>92.666666699999993</v>
      </c>
      <c r="V54" s="12">
        <v>4.0134667000000004</v>
      </c>
      <c r="W54" s="12">
        <v>12.573763100000001</v>
      </c>
      <c r="X54" s="12">
        <v>27.858322099999999</v>
      </c>
      <c r="Y54" s="12">
        <v>30.858595300000001</v>
      </c>
      <c r="Z54" s="12">
        <v>-3.8891344000000001</v>
      </c>
      <c r="AA54" s="12">
        <v>63.532733</v>
      </c>
      <c r="AB54" s="12">
        <v>19.062149699999999</v>
      </c>
      <c r="AC54" s="12">
        <v>19.027016199999998</v>
      </c>
      <c r="AD54" s="12">
        <v>41.847352000000001</v>
      </c>
      <c r="AE54" s="12">
        <v>43.469250899999999</v>
      </c>
      <c r="AF54" s="12">
        <v>13.056105499999999</v>
      </c>
      <c r="AG54" s="12">
        <v>51.820104700000002</v>
      </c>
    </row>
    <row r="55" spans="1:33" s="11" customFormat="1" hidden="1" outlineLevel="1" x14ac:dyDescent="0.3">
      <c r="A55" s="11" t="s">
        <v>61</v>
      </c>
      <c r="B55" s="12">
        <v>2.4618717000000001</v>
      </c>
      <c r="C55" s="12">
        <v>92.583333300000007</v>
      </c>
      <c r="D55" s="12">
        <v>2.1177248999999998</v>
      </c>
      <c r="E55" s="17">
        <v>1</v>
      </c>
      <c r="F55" s="13">
        <v>76.819999999999993</v>
      </c>
      <c r="G55" s="12">
        <v>9.5044118999999991</v>
      </c>
      <c r="H55" s="12">
        <v>6.0915775999999999</v>
      </c>
      <c r="I55" s="12">
        <v>-5.1063179999999999</v>
      </c>
      <c r="J55" s="12">
        <v>4.1931943</v>
      </c>
      <c r="K55" s="12">
        <v>3.7528967</v>
      </c>
      <c r="L55" s="12">
        <v>7.1743290000000002</v>
      </c>
      <c r="M55" s="12">
        <v>7.0039936000000003</v>
      </c>
      <c r="N55" s="12">
        <v>10.873749</v>
      </c>
      <c r="O55" s="12">
        <v>12.9109912</v>
      </c>
      <c r="P55" s="7">
        <v>16198.9</v>
      </c>
      <c r="Q55" s="7">
        <v>1627.4</v>
      </c>
      <c r="R55" s="7">
        <v>9.1999999999999993</v>
      </c>
      <c r="S55" s="12">
        <v>3.3336459999999999</v>
      </c>
      <c r="T55" s="12">
        <v>3.5</v>
      </c>
      <c r="U55" s="12">
        <v>92.7</v>
      </c>
      <c r="V55" s="12">
        <v>4.0087000000000002</v>
      </c>
      <c r="W55" s="12">
        <v>12.063632399999999</v>
      </c>
      <c r="X55" s="12">
        <v>22.3157985</v>
      </c>
      <c r="Y55" s="12">
        <v>26.700481799999999</v>
      </c>
      <c r="Z55" s="12">
        <v>-6.1528185000000004</v>
      </c>
      <c r="AA55" s="12">
        <v>64.079129600000002</v>
      </c>
      <c r="AB55" s="12">
        <v>19.070238100000001</v>
      </c>
      <c r="AC55" s="12">
        <v>19.8496056</v>
      </c>
      <c r="AD55" s="12">
        <v>41.907983100000003</v>
      </c>
      <c r="AE55" s="12">
        <v>44.906956399999999</v>
      </c>
      <c r="AF55" s="12">
        <v>12.367709</v>
      </c>
      <c r="AG55" s="12">
        <v>53.489132499999997</v>
      </c>
    </row>
    <row r="56" spans="1:33" s="11" customFormat="1" hidden="1" outlineLevel="1" x14ac:dyDescent="0.3">
      <c r="A56" s="11" t="s">
        <v>62</v>
      </c>
      <c r="B56" s="12">
        <v>2.3931737000000002</v>
      </c>
      <c r="C56" s="12">
        <v>93.383333300000004</v>
      </c>
      <c r="D56" s="12">
        <v>2.4539203000000001</v>
      </c>
      <c r="E56" s="17">
        <v>1</v>
      </c>
      <c r="F56" s="13">
        <v>86.466666700000005</v>
      </c>
      <c r="G56" s="12">
        <v>9.3135223000000007</v>
      </c>
      <c r="H56" s="12">
        <v>13.177531399999999</v>
      </c>
      <c r="I56" s="12">
        <v>-12.023037199999999</v>
      </c>
      <c r="J56" s="12">
        <v>3.4070610000000001</v>
      </c>
      <c r="K56" s="12">
        <v>2.1093795000000002</v>
      </c>
      <c r="L56" s="12">
        <v>3.5092132999999999</v>
      </c>
      <c r="M56" s="12">
        <v>8.5952026000000004</v>
      </c>
      <c r="N56" s="12">
        <v>11.5007622</v>
      </c>
      <c r="O56" s="12">
        <v>13.3670255</v>
      </c>
      <c r="P56" s="7">
        <v>16074.9</v>
      </c>
      <c r="Q56" s="7">
        <v>1649.1</v>
      </c>
      <c r="R56" s="7">
        <v>9.3000000000000007</v>
      </c>
      <c r="S56" s="12">
        <v>4.2933307000000003</v>
      </c>
      <c r="T56" s="12">
        <v>3.5</v>
      </c>
      <c r="U56" s="12">
        <v>93.466666700000005</v>
      </c>
      <c r="V56" s="12">
        <v>3.9659333000000001</v>
      </c>
      <c r="W56" s="12">
        <v>9.8072087000000003</v>
      </c>
      <c r="X56" s="12">
        <v>22.280195599999999</v>
      </c>
      <c r="Y56" s="12">
        <v>28.024437800000001</v>
      </c>
      <c r="Z56" s="12">
        <v>-5.4318197000000001</v>
      </c>
      <c r="AA56" s="12">
        <v>54.033363299999998</v>
      </c>
      <c r="AB56" s="12">
        <v>19.1200914</v>
      </c>
      <c r="AC56" s="12">
        <v>29.845716599999999</v>
      </c>
      <c r="AD56" s="12">
        <v>37.770401300000003</v>
      </c>
      <c r="AE56" s="12">
        <v>40.769572699999998</v>
      </c>
      <c r="AF56" s="12">
        <v>13.9553954</v>
      </c>
      <c r="AG56" s="12">
        <v>54.010337700000001</v>
      </c>
    </row>
    <row r="57" spans="1:33" s="11" customFormat="1" hidden="1" outlineLevel="1" x14ac:dyDescent="0.3">
      <c r="A57" s="11" t="s">
        <v>63</v>
      </c>
      <c r="B57" s="12">
        <v>3.2110127999999998</v>
      </c>
      <c r="C57" s="12">
        <v>94.073333300000002</v>
      </c>
      <c r="D57" s="12">
        <v>2.9061075000000001</v>
      </c>
      <c r="E57" s="17">
        <v>1</v>
      </c>
      <c r="F57" s="13">
        <v>104.96</v>
      </c>
      <c r="G57" s="12">
        <v>7.1332884999999999</v>
      </c>
      <c r="H57" s="12">
        <v>10.206253800000001</v>
      </c>
      <c r="I57" s="12">
        <v>-2.6483994000000002</v>
      </c>
      <c r="J57" s="12">
        <v>5.0322407</v>
      </c>
      <c r="K57" s="12">
        <v>2.4644838</v>
      </c>
      <c r="L57" s="12">
        <v>0.69319330000000001</v>
      </c>
      <c r="M57" s="12">
        <v>19.6647271</v>
      </c>
      <c r="N57" s="12">
        <v>12.987361699999999</v>
      </c>
      <c r="O57" s="12">
        <v>11.1575396</v>
      </c>
      <c r="P57" s="7">
        <v>15874.8</v>
      </c>
      <c r="Q57" s="7">
        <v>1771.4</v>
      </c>
      <c r="R57" s="7">
        <v>10.1</v>
      </c>
      <c r="S57" s="12">
        <v>4.3387291000000001</v>
      </c>
      <c r="T57" s="12">
        <v>3.75</v>
      </c>
      <c r="U57" s="12">
        <v>95.1</v>
      </c>
      <c r="V57" s="12">
        <v>3.9434999999999998</v>
      </c>
      <c r="W57" s="12">
        <v>8.6919831999999992</v>
      </c>
      <c r="X57" s="12">
        <v>20.9948713</v>
      </c>
      <c r="Y57" s="12">
        <v>20.113385999999998</v>
      </c>
      <c r="Z57" s="12">
        <v>-4.3069743999999996</v>
      </c>
      <c r="AA57" s="12">
        <v>68.025867899999994</v>
      </c>
      <c r="AB57" s="12">
        <v>19.260367500000001</v>
      </c>
      <c r="AC57" s="12">
        <v>14.265544500000001</v>
      </c>
      <c r="AD57" s="12">
        <v>43.289695500000001</v>
      </c>
      <c r="AE57" s="12">
        <v>44.841475299999999</v>
      </c>
      <c r="AF57" s="12">
        <v>13.2909439</v>
      </c>
      <c r="AG57" s="12">
        <v>51.711431400000002</v>
      </c>
    </row>
    <row r="58" spans="1:33" s="11" customFormat="1" hidden="1" outlineLevel="1" x14ac:dyDescent="0.3">
      <c r="A58" s="11" t="s">
        <v>64</v>
      </c>
      <c r="B58" s="12">
        <v>2.1036085</v>
      </c>
      <c r="C58" s="12">
        <v>95.516666700000002</v>
      </c>
      <c r="D58" s="12">
        <v>3.1831767000000002</v>
      </c>
      <c r="E58" s="17">
        <v>1.25</v>
      </c>
      <c r="F58" s="13">
        <v>117.36</v>
      </c>
      <c r="G58" s="12">
        <v>1.7910461</v>
      </c>
      <c r="H58" s="12">
        <v>8.3306114000000004</v>
      </c>
      <c r="I58" s="12">
        <v>-5.1984002</v>
      </c>
      <c r="J58" s="12">
        <v>5.0639589000000003</v>
      </c>
      <c r="K58" s="12">
        <v>3.0246360999999999</v>
      </c>
      <c r="L58" s="12">
        <v>-1.1043537000000001</v>
      </c>
      <c r="M58" s="12">
        <v>16.831614900000002</v>
      </c>
      <c r="N58" s="12">
        <v>6.0536439</v>
      </c>
      <c r="O58" s="12">
        <v>5.2884443000000001</v>
      </c>
      <c r="P58" s="7">
        <v>16163.1</v>
      </c>
      <c r="Q58" s="7">
        <v>1689.9</v>
      </c>
      <c r="R58" s="7">
        <v>9.5</v>
      </c>
      <c r="S58" s="12">
        <v>5.2554309000000003</v>
      </c>
      <c r="T58" s="12">
        <v>4.5</v>
      </c>
      <c r="U58" s="12">
        <v>96.4</v>
      </c>
      <c r="V58" s="12">
        <v>3.96</v>
      </c>
      <c r="W58" s="12">
        <v>5.5645160999999996</v>
      </c>
      <c r="X58" s="12">
        <v>12.7854475</v>
      </c>
      <c r="Y58" s="12">
        <v>14.854476500000001</v>
      </c>
      <c r="Z58" s="12">
        <v>-6.0978624999999997</v>
      </c>
      <c r="AA58" s="12">
        <v>63.392213499999997</v>
      </c>
      <c r="AB58" s="12">
        <v>18.1769395</v>
      </c>
      <c r="AC58" s="12">
        <v>20.796350799999999</v>
      </c>
      <c r="AD58" s="12">
        <v>43.135983299999999</v>
      </c>
      <c r="AE58" s="12">
        <v>45.501487099999999</v>
      </c>
      <c r="AF58" s="12">
        <v>9.3773725999999993</v>
      </c>
      <c r="AG58" s="12">
        <v>52.495074500000001</v>
      </c>
    </row>
    <row r="59" spans="1:33" s="11" customFormat="1" hidden="1" outlineLevel="1" x14ac:dyDescent="0.3">
      <c r="A59" s="11" t="s">
        <v>65</v>
      </c>
      <c r="B59" s="12">
        <v>1.8176159000000001</v>
      </c>
      <c r="C59" s="12">
        <v>95.433333300000001</v>
      </c>
      <c r="D59" s="12">
        <v>3.0783078000000001</v>
      </c>
      <c r="E59" s="17">
        <v>1.5</v>
      </c>
      <c r="F59" s="13">
        <v>113.34</v>
      </c>
      <c r="G59" s="12">
        <v>3.2818773000000001</v>
      </c>
      <c r="H59" s="12">
        <v>13.054181099999999</v>
      </c>
      <c r="I59" s="12">
        <v>-1.2824803</v>
      </c>
      <c r="J59" s="12">
        <v>5.4609674999999998</v>
      </c>
      <c r="K59" s="12">
        <v>2.5921641000000002</v>
      </c>
      <c r="L59" s="12">
        <v>-5.6907395999999997</v>
      </c>
      <c r="M59" s="12">
        <v>17.835678600000001</v>
      </c>
      <c r="N59" s="12">
        <v>7.8102821000000002</v>
      </c>
      <c r="O59" s="12">
        <v>4.0141349000000002</v>
      </c>
      <c r="P59" s="7">
        <v>16283.4</v>
      </c>
      <c r="Q59" s="7">
        <v>1679.4</v>
      </c>
      <c r="R59" s="7">
        <v>9.3000000000000007</v>
      </c>
      <c r="S59" s="12">
        <v>5.2758324999999999</v>
      </c>
      <c r="T59" s="12">
        <v>4.5</v>
      </c>
      <c r="U59" s="12">
        <v>96.1</v>
      </c>
      <c r="V59" s="12">
        <v>4.1508333000000004</v>
      </c>
      <c r="W59" s="12">
        <v>5.4022081999999996</v>
      </c>
      <c r="X59" s="12">
        <v>8.8240929999999995</v>
      </c>
      <c r="Y59" s="12">
        <v>6.5936107000000002</v>
      </c>
      <c r="Z59" s="12">
        <v>-5.9917046999999997</v>
      </c>
      <c r="AA59" s="12">
        <v>63.2080001</v>
      </c>
      <c r="AB59" s="12">
        <v>17.268209599999999</v>
      </c>
      <c r="AC59" s="12">
        <v>21.637238199999999</v>
      </c>
      <c r="AD59" s="12">
        <v>43.618255099999999</v>
      </c>
      <c r="AE59" s="12">
        <v>45.731703000000003</v>
      </c>
      <c r="AF59" s="12">
        <v>14.519405300000001</v>
      </c>
      <c r="AG59" s="12">
        <v>53.779347999999999</v>
      </c>
    </row>
    <row r="60" spans="1:33" s="11" customFormat="1" hidden="1" outlineLevel="1" x14ac:dyDescent="0.3">
      <c r="A60" s="11" t="s">
        <v>66</v>
      </c>
      <c r="B60" s="12">
        <v>0.47384009999999999</v>
      </c>
      <c r="C60" s="12">
        <v>96.41</v>
      </c>
      <c r="D60" s="12">
        <v>3.2411208999999999</v>
      </c>
      <c r="E60" s="17">
        <v>1.25</v>
      </c>
      <c r="F60" s="13">
        <v>109.3966667</v>
      </c>
      <c r="G60" s="12">
        <v>4.1340843999999999</v>
      </c>
      <c r="H60" s="12">
        <v>8.6921721999999999</v>
      </c>
      <c r="I60" s="12">
        <v>-9.9781033000000008</v>
      </c>
      <c r="J60" s="12">
        <v>4.6677149</v>
      </c>
      <c r="K60" s="12">
        <v>1.8865691</v>
      </c>
      <c r="L60" s="12">
        <v>-1.1660212999999999</v>
      </c>
      <c r="M60" s="12">
        <v>9.1593139000000008</v>
      </c>
      <c r="N60" s="12">
        <v>4.5561229000000001</v>
      </c>
      <c r="O60" s="12">
        <v>0.89947869999999996</v>
      </c>
      <c r="P60" s="7">
        <v>16200.6</v>
      </c>
      <c r="Q60" s="7">
        <v>1749.7</v>
      </c>
      <c r="R60" s="7">
        <v>9.8000000000000007</v>
      </c>
      <c r="S60" s="12">
        <v>4.6322292000000003</v>
      </c>
      <c r="T60" s="12">
        <v>4.5</v>
      </c>
      <c r="U60" s="12">
        <v>97.433333300000001</v>
      </c>
      <c r="V60" s="12">
        <v>4.4204667000000004</v>
      </c>
      <c r="W60" s="12">
        <v>7.4045801999999998</v>
      </c>
      <c r="X60" s="12">
        <v>5.1208314000000001</v>
      </c>
      <c r="Y60" s="12">
        <v>3.4840854000000001</v>
      </c>
      <c r="Z60" s="12">
        <v>-4.0427384000000002</v>
      </c>
      <c r="AA60" s="12">
        <v>53.065359200000003</v>
      </c>
      <c r="AB60" s="12">
        <v>18.194957500000001</v>
      </c>
      <c r="AC60" s="12">
        <v>31.171726499999998</v>
      </c>
      <c r="AD60" s="12">
        <v>40.609812099999999</v>
      </c>
      <c r="AE60" s="12">
        <v>43.041855300000002</v>
      </c>
      <c r="AF60" s="12">
        <v>11.9335399</v>
      </c>
      <c r="AG60" s="12">
        <v>55.133714900000001</v>
      </c>
    </row>
    <row r="61" spans="1:33" s="11" customFormat="1" hidden="1" outlineLevel="1" x14ac:dyDescent="0.3">
      <c r="A61" s="11" t="s">
        <v>67</v>
      </c>
      <c r="B61" s="12">
        <v>3.7986600000000002E-2</v>
      </c>
      <c r="C61" s="12">
        <v>96.803333300000006</v>
      </c>
      <c r="D61" s="12">
        <v>2.9019914</v>
      </c>
      <c r="E61" s="17">
        <v>1</v>
      </c>
      <c r="F61" s="13">
        <v>118.49</v>
      </c>
      <c r="G61" s="12">
        <v>5.0847842999999999</v>
      </c>
      <c r="H61" s="12">
        <v>7.3459287</v>
      </c>
      <c r="I61" s="12">
        <v>-1.7382419</v>
      </c>
      <c r="J61" s="12">
        <v>3.4318781</v>
      </c>
      <c r="K61" s="12">
        <v>2.1203270000000001</v>
      </c>
      <c r="L61" s="12">
        <v>-1.4839817</v>
      </c>
      <c r="M61" s="12">
        <v>7.4284344000000004</v>
      </c>
      <c r="N61" s="12">
        <v>5.4584647000000004</v>
      </c>
      <c r="O61" s="12">
        <v>3.0129342000000001</v>
      </c>
      <c r="P61" s="7">
        <v>15397.4</v>
      </c>
      <c r="Q61" s="7">
        <v>1808.6</v>
      </c>
      <c r="R61" s="7">
        <v>10.5</v>
      </c>
      <c r="S61" s="12">
        <v>5.3422568999999998</v>
      </c>
      <c r="T61" s="12">
        <v>4.5</v>
      </c>
      <c r="U61" s="12">
        <v>99.033333299999995</v>
      </c>
      <c r="V61" s="12">
        <v>4.2321666999999996</v>
      </c>
      <c r="W61" s="12">
        <v>4.4254657999999996</v>
      </c>
      <c r="X61" s="12">
        <v>5.7489755999999996</v>
      </c>
      <c r="Y61" s="12">
        <v>5.7489993000000004</v>
      </c>
      <c r="Z61" s="12">
        <v>-6.4714188000000004</v>
      </c>
      <c r="AA61" s="12">
        <v>68.250338799999994</v>
      </c>
      <c r="AB61" s="12">
        <v>18.761027500000001</v>
      </c>
      <c r="AC61" s="12">
        <v>14.770812100000001</v>
      </c>
      <c r="AD61" s="12">
        <v>46.541640700000002</v>
      </c>
      <c r="AE61" s="12">
        <v>48.323819100000001</v>
      </c>
      <c r="AF61" s="12">
        <v>9.7364785000000005</v>
      </c>
      <c r="AG61" s="12">
        <v>53.555534999999999</v>
      </c>
    </row>
    <row r="62" spans="1:33" s="11" customFormat="1" hidden="1" outlineLevel="1" x14ac:dyDescent="0.3">
      <c r="A62" s="11" t="s">
        <v>68</v>
      </c>
      <c r="B62" s="12">
        <v>-0.91019320000000004</v>
      </c>
      <c r="C62" s="12">
        <v>97.993333300000003</v>
      </c>
      <c r="D62" s="12">
        <v>2.5929156999999998</v>
      </c>
      <c r="E62" s="17">
        <v>1</v>
      </c>
      <c r="F62" s="13">
        <v>108.41666669999999</v>
      </c>
      <c r="G62" s="12">
        <v>2.7663574</v>
      </c>
      <c r="H62" s="12">
        <v>6.3366419</v>
      </c>
      <c r="I62" s="12">
        <v>-3.7624816000000001</v>
      </c>
      <c r="J62" s="12">
        <v>2.1230155000000002</v>
      </c>
      <c r="K62" s="12">
        <v>0.83614920000000004</v>
      </c>
      <c r="L62" s="12">
        <v>-1.3735181000000001</v>
      </c>
      <c r="M62" s="12">
        <v>-3.2031708000000001</v>
      </c>
      <c r="N62" s="12">
        <v>4.1273483999999998</v>
      </c>
      <c r="O62" s="12">
        <v>-1.5234563000000001</v>
      </c>
      <c r="P62" s="7">
        <v>15607.4</v>
      </c>
      <c r="Q62" s="7">
        <v>1712.8</v>
      </c>
      <c r="R62" s="7">
        <v>9.9</v>
      </c>
      <c r="S62" s="12">
        <v>3.8378439000000002</v>
      </c>
      <c r="T62" s="12">
        <v>4.75</v>
      </c>
      <c r="U62" s="12">
        <v>100.2</v>
      </c>
      <c r="V62" s="12">
        <v>4.2563667000000001</v>
      </c>
      <c r="W62" s="12">
        <v>2.6737967999999999</v>
      </c>
      <c r="X62" s="12">
        <v>2.8038048</v>
      </c>
      <c r="Y62" s="12">
        <v>-1.4487555999999999</v>
      </c>
      <c r="Z62" s="12">
        <v>-4.4403350000000001</v>
      </c>
      <c r="AA62" s="12">
        <v>62.900277000000003</v>
      </c>
      <c r="AB62" s="12">
        <v>17.875491</v>
      </c>
      <c r="AC62" s="12">
        <v>19.800046399999999</v>
      </c>
      <c r="AD62" s="12">
        <v>45.239598899999997</v>
      </c>
      <c r="AE62" s="12">
        <v>45.815413300000003</v>
      </c>
      <c r="AF62" s="12">
        <v>7.4878311000000002</v>
      </c>
      <c r="AG62" s="12">
        <v>55.064582700000003</v>
      </c>
    </row>
    <row r="63" spans="1:33" s="11" customFormat="1" hidden="1" outlineLevel="1" x14ac:dyDescent="0.3">
      <c r="A63" s="11" t="s">
        <v>69</v>
      </c>
      <c r="B63" s="12">
        <v>-1.0352741000000001</v>
      </c>
      <c r="C63" s="12">
        <v>97.9566667</v>
      </c>
      <c r="D63" s="12">
        <v>2.6440796999999998</v>
      </c>
      <c r="E63" s="17">
        <v>0.75</v>
      </c>
      <c r="F63" s="13">
        <v>109.61333329999999</v>
      </c>
      <c r="G63" s="12">
        <v>3.5865855</v>
      </c>
      <c r="H63" s="12">
        <v>1.6427801</v>
      </c>
      <c r="I63" s="12">
        <v>-2.0568053000000002</v>
      </c>
      <c r="J63" s="12">
        <v>1.2218251</v>
      </c>
      <c r="K63" s="12">
        <v>-0.1473216</v>
      </c>
      <c r="L63" s="12">
        <v>1.2987348000000001</v>
      </c>
      <c r="M63" s="12">
        <v>-6.9282037000000001</v>
      </c>
      <c r="N63" s="12">
        <v>3.2632253000000002</v>
      </c>
      <c r="O63" s="12">
        <v>-2.5906498</v>
      </c>
      <c r="P63" s="7">
        <v>15721.9</v>
      </c>
      <c r="Q63" s="7">
        <v>1718</v>
      </c>
      <c r="R63" s="7">
        <v>9.9</v>
      </c>
      <c r="S63" s="12">
        <v>2.2491986000000002</v>
      </c>
      <c r="T63" s="12">
        <v>4.75</v>
      </c>
      <c r="U63" s="12">
        <v>99.866666699999996</v>
      </c>
      <c r="V63" s="12">
        <v>4.1372</v>
      </c>
      <c r="W63" s="12">
        <v>0</v>
      </c>
      <c r="X63" s="12">
        <v>7.3181379</v>
      </c>
      <c r="Y63" s="12">
        <v>1.8098076999999999</v>
      </c>
      <c r="Z63" s="12">
        <v>-4.1181590999999997</v>
      </c>
      <c r="AA63" s="12">
        <v>62.759991200000002</v>
      </c>
      <c r="AB63" s="12">
        <v>17.4034142</v>
      </c>
      <c r="AC63" s="12">
        <v>19.6863709</v>
      </c>
      <c r="AD63" s="12">
        <v>44.9557213</v>
      </c>
      <c r="AE63" s="12">
        <v>44.805497699999997</v>
      </c>
      <c r="AF63" s="12">
        <v>1.2414559000000001</v>
      </c>
      <c r="AG63" s="12">
        <v>54.550054299999999</v>
      </c>
    </row>
    <row r="64" spans="1:33" s="11" customFormat="1" hidden="1" outlineLevel="1" x14ac:dyDescent="0.3">
      <c r="A64" s="11" t="s">
        <v>70</v>
      </c>
      <c r="B64" s="12">
        <v>-0.98067590000000004</v>
      </c>
      <c r="C64" s="12">
        <v>98.773333300000004</v>
      </c>
      <c r="D64" s="12">
        <v>2.4513362999999999</v>
      </c>
      <c r="E64" s="17">
        <v>0.75</v>
      </c>
      <c r="F64" s="13">
        <v>110.08666669999999</v>
      </c>
      <c r="G64" s="12">
        <v>-3.9782666</v>
      </c>
      <c r="H64" s="12">
        <v>2.4316108999999999</v>
      </c>
      <c r="I64" s="12">
        <v>-7.1874241000000003</v>
      </c>
      <c r="J64" s="12">
        <v>-0.2082987</v>
      </c>
      <c r="K64" s="12">
        <v>0.96203000000000005</v>
      </c>
      <c r="L64" s="12">
        <v>0.31631110000000001</v>
      </c>
      <c r="M64" s="12">
        <v>-7.2914107000000001</v>
      </c>
      <c r="N64" s="12">
        <v>3.1186463</v>
      </c>
      <c r="O64" s="12">
        <v>-1.3797685</v>
      </c>
      <c r="P64" s="7">
        <v>15636</v>
      </c>
      <c r="Q64" s="7">
        <v>1757.4</v>
      </c>
      <c r="R64" s="7">
        <v>10.1</v>
      </c>
      <c r="S64" s="12">
        <v>2.6142935999999999</v>
      </c>
      <c r="T64" s="12">
        <v>4.25</v>
      </c>
      <c r="U64" s="12">
        <v>100.1</v>
      </c>
      <c r="V64" s="12">
        <v>4.1116000000000001</v>
      </c>
      <c r="W64" s="12">
        <v>-1.7768302</v>
      </c>
      <c r="X64" s="12">
        <v>9.3049955999999998</v>
      </c>
      <c r="Y64" s="12">
        <v>4.6998509999999998</v>
      </c>
      <c r="Z64" s="12">
        <v>-1.8437539999999999</v>
      </c>
      <c r="AA64" s="12">
        <v>53.875788399999998</v>
      </c>
      <c r="AB64" s="12">
        <v>18.452386199999999</v>
      </c>
      <c r="AC64" s="12">
        <v>28.372043699999999</v>
      </c>
      <c r="AD64" s="12">
        <v>40.913041499999999</v>
      </c>
      <c r="AE64" s="12">
        <v>41.6132597</v>
      </c>
      <c r="AF64" s="12">
        <v>0.21407129999999999</v>
      </c>
      <c r="AG64" s="12">
        <v>54.784066099999997</v>
      </c>
    </row>
    <row r="65" spans="1:33" s="11" customFormat="1" hidden="1" outlineLevel="1" x14ac:dyDescent="0.3">
      <c r="A65" s="11" t="s">
        <v>71</v>
      </c>
      <c r="B65" s="12">
        <v>-1.6415721999999999</v>
      </c>
      <c r="C65" s="12">
        <v>98.726666699999996</v>
      </c>
      <c r="D65" s="12">
        <v>1.9868463000000001</v>
      </c>
      <c r="E65" s="17">
        <v>0.75</v>
      </c>
      <c r="F65" s="13">
        <v>112.4933333</v>
      </c>
      <c r="G65" s="12">
        <v>-0.54566300000000001</v>
      </c>
      <c r="H65" s="12">
        <v>-1.1580946999999999</v>
      </c>
      <c r="I65" s="12">
        <v>-1.989015</v>
      </c>
      <c r="J65" s="12">
        <v>-0.52890680000000001</v>
      </c>
      <c r="K65" s="12">
        <v>-0.33135350000000002</v>
      </c>
      <c r="L65" s="12">
        <v>1.5884891000000001</v>
      </c>
      <c r="M65" s="12">
        <v>-15.589150800000001</v>
      </c>
      <c r="N65" s="12">
        <v>1.2847606</v>
      </c>
      <c r="O65" s="12">
        <v>-2.1889927</v>
      </c>
      <c r="P65" s="7">
        <v>15290.7</v>
      </c>
      <c r="Q65" s="7">
        <v>1944</v>
      </c>
      <c r="R65" s="7">
        <v>11.3</v>
      </c>
      <c r="S65" s="12">
        <v>1.9782124999999999</v>
      </c>
      <c r="T65" s="12">
        <v>3.25</v>
      </c>
      <c r="U65" s="12">
        <v>100.3</v>
      </c>
      <c r="V65" s="12">
        <v>4.1562999999999999</v>
      </c>
      <c r="W65" s="12">
        <v>-1.5985130999999999</v>
      </c>
      <c r="X65" s="12">
        <v>2.3076829999999999</v>
      </c>
      <c r="Y65" s="12">
        <v>-2.0970061000000002</v>
      </c>
      <c r="Z65" s="12">
        <v>-2.5509151999999999</v>
      </c>
      <c r="AA65" s="12">
        <v>68.104539399999993</v>
      </c>
      <c r="AB65" s="12">
        <v>19.194460500000002</v>
      </c>
      <c r="AC65" s="12">
        <v>12.2870165</v>
      </c>
      <c r="AD65" s="12">
        <v>46.739679299999999</v>
      </c>
      <c r="AE65" s="12">
        <v>46.325695699999997</v>
      </c>
      <c r="AF65" s="12">
        <v>2.5832328000000002</v>
      </c>
      <c r="AG65" s="12">
        <v>56.0976882</v>
      </c>
    </row>
    <row r="66" spans="1:33" s="11" customFormat="1" hidden="1" outlineLevel="1" x14ac:dyDescent="0.3">
      <c r="A66" s="11" t="s">
        <v>72</v>
      </c>
      <c r="B66" s="12">
        <v>-0.1331087</v>
      </c>
      <c r="C66" s="12">
        <v>99.533333299999995</v>
      </c>
      <c r="D66" s="12">
        <v>1.5715355</v>
      </c>
      <c r="E66" s="17">
        <v>0.58333330000000005</v>
      </c>
      <c r="F66" s="13">
        <v>102.5766667</v>
      </c>
      <c r="G66" s="12">
        <v>3.1172726000000002</v>
      </c>
      <c r="H66" s="12">
        <v>1.9335914999999999</v>
      </c>
      <c r="I66" s="12">
        <v>-4.3285223000000004</v>
      </c>
      <c r="J66" s="12">
        <v>0.80390870000000003</v>
      </c>
      <c r="K66" s="12">
        <v>-0.55611719999999998</v>
      </c>
      <c r="L66" s="12">
        <v>2.5345911000000001</v>
      </c>
      <c r="M66" s="12">
        <v>-8.6433096999999997</v>
      </c>
      <c r="N66" s="12">
        <v>3.6833189000000002</v>
      </c>
      <c r="O66" s="12">
        <v>-1.5064682</v>
      </c>
      <c r="P66" s="7">
        <v>15530</v>
      </c>
      <c r="Q66" s="7">
        <v>1812</v>
      </c>
      <c r="R66" s="7">
        <v>10.5</v>
      </c>
      <c r="S66" s="12">
        <v>2.2260547000000002</v>
      </c>
      <c r="T66" s="12">
        <v>2.75</v>
      </c>
      <c r="U66" s="12">
        <v>100.7333333</v>
      </c>
      <c r="V66" s="12">
        <v>4.1999000000000004</v>
      </c>
      <c r="W66" s="12">
        <v>1.1904762</v>
      </c>
      <c r="X66" s="12">
        <v>5.4305861000000002</v>
      </c>
      <c r="Y66" s="12">
        <v>-1.1308282000000001</v>
      </c>
      <c r="Z66" s="12">
        <v>-3.2606202999999998</v>
      </c>
      <c r="AA66" s="12">
        <v>62.164149999999999</v>
      </c>
      <c r="AB66" s="12">
        <v>18.254471800000001</v>
      </c>
      <c r="AC66" s="12">
        <v>17.347884700000002</v>
      </c>
      <c r="AD66" s="12">
        <v>46.874973199999999</v>
      </c>
      <c r="AE66" s="12">
        <v>44.641479699999998</v>
      </c>
      <c r="AF66" s="12">
        <v>2.3663696999999999</v>
      </c>
      <c r="AG66" s="12">
        <v>57.263610300000003</v>
      </c>
    </row>
    <row r="67" spans="1:33" s="11" customFormat="1" hidden="1" outlineLevel="1" x14ac:dyDescent="0.3">
      <c r="A67" s="11" t="s">
        <v>73</v>
      </c>
      <c r="B67" s="12">
        <v>0.53477319999999995</v>
      </c>
      <c r="C67" s="12">
        <v>99.423333299999996</v>
      </c>
      <c r="D67" s="12">
        <v>1.4972605999999999</v>
      </c>
      <c r="E67" s="17">
        <v>0.5</v>
      </c>
      <c r="F67" s="13">
        <v>110.27</v>
      </c>
      <c r="G67" s="12">
        <v>1.0053257</v>
      </c>
      <c r="H67" s="12">
        <v>-0.6647035</v>
      </c>
      <c r="I67" s="12">
        <v>-2.7414958</v>
      </c>
      <c r="J67" s="12">
        <v>1.3660163999999999</v>
      </c>
      <c r="K67" s="12">
        <v>0.60013280000000002</v>
      </c>
      <c r="L67" s="12">
        <v>2.8703751</v>
      </c>
      <c r="M67" s="12">
        <v>-4.6849483000000003</v>
      </c>
      <c r="N67" s="12">
        <v>8.4164758000000006</v>
      </c>
      <c r="O67" s="12">
        <v>5.2741075000000004</v>
      </c>
      <c r="P67" s="7">
        <v>15738.2</v>
      </c>
      <c r="Q67" s="7">
        <v>1714.2</v>
      </c>
      <c r="R67" s="7">
        <v>9.8000000000000007</v>
      </c>
      <c r="S67" s="12">
        <v>3.0300254999999998</v>
      </c>
      <c r="T67" s="12">
        <v>2.5</v>
      </c>
      <c r="U67" s="12">
        <v>100.7333333</v>
      </c>
      <c r="V67" s="12">
        <v>4.2471667000000002</v>
      </c>
      <c r="W67" s="12">
        <v>4.9756827000000001</v>
      </c>
      <c r="X67" s="12">
        <v>5.4259804000000003</v>
      </c>
      <c r="Y67" s="12">
        <v>3.1588539</v>
      </c>
      <c r="Z67" s="12">
        <v>-1.9451938</v>
      </c>
      <c r="AA67" s="12">
        <v>63.219879300000002</v>
      </c>
      <c r="AB67" s="12">
        <v>17.840472800000001</v>
      </c>
      <c r="AC67" s="12">
        <v>17.7896091</v>
      </c>
      <c r="AD67" s="12">
        <v>48.3870565</v>
      </c>
      <c r="AE67" s="12">
        <v>47.237017600000001</v>
      </c>
      <c r="AF67" s="12">
        <v>4.3197549999999998</v>
      </c>
      <c r="AG67" s="12">
        <v>57.3686942</v>
      </c>
    </row>
    <row r="68" spans="1:33" s="11" customFormat="1" hidden="1" outlineLevel="1" x14ac:dyDescent="0.3">
      <c r="A68" s="11" t="s">
        <v>74</v>
      </c>
      <c r="B68" s="12">
        <v>0.83200640000000003</v>
      </c>
      <c r="C68" s="12">
        <v>99.72</v>
      </c>
      <c r="D68" s="12">
        <v>0.95842340000000004</v>
      </c>
      <c r="E68" s="17">
        <v>0.3333333</v>
      </c>
      <c r="F68" s="13">
        <v>109.21</v>
      </c>
      <c r="G68" s="12">
        <v>0.63124219999999998</v>
      </c>
      <c r="H68" s="12">
        <v>-0.48340420000000001</v>
      </c>
      <c r="I68" s="12">
        <v>-7.4106806000000001</v>
      </c>
      <c r="J68" s="12">
        <v>1.6244609000000001</v>
      </c>
      <c r="K68" s="12">
        <v>0.1395026</v>
      </c>
      <c r="L68" s="12">
        <v>2.7621196000000001</v>
      </c>
      <c r="M68" s="12">
        <v>2.5056375000000002</v>
      </c>
      <c r="N68" s="12">
        <v>6.7661533</v>
      </c>
      <c r="O68" s="12">
        <v>5.5800289999999997</v>
      </c>
      <c r="P68" s="7">
        <v>15713.2</v>
      </c>
      <c r="Q68" s="7">
        <v>1700.3</v>
      </c>
      <c r="R68" s="7">
        <v>9.8000000000000007</v>
      </c>
      <c r="S68" s="12">
        <v>2.9544758</v>
      </c>
      <c r="T68" s="12">
        <v>2.5</v>
      </c>
      <c r="U68" s="12">
        <v>100.7</v>
      </c>
      <c r="V68" s="12">
        <v>4.1849667000000004</v>
      </c>
      <c r="W68" s="12">
        <v>4.5947902000000003</v>
      </c>
      <c r="X68" s="12">
        <v>5.1914815000000001</v>
      </c>
      <c r="Y68" s="12">
        <v>1.1411168</v>
      </c>
      <c r="Z68" s="12">
        <v>-0.41864590000000002</v>
      </c>
      <c r="AA68" s="12">
        <v>52.588482499999998</v>
      </c>
      <c r="AB68" s="12">
        <v>18.444242899999999</v>
      </c>
      <c r="AC68" s="12">
        <v>28.035461000000002</v>
      </c>
      <c r="AD68" s="12">
        <v>42.489327400000001</v>
      </c>
      <c r="AE68" s="12">
        <v>41.557513700000001</v>
      </c>
      <c r="AF68" s="12">
        <v>4.5082500999999997</v>
      </c>
      <c r="AG68" s="12">
        <v>57.115830299999999</v>
      </c>
    </row>
    <row r="69" spans="1:33" s="11" customFormat="1" hidden="1" outlineLevel="1" x14ac:dyDescent="0.3">
      <c r="A69" s="11" t="s">
        <v>75</v>
      </c>
      <c r="B69" s="12">
        <v>1.8456245</v>
      </c>
      <c r="C69" s="12">
        <v>99.49</v>
      </c>
      <c r="D69" s="12">
        <v>0.77317840000000004</v>
      </c>
      <c r="E69" s="17">
        <v>0.25</v>
      </c>
      <c r="F69" s="13">
        <v>108.16666669999999</v>
      </c>
      <c r="G69" s="12">
        <v>6.1813699999999999E-2</v>
      </c>
      <c r="H69" s="12">
        <v>2.9046335999999999</v>
      </c>
      <c r="I69" s="12">
        <v>-0.75107429999999997</v>
      </c>
      <c r="J69" s="12">
        <v>3.6353837000000002</v>
      </c>
      <c r="K69" s="12">
        <v>2.6720476</v>
      </c>
      <c r="L69" s="12">
        <v>-3.3489070999999999</v>
      </c>
      <c r="M69" s="12">
        <v>23.249398299999999</v>
      </c>
      <c r="N69" s="12">
        <v>7.0508075000000003</v>
      </c>
      <c r="O69" s="12">
        <v>8.2417289</v>
      </c>
      <c r="P69" s="7">
        <v>15572.9</v>
      </c>
      <c r="Q69" s="7">
        <v>1846.4</v>
      </c>
      <c r="R69" s="7">
        <v>10.6</v>
      </c>
      <c r="S69" s="12">
        <v>4.0674144999999999</v>
      </c>
      <c r="T69" s="12">
        <v>2.5</v>
      </c>
      <c r="U69" s="12">
        <v>100.9333333</v>
      </c>
      <c r="V69" s="12">
        <v>4.1842332999999998</v>
      </c>
      <c r="W69" s="12">
        <v>4.9867774999999996</v>
      </c>
      <c r="X69" s="12">
        <v>7.7567969999999997</v>
      </c>
      <c r="Y69" s="12">
        <v>7.7124967</v>
      </c>
      <c r="Z69" s="12">
        <v>-3.9411941000000001</v>
      </c>
      <c r="AA69" s="12">
        <v>67.4441123</v>
      </c>
      <c r="AB69" s="12">
        <v>17.7594271</v>
      </c>
      <c r="AC69" s="12">
        <v>14.4442243</v>
      </c>
      <c r="AD69" s="12">
        <v>48.186996399999998</v>
      </c>
      <c r="AE69" s="12">
        <v>47.834760099999997</v>
      </c>
      <c r="AF69" s="12">
        <v>4.9558596000000001</v>
      </c>
      <c r="AG69" s="12">
        <v>48.288085299999999</v>
      </c>
    </row>
    <row r="70" spans="1:33" s="11" customFormat="1" hidden="1" outlineLevel="1" x14ac:dyDescent="0.3">
      <c r="A70" s="11" t="s">
        <v>76</v>
      </c>
      <c r="B70" s="12">
        <v>1.1953549000000001</v>
      </c>
      <c r="C70" s="12">
        <v>100.22333329999999</v>
      </c>
      <c r="D70" s="12">
        <v>0.69323509999999999</v>
      </c>
      <c r="E70" s="17">
        <v>0.21666669999999999</v>
      </c>
      <c r="F70" s="13">
        <v>109.7</v>
      </c>
      <c r="G70" s="12">
        <v>1.8967528</v>
      </c>
      <c r="H70" s="12">
        <v>3.5492938999999999</v>
      </c>
      <c r="I70" s="12">
        <v>-3.5989548</v>
      </c>
      <c r="J70" s="12">
        <v>3.7970980999999999</v>
      </c>
      <c r="K70" s="12">
        <v>3.6699752999999999</v>
      </c>
      <c r="L70" s="12">
        <v>5.7742573000000004</v>
      </c>
      <c r="M70" s="12">
        <v>17.9469806</v>
      </c>
      <c r="N70" s="12">
        <v>5.3484574</v>
      </c>
      <c r="O70" s="12">
        <v>11.398957100000001</v>
      </c>
      <c r="P70" s="7">
        <v>15793.2</v>
      </c>
      <c r="Q70" s="7">
        <v>1584.8</v>
      </c>
      <c r="R70" s="7">
        <v>9.1</v>
      </c>
      <c r="S70" s="12">
        <v>4.0472909000000001</v>
      </c>
      <c r="T70" s="12">
        <v>2.5</v>
      </c>
      <c r="U70" s="12">
        <v>101.0333333</v>
      </c>
      <c r="V70" s="12">
        <v>4.1668333000000004</v>
      </c>
      <c r="W70" s="12">
        <v>3.9705881999999999</v>
      </c>
      <c r="X70" s="12">
        <v>6.3892156</v>
      </c>
      <c r="Y70" s="12">
        <v>9.9502795000000006</v>
      </c>
      <c r="Z70" s="12">
        <v>-4.8255492000000002</v>
      </c>
      <c r="AA70" s="12">
        <v>61.812060899999999</v>
      </c>
      <c r="AB70" s="12">
        <v>18.479319400000001</v>
      </c>
      <c r="AC70" s="12">
        <v>18.9723796</v>
      </c>
      <c r="AD70" s="12">
        <v>47.415854699999997</v>
      </c>
      <c r="AE70" s="12">
        <v>46.679614600000001</v>
      </c>
      <c r="AF70" s="12">
        <v>4.6257934000000001</v>
      </c>
      <c r="AG70" s="12">
        <v>48.926995499999997</v>
      </c>
    </row>
    <row r="71" spans="1:33" s="11" customFormat="1" hidden="1" outlineLevel="1" x14ac:dyDescent="0.3">
      <c r="A71" s="11" t="s">
        <v>77</v>
      </c>
      <c r="B71" s="12">
        <v>1.5779679</v>
      </c>
      <c r="C71" s="12">
        <v>99.91</v>
      </c>
      <c r="D71" s="12">
        <v>0.48948940000000002</v>
      </c>
      <c r="E71" s="17">
        <v>0.1166667</v>
      </c>
      <c r="F71" s="13">
        <v>101.8233333</v>
      </c>
      <c r="G71" s="12">
        <v>4.3951025000000001</v>
      </c>
      <c r="H71" s="12">
        <v>3.9753818000000001</v>
      </c>
      <c r="I71" s="12">
        <v>-2.8833551000000002</v>
      </c>
      <c r="J71" s="12">
        <v>3.6466835</v>
      </c>
      <c r="K71" s="12">
        <v>2.8583283000000002</v>
      </c>
      <c r="L71" s="12">
        <v>5.4517993999999996</v>
      </c>
      <c r="M71" s="12">
        <v>18.928429000000001</v>
      </c>
      <c r="N71" s="12">
        <v>4.1404133999999999</v>
      </c>
      <c r="O71" s="12">
        <v>9.5782527000000002</v>
      </c>
      <c r="P71" s="7">
        <v>16062.6</v>
      </c>
      <c r="Q71" s="7">
        <v>1426.1</v>
      </c>
      <c r="R71" s="7">
        <v>8.1999999999999993</v>
      </c>
      <c r="S71" s="12">
        <v>3.4960388</v>
      </c>
      <c r="T71" s="12">
        <v>2.5</v>
      </c>
      <c r="U71" s="12">
        <v>100.5666667</v>
      </c>
      <c r="V71" s="12">
        <v>4.1753999999999998</v>
      </c>
      <c r="W71" s="12">
        <v>1.6037063</v>
      </c>
      <c r="X71" s="12">
        <v>4.8141717999999996</v>
      </c>
      <c r="Y71" s="12">
        <v>5.4725017999999999</v>
      </c>
      <c r="Z71" s="12">
        <v>-3.2200052000000001</v>
      </c>
      <c r="AA71" s="12">
        <v>61.025446299999999</v>
      </c>
      <c r="AB71" s="12">
        <v>17.870763</v>
      </c>
      <c r="AC71" s="12">
        <v>20.339970399999999</v>
      </c>
      <c r="AD71" s="12">
        <v>47.4286751</v>
      </c>
      <c r="AE71" s="12">
        <v>46.664854800000001</v>
      </c>
      <c r="AF71" s="12">
        <v>5.2800352000000004</v>
      </c>
      <c r="AG71" s="12">
        <v>49.667872500000001</v>
      </c>
    </row>
    <row r="72" spans="1:33" s="11" customFormat="1" hidden="1" outlineLevel="1" x14ac:dyDescent="0.3">
      <c r="A72" s="11" t="s">
        <v>78</v>
      </c>
      <c r="B72" s="12">
        <v>1.7505474000000001</v>
      </c>
      <c r="C72" s="12">
        <v>99.97</v>
      </c>
      <c r="D72" s="12">
        <v>0.25070199999999998</v>
      </c>
      <c r="E72" s="17">
        <v>0.05</v>
      </c>
      <c r="F72" s="13">
        <v>76.4033333</v>
      </c>
      <c r="G72" s="12">
        <v>5.5919979</v>
      </c>
      <c r="H72" s="12">
        <v>7.7406214000000002</v>
      </c>
      <c r="I72" s="12">
        <v>-6.8722959000000001</v>
      </c>
      <c r="J72" s="12">
        <v>4.207452</v>
      </c>
      <c r="K72" s="12">
        <v>4.4113446999999999</v>
      </c>
      <c r="L72" s="12">
        <v>7.3767529999999999</v>
      </c>
      <c r="M72" s="12">
        <v>7.0437823000000002</v>
      </c>
      <c r="N72" s="12">
        <v>5.6480005999999996</v>
      </c>
      <c r="O72" s="12">
        <v>8.3193985000000001</v>
      </c>
      <c r="P72" s="7">
        <v>16017.4</v>
      </c>
      <c r="Q72" s="7">
        <v>1409.8</v>
      </c>
      <c r="R72" s="7">
        <v>8.1</v>
      </c>
      <c r="S72" s="12">
        <v>3.4419064000000001</v>
      </c>
      <c r="T72" s="12">
        <v>2</v>
      </c>
      <c r="U72" s="12">
        <v>100.2666667</v>
      </c>
      <c r="V72" s="12">
        <v>4.2114000000000003</v>
      </c>
      <c r="W72" s="12">
        <v>3.2168800000000002</v>
      </c>
      <c r="X72" s="12">
        <v>4.3872627</v>
      </c>
      <c r="Y72" s="12">
        <v>6.9024842</v>
      </c>
      <c r="Z72" s="12">
        <v>3.3309199999999997E-2</v>
      </c>
      <c r="AA72" s="12">
        <v>52.241153599999997</v>
      </c>
      <c r="AB72" s="12">
        <v>19.145650799999999</v>
      </c>
      <c r="AC72" s="12">
        <v>28.760482499999998</v>
      </c>
      <c r="AD72" s="12">
        <v>43.416213499999998</v>
      </c>
      <c r="AE72" s="12">
        <v>43.563500500000004</v>
      </c>
      <c r="AF72" s="12">
        <v>5.4932261999999996</v>
      </c>
      <c r="AG72" s="12">
        <v>51.389725200000001</v>
      </c>
    </row>
    <row r="73" spans="1:33" s="11" customFormat="1" hidden="1" outlineLevel="1" x14ac:dyDescent="0.3">
      <c r="A73" s="11" t="s">
        <v>79</v>
      </c>
      <c r="B73" s="12">
        <v>2.0633189000000001</v>
      </c>
      <c r="C73" s="12">
        <v>99.203333299999997</v>
      </c>
      <c r="D73" s="12">
        <v>-0.28813620000000001</v>
      </c>
      <c r="E73" s="17">
        <v>0.05</v>
      </c>
      <c r="F73" s="13">
        <v>53.9166667</v>
      </c>
      <c r="G73" s="12">
        <v>3.0528802000000002</v>
      </c>
      <c r="H73" s="12">
        <v>3.2829722000000001</v>
      </c>
      <c r="I73" s="12">
        <v>-0.64999629999999997</v>
      </c>
      <c r="J73" s="12">
        <v>4.4643521000000002</v>
      </c>
      <c r="K73" s="12">
        <v>4.5237816000000004</v>
      </c>
      <c r="L73" s="12">
        <v>1.2353135</v>
      </c>
      <c r="M73" s="12">
        <v>4.3977347</v>
      </c>
      <c r="N73" s="12">
        <v>7.5078461000000001</v>
      </c>
      <c r="O73" s="12">
        <v>6.4942707000000004</v>
      </c>
      <c r="P73" s="7">
        <v>15836.7</v>
      </c>
      <c r="Q73" s="7">
        <v>1494</v>
      </c>
      <c r="R73" s="7">
        <v>8.6</v>
      </c>
      <c r="S73" s="12">
        <v>3.9306174</v>
      </c>
      <c r="T73" s="12">
        <v>1.5</v>
      </c>
      <c r="U73" s="12">
        <v>99.733333299999998</v>
      </c>
      <c r="V73" s="12">
        <v>4.1933999999999996</v>
      </c>
      <c r="W73" s="12">
        <v>5.3256568</v>
      </c>
      <c r="X73" s="12">
        <v>8.4676788999999992</v>
      </c>
      <c r="Y73" s="12">
        <v>2.9051217999999999</v>
      </c>
      <c r="Z73" s="12">
        <v>-1.6489647000000001</v>
      </c>
      <c r="AA73" s="12">
        <v>66.487864000000002</v>
      </c>
      <c r="AB73" s="12">
        <v>17.441137600000001</v>
      </c>
      <c r="AC73" s="12">
        <v>13.1476647</v>
      </c>
      <c r="AD73" s="12">
        <v>50.118305700000001</v>
      </c>
      <c r="AE73" s="12">
        <v>47.194972</v>
      </c>
      <c r="AF73" s="12">
        <v>7.2299576999999999</v>
      </c>
      <c r="AG73" s="12">
        <v>49.673250199999998</v>
      </c>
    </row>
    <row r="74" spans="1:33" s="11" customFormat="1" hidden="1" outlineLevel="1" x14ac:dyDescent="0.3">
      <c r="A74" s="11" t="s">
        <v>80</v>
      </c>
      <c r="B74" s="12">
        <v>2.2703967</v>
      </c>
      <c r="C74" s="12">
        <v>100.5233333</v>
      </c>
      <c r="D74" s="12">
        <v>0.29933149999999997</v>
      </c>
      <c r="E74" s="17">
        <v>0.05</v>
      </c>
      <c r="F74" s="13">
        <v>61.693333299999999</v>
      </c>
      <c r="G74" s="12">
        <v>0.62870170000000003</v>
      </c>
      <c r="H74" s="12">
        <v>3.3159844000000001</v>
      </c>
      <c r="I74" s="12">
        <v>-2.4493822999999999</v>
      </c>
      <c r="J74" s="12">
        <v>3.6453495999999999</v>
      </c>
      <c r="K74" s="12">
        <v>4.3344066999999997</v>
      </c>
      <c r="L74" s="12">
        <v>0.16539000000000001</v>
      </c>
      <c r="M74" s="12">
        <v>5.3800233000000004</v>
      </c>
      <c r="N74" s="12">
        <v>4.898612</v>
      </c>
      <c r="O74" s="12">
        <v>5.1637028999999997</v>
      </c>
      <c r="P74" s="7">
        <v>15985.8</v>
      </c>
      <c r="Q74" s="7">
        <v>1281.0999999999999</v>
      </c>
      <c r="R74" s="7">
        <v>7.4</v>
      </c>
      <c r="S74" s="12">
        <v>3.1106650999999998</v>
      </c>
      <c r="T74" s="12">
        <v>1.5</v>
      </c>
      <c r="U74" s="12">
        <v>100.4</v>
      </c>
      <c r="V74" s="12">
        <v>4.0858999999999996</v>
      </c>
      <c r="W74" s="12">
        <v>4.1018387000000001</v>
      </c>
      <c r="X74" s="12">
        <v>8.8577454000000007</v>
      </c>
      <c r="Y74" s="12">
        <v>5.9437221999999998</v>
      </c>
      <c r="Z74" s="12">
        <v>-2.0998751000000002</v>
      </c>
      <c r="AA74" s="12">
        <v>60.681232700000002</v>
      </c>
      <c r="AB74" s="12">
        <v>17.731060100000001</v>
      </c>
      <c r="AC74" s="12">
        <v>19.5629998</v>
      </c>
      <c r="AD74" s="12">
        <v>48.2805082</v>
      </c>
      <c r="AE74" s="12">
        <v>46.255800800000003</v>
      </c>
      <c r="AF74" s="12">
        <v>7.9369056999999996</v>
      </c>
      <c r="AG74" s="12">
        <v>50.000472600000002</v>
      </c>
    </row>
    <row r="75" spans="1:33" s="11" customFormat="1" hidden="1" outlineLevel="1" x14ac:dyDescent="0.3">
      <c r="A75" s="11" t="s">
        <v>81</v>
      </c>
      <c r="B75" s="12">
        <v>2.2457793000000001</v>
      </c>
      <c r="C75" s="12">
        <v>100.1533333</v>
      </c>
      <c r="D75" s="12">
        <v>0.24355250000000001</v>
      </c>
      <c r="E75" s="17">
        <v>0.05</v>
      </c>
      <c r="F75" s="13">
        <v>50.233333299999998</v>
      </c>
      <c r="G75" s="12">
        <v>2.4185935000000001</v>
      </c>
      <c r="H75" s="12">
        <v>4.8553543000000001</v>
      </c>
      <c r="I75" s="12">
        <v>-1.8943204</v>
      </c>
      <c r="J75" s="12">
        <v>4.2494458000000002</v>
      </c>
      <c r="K75" s="12">
        <v>3.6702504999999999</v>
      </c>
      <c r="L75" s="12">
        <v>-0.37467139999999999</v>
      </c>
      <c r="M75" s="12">
        <v>7.0661934000000004</v>
      </c>
      <c r="N75" s="12">
        <v>5.0338997000000001</v>
      </c>
      <c r="O75" s="12">
        <v>3.7906727</v>
      </c>
      <c r="P75" s="7">
        <v>16233.5</v>
      </c>
      <c r="Q75" s="7">
        <v>1232.3</v>
      </c>
      <c r="R75" s="7">
        <v>7.1</v>
      </c>
      <c r="S75" s="12">
        <v>3.5783931</v>
      </c>
      <c r="T75" s="12">
        <v>1.5</v>
      </c>
      <c r="U75" s="12">
        <v>100.1</v>
      </c>
      <c r="V75" s="12">
        <v>4.1884332999999998</v>
      </c>
      <c r="W75" s="12">
        <v>4.4195019000000002</v>
      </c>
      <c r="X75" s="12">
        <v>5.6868876000000004</v>
      </c>
      <c r="Y75" s="12">
        <v>5.1356286000000004</v>
      </c>
      <c r="Z75" s="12">
        <v>-2.8739862999999999</v>
      </c>
      <c r="AA75" s="12">
        <v>60.930749599999999</v>
      </c>
      <c r="AB75" s="12">
        <v>17.253465599999998</v>
      </c>
      <c r="AC75" s="12">
        <v>20.797773800000002</v>
      </c>
      <c r="AD75" s="12">
        <v>47.985588100000001</v>
      </c>
      <c r="AE75" s="12">
        <v>46.9675771</v>
      </c>
      <c r="AF75" s="12">
        <v>6.0985588000000002</v>
      </c>
      <c r="AG75" s="12">
        <v>50.865040399999998</v>
      </c>
    </row>
    <row r="76" spans="1:33" s="11" customFormat="1" hidden="1" outlineLevel="1" x14ac:dyDescent="0.3">
      <c r="A76" s="11" t="s">
        <v>82</v>
      </c>
      <c r="B76" s="12">
        <v>2.5478125</v>
      </c>
      <c r="C76" s="12">
        <v>100.1233333</v>
      </c>
      <c r="D76" s="12">
        <v>0.1533793</v>
      </c>
      <c r="E76" s="17">
        <v>0.05</v>
      </c>
      <c r="F76" s="13">
        <v>43.57</v>
      </c>
      <c r="G76" s="12">
        <v>5.0306541999999999</v>
      </c>
      <c r="H76" s="12">
        <v>10.127797899999999</v>
      </c>
      <c r="I76" s="12">
        <v>-4.9074754</v>
      </c>
      <c r="J76" s="12">
        <v>5.0725395000000004</v>
      </c>
      <c r="K76" s="12">
        <v>2.7180621</v>
      </c>
      <c r="L76" s="12">
        <v>7.4515086999999998</v>
      </c>
      <c r="M76" s="12">
        <v>5.2560165000000003</v>
      </c>
      <c r="N76" s="12">
        <v>8.8907287000000004</v>
      </c>
      <c r="O76" s="12">
        <v>6.8966696000000001</v>
      </c>
      <c r="P76" s="7">
        <v>16279.4</v>
      </c>
      <c r="Q76" s="7">
        <v>1209.7</v>
      </c>
      <c r="R76" s="7">
        <v>6.9</v>
      </c>
      <c r="S76" s="12">
        <v>3.4377735</v>
      </c>
      <c r="T76" s="12">
        <v>1.5</v>
      </c>
      <c r="U76" s="12">
        <v>99.766666700000002</v>
      </c>
      <c r="V76" s="12">
        <v>4.2633999999999999</v>
      </c>
      <c r="W76" s="12">
        <v>5.6300268000000004</v>
      </c>
      <c r="X76" s="12">
        <v>8.9461449999999996</v>
      </c>
      <c r="Y76" s="12">
        <v>2.7471401000000002</v>
      </c>
      <c r="Z76" s="12">
        <v>1.1320669999999999</v>
      </c>
      <c r="AA76" s="12">
        <v>49.577534300000003</v>
      </c>
      <c r="AB76" s="12">
        <v>19.391343599999999</v>
      </c>
      <c r="AC76" s="12">
        <v>28.661959700000001</v>
      </c>
      <c r="AD76" s="12">
        <v>44.135399399999997</v>
      </c>
      <c r="AE76" s="12">
        <v>41.766236900000003</v>
      </c>
      <c r="AF76" s="12">
        <v>6.6159458000000004</v>
      </c>
      <c r="AG76" s="12">
        <v>51.344558800000001</v>
      </c>
    </row>
    <row r="77" spans="1:33" s="11" customFormat="1" hidden="1" outlineLevel="1" x14ac:dyDescent="0.3">
      <c r="A77" s="11" t="s">
        <v>83</v>
      </c>
      <c r="B77" s="12">
        <v>1.9366078</v>
      </c>
      <c r="C77" s="12">
        <v>99.246666700000006</v>
      </c>
      <c r="D77" s="12">
        <v>4.3681400000000002E-2</v>
      </c>
      <c r="E77" s="17">
        <v>3.3333300000000003E-2</v>
      </c>
      <c r="F77" s="13">
        <v>33.696666700000002</v>
      </c>
      <c r="G77" s="12">
        <v>-0.2086382</v>
      </c>
      <c r="H77" s="12">
        <v>0.82584860000000004</v>
      </c>
      <c r="I77" s="12">
        <v>-0.21824730000000001</v>
      </c>
      <c r="J77" s="12">
        <v>2.4052962999999998</v>
      </c>
      <c r="K77" s="12">
        <v>2.8632279</v>
      </c>
      <c r="L77" s="12">
        <v>3.6417638000000001</v>
      </c>
      <c r="M77" s="12">
        <v>-1.9581793000000001</v>
      </c>
      <c r="N77" s="12">
        <v>8.1490542000000001</v>
      </c>
      <c r="O77" s="12">
        <v>8.3694112999999994</v>
      </c>
      <c r="P77" s="7">
        <v>16012</v>
      </c>
      <c r="Q77" s="7">
        <v>1202.8</v>
      </c>
      <c r="R77" s="7">
        <v>7</v>
      </c>
      <c r="S77" s="12">
        <v>3.7210831</v>
      </c>
      <c r="T77" s="12">
        <v>1.5</v>
      </c>
      <c r="U77" s="12">
        <v>99.433333300000001</v>
      </c>
      <c r="V77" s="12">
        <v>4.3658666999999998</v>
      </c>
      <c r="W77" s="12">
        <v>2.7331737999999999</v>
      </c>
      <c r="X77" s="12">
        <v>3.2132328000000001</v>
      </c>
      <c r="Y77" s="12">
        <v>1.9901580000000001</v>
      </c>
      <c r="Z77" s="12">
        <v>-0.90646070000000001</v>
      </c>
      <c r="AA77" s="12">
        <v>64.871612799999994</v>
      </c>
      <c r="AB77" s="12">
        <v>17.4127419</v>
      </c>
      <c r="AC77" s="12">
        <v>14.088579299999999</v>
      </c>
      <c r="AD77" s="12">
        <v>51.861079099999998</v>
      </c>
      <c r="AE77" s="12">
        <v>48.234013099999999</v>
      </c>
      <c r="AF77" s="12">
        <v>4.2265598999999998</v>
      </c>
      <c r="AG77" s="12">
        <v>50.890268499999998</v>
      </c>
    </row>
    <row r="78" spans="1:33" s="11" customFormat="1" hidden="1" outlineLevel="1" x14ac:dyDescent="0.3">
      <c r="A78" s="11" t="s">
        <v>84</v>
      </c>
      <c r="B78" s="12">
        <v>2.4666936000000002</v>
      </c>
      <c r="C78" s="12">
        <v>100.42</v>
      </c>
      <c r="D78" s="12">
        <v>-0.10279530000000001</v>
      </c>
      <c r="E78" s="17">
        <v>0</v>
      </c>
      <c r="F78" s="13">
        <v>45.523333299999997</v>
      </c>
      <c r="G78" s="12">
        <v>5.0079699</v>
      </c>
      <c r="H78" s="12">
        <v>4.7463724000000003</v>
      </c>
      <c r="I78" s="12">
        <v>-2.5837728000000002</v>
      </c>
      <c r="J78" s="12">
        <v>3.3693398999999999</v>
      </c>
      <c r="K78" s="12">
        <v>2.2267926999999998</v>
      </c>
      <c r="L78" s="12">
        <v>2.3758708999999998</v>
      </c>
      <c r="M78" s="12">
        <v>-4.3846235</v>
      </c>
      <c r="N78" s="12">
        <v>14.6140963</v>
      </c>
      <c r="O78" s="12">
        <v>10.0865507</v>
      </c>
      <c r="P78" s="7">
        <v>16182.3</v>
      </c>
      <c r="Q78" s="7">
        <v>1065.8</v>
      </c>
      <c r="R78" s="7">
        <v>6.2</v>
      </c>
      <c r="S78" s="12">
        <v>4.6602088999999998</v>
      </c>
      <c r="T78" s="12">
        <v>1.5</v>
      </c>
      <c r="U78" s="12">
        <v>99.966666700000005</v>
      </c>
      <c r="V78" s="12">
        <v>4.3713667000000003</v>
      </c>
      <c r="W78" s="12">
        <v>5.1290762000000001</v>
      </c>
      <c r="X78" s="12">
        <v>5.8025669999999998</v>
      </c>
      <c r="Y78" s="12">
        <v>1.2385264</v>
      </c>
      <c r="Z78" s="12">
        <v>0.34031499999999998</v>
      </c>
      <c r="AA78" s="12">
        <v>59.726785999999997</v>
      </c>
      <c r="AB78" s="12">
        <v>17.806262199999999</v>
      </c>
      <c r="AC78" s="12">
        <v>18.043114500000001</v>
      </c>
      <c r="AD78" s="12">
        <v>52.827324500000003</v>
      </c>
      <c r="AE78" s="12">
        <v>48.403487200000001</v>
      </c>
      <c r="AF78" s="12">
        <v>4.5299076999999999</v>
      </c>
      <c r="AG78" s="12">
        <v>53.013994699999998</v>
      </c>
    </row>
    <row r="79" spans="1:33" s="11" customFormat="1" hidden="1" outlineLevel="1" x14ac:dyDescent="0.3">
      <c r="A79" s="11" t="s">
        <v>85</v>
      </c>
      <c r="B79" s="12">
        <v>1.6225508</v>
      </c>
      <c r="C79" s="12">
        <v>100.42</v>
      </c>
      <c r="D79" s="12">
        <v>0.26625840000000001</v>
      </c>
      <c r="E79" s="17">
        <v>0</v>
      </c>
      <c r="F79" s="13">
        <v>45.786666699999998</v>
      </c>
      <c r="G79" s="12">
        <v>3.2551071</v>
      </c>
      <c r="H79" s="12">
        <v>3.6933731999999999</v>
      </c>
      <c r="I79" s="12">
        <v>-1.7326054</v>
      </c>
      <c r="J79" s="12">
        <v>2.1284442000000001</v>
      </c>
      <c r="K79" s="12">
        <v>4.7005369000000004</v>
      </c>
      <c r="L79" s="12">
        <v>2.5869105999999999</v>
      </c>
      <c r="M79" s="12">
        <v>-2.7046408999999998</v>
      </c>
      <c r="N79" s="12">
        <v>5.9110893999999998</v>
      </c>
      <c r="O79" s="12">
        <v>7.5570601999999996</v>
      </c>
      <c r="P79" s="7">
        <v>16265.7</v>
      </c>
      <c r="Q79" s="7">
        <v>1026.7</v>
      </c>
      <c r="R79" s="7">
        <v>5.9</v>
      </c>
      <c r="S79" s="12">
        <v>4.4581014000000003</v>
      </c>
      <c r="T79" s="12">
        <v>1.5</v>
      </c>
      <c r="U79" s="12">
        <v>99.666666699999993</v>
      </c>
      <c r="V79" s="12">
        <v>4.3391999999999999</v>
      </c>
      <c r="W79" s="12">
        <v>2.2841787</v>
      </c>
      <c r="X79" s="12">
        <v>4.0395705</v>
      </c>
      <c r="Y79" s="12">
        <v>2.3030778000000001</v>
      </c>
      <c r="Z79" s="12">
        <v>-4.4151859</v>
      </c>
      <c r="AA79" s="12">
        <v>61.1060625</v>
      </c>
      <c r="AB79" s="12">
        <v>17.3702459</v>
      </c>
      <c r="AC79" s="12">
        <v>19.6049033</v>
      </c>
      <c r="AD79" s="12">
        <v>50.312065199999999</v>
      </c>
      <c r="AE79" s="12">
        <v>48.393276999999998</v>
      </c>
      <c r="AF79" s="12">
        <v>4.8055222000000004</v>
      </c>
      <c r="AG79" s="12">
        <v>53.046910599999997</v>
      </c>
    </row>
    <row r="80" spans="1:33" s="11" customFormat="1" hidden="1" outlineLevel="1" x14ac:dyDescent="0.3">
      <c r="A80" s="11" t="s">
        <v>86</v>
      </c>
      <c r="B80" s="12">
        <v>1.866331</v>
      </c>
      <c r="C80" s="12">
        <v>100.89333329999999</v>
      </c>
      <c r="D80" s="12">
        <v>0.7690515</v>
      </c>
      <c r="E80" s="17">
        <v>0</v>
      </c>
      <c r="F80" s="13">
        <v>49.186666700000004</v>
      </c>
      <c r="G80" s="12">
        <v>0.38871850000000002</v>
      </c>
      <c r="H80" s="12">
        <v>0.97262139999999997</v>
      </c>
      <c r="I80" s="12">
        <v>-4.6051190999999996</v>
      </c>
      <c r="J80" s="12">
        <v>3.7694597999999999</v>
      </c>
      <c r="K80" s="12">
        <v>4.6747639000000003</v>
      </c>
      <c r="L80" s="12">
        <v>-4.054E-2</v>
      </c>
      <c r="M80" s="12">
        <v>0.68480439999999998</v>
      </c>
      <c r="N80" s="12">
        <v>7.5566827999999999</v>
      </c>
      <c r="O80" s="12">
        <v>5.0884425000000002</v>
      </c>
      <c r="P80" s="7">
        <v>16327.5</v>
      </c>
      <c r="Q80" s="7">
        <v>958.2</v>
      </c>
      <c r="R80" s="7">
        <v>5.6</v>
      </c>
      <c r="S80" s="12">
        <v>3.3994368000000001</v>
      </c>
      <c r="T80" s="12">
        <v>1.5</v>
      </c>
      <c r="U80" s="12">
        <v>100.16666669999999</v>
      </c>
      <c r="V80" s="12">
        <v>4.3781333</v>
      </c>
      <c r="W80" s="12">
        <v>1.2690355</v>
      </c>
      <c r="X80" s="12">
        <v>5.3248717000000001</v>
      </c>
      <c r="Y80" s="12">
        <v>6.1510834000000001</v>
      </c>
      <c r="Z80" s="12">
        <v>0.72179669999999996</v>
      </c>
      <c r="AA80" s="12">
        <v>51.137552300000003</v>
      </c>
      <c r="AB80" s="12">
        <v>19.019380300000002</v>
      </c>
      <c r="AC80" s="12">
        <v>27.652173600000001</v>
      </c>
      <c r="AD80" s="12">
        <v>46.730193499999999</v>
      </c>
      <c r="AE80" s="12">
        <v>44.539299700000001</v>
      </c>
      <c r="AF80" s="12">
        <v>5.1442690000000004</v>
      </c>
      <c r="AG80" s="12">
        <v>54.501363900000001</v>
      </c>
    </row>
    <row r="81" spans="1:33" s="11" customFormat="1" hidden="1" outlineLevel="1" x14ac:dyDescent="0.3">
      <c r="A81" s="11" t="s">
        <v>87</v>
      </c>
      <c r="B81" s="12">
        <v>3.0351661999999999</v>
      </c>
      <c r="C81" s="12">
        <v>101</v>
      </c>
      <c r="D81" s="12">
        <v>1.766642</v>
      </c>
      <c r="E81" s="17">
        <v>0</v>
      </c>
      <c r="F81" s="13">
        <v>53.68</v>
      </c>
      <c r="G81" s="12">
        <v>7.0606033999999998</v>
      </c>
      <c r="H81" s="12">
        <v>8.8609267000000003</v>
      </c>
      <c r="I81" s="12">
        <v>0.4467913</v>
      </c>
      <c r="J81" s="12">
        <v>5.9370779000000002</v>
      </c>
      <c r="K81" s="12">
        <v>5.7034751999999997</v>
      </c>
      <c r="L81" s="12">
        <v>1.6890552000000001</v>
      </c>
      <c r="M81" s="12">
        <v>9.6308670000000003</v>
      </c>
      <c r="N81" s="12">
        <v>11.7322606</v>
      </c>
      <c r="O81" s="12">
        <v>10.9462697</v>
      </c>
      <c r="P81" s="7">
        <v>16280.9</v>
      </c>
      <c r="Q81" s="7">
        <v>926.4</v>
      </c>
      <c r="R81" s="7">
        <v>5.4</v>
      </c>
      <c r="S81" s="12">
        <v>4.5254465000000001</v>
      </c>
      <c r="T81" s="12">
        <v>1.5</v>
      </c>
      <c r="U81" s="12">
        <v>101.1333333</v>
      </c>
      <c r="V81" s="12">
        <v>4.3207667000000001</v>
      </c>
      <c r="W81" s="12">
        <v>7.2830063000000003</v>
      </c>
      <c r="X81" s="12">
        <v>15.262064199999999</v>
      </c>
      <c r="Y81" s="12">
        <v>16.8157745</v>
      </c>
      <c r="Z81" s="12">
        <v>-0.18078549999999999</v>
      </c>
      <c r="AA81" s="12">
        <v>65.153134800000004</v>
      </c>
      <c r="AB81" s="12">
        <v>17.0106739</v>
      </c>
      <c r="AC81" s="12">
        <v>14.7071059</v>
      </c>
      <c r="AD81" s="12">
        <v>55.175116099999997</v>
      </c>
      <c r="AE81" s="12">
        <v>52.046030799999997</v>
      </c>
      <c r="AF81" s="12">
        <v>4.4424206000000002</v>
      </c>
      <c r="AG81" s="12">
        <v>51.282281500000003</v>
      </c>
    </row>
    <row r="82" spans="1:33" s="11" customFormat="1" hidden="1" outlineLevel="1" x14ac:dyDescent="0.3">
      <c r="A82" s="11" t="s">
        <v>88</v>
      </c>
      <c r="B82" s="12">
        <v>2.3084487</v>
      </c>
      <c r="C82" s="12">
        <v>102.11333329999999</v>
      </c>
      <c r="D82" s="12">
        <v>1.6862509999999999</v>
      </c>
      <c r="E82" s="17">
        <v>0</v>
      </c>
      <c r="F82" s="13">
        <v>49.67</v>
      </c>
      <c r="G82" s="12">
        <v>5.3101580000000004</v>
      </c>
      <c r="H82" s="12">
        <v>7.5125640999999996</v>
      </c>
      <c r="I82" s="12">
        <v>-1.7438872000000001</v>
      </c>
      <c r="J82" s="12">
        <v>4.8519350000000001</v>
      </c>
      <c r="K82" s="12">
        <v>6.2749138999999996</v>
      </c>
      <c r="L82" s="12">
        <v>2.5386894</v>
      </c>
      <c r="M82" s="12">
        <v>9.4747859999999999</v>
      </c>
      <c r="N82" s="12">
        <v>5.2124772999999998</v>
      </c>
      <c r="O82" s="12">
        <v>7.7031482999999996</v>
      </c>
      <c r="P82" s="7">
        <v>16495.900000000001</v>
      </c>
      <c r="Q82" s="7">
        <v>862.9</v>
      </c>
      <c r="R82" s="7">
        <v>5</v>
      </c>
      <c r="S82" s="12">
        <v>5.1531412000000003</v>
      </c>
      <c r="T82" s="12">
        <v>1.5</v>
      </c>
      <c r="U82" s="12">
        <v>101.5</v>
      </c>
      <c r="V82" s="12">
        <v>4.2161666999999996</v>
      </c>
      <c r="W82" s="12">
        <v>4.3618740000000003</v>
      </c>
      <c r="X82" s="12">
        <v>11.611963599999999</v>
      </c>
      <c r="Y82" s="12">
        <v>13.6363179</v>
      </c>
      <c r="Z82" s="12">
        <v>-1.954205</v>
      </c>
      <c r="AA82" s="12">
        <v>60.196141900000001</v>
      </c>
      <c r="AB82" s="12">
        <v>17.4200859</v>
      </c>
      <c r="AC82" s="12">
        <v>18.8467451</v>
      </c>
      <c r="AD82" s="12">
        <v>53.254173600000001</v>
      </c>
      <c r="AE82" s="12">
        <v>49.717146499999998</v>
      </c>
      <c r="AF82" s="12">
        <v>3.0223779999999998</v>
      </c>
      <c r="AG82" s="12">
        <v>51.459960000000002</v>
      </c>
    </row>
    <row r="83" spans="1:33" s="11" customFormat="1" hidden="1" outlineLevel="1" x14ac:dyDescent="0.3">
      <c r="A83" s="11" t="s">
        <v>89</v>
      </c>
      <c r="B83" s="12">
        <v>3.0333996999999999</v>
      </c>
      <c r="C83" s="12">
        <v>102.1166667</v>
      </c>
      <c r="D83" s="12">
        <v>1.6895705000000001</v>
      </c>
      <c r="E83" s="17">
        <v>0</v>
      </c>
      <c r="F83" s="13">
        <v>52.11</v>
      </c>
      <c r="G83" s="12">
        <v>7.2846858000000001</v>
      </c>
      <c r="H83" s="12">
        <v>9.4941236</v>
      </c>
      <c r="I83" s="12">
        <v>-0.90119470000000002</v>
      </c>
      <c r="J83" s="12">
        <v>5.7343235999999997</v>
      </c>
      <c r="K83" s="12">
        <v>6.2767806999999998</v>
      </c>
      <c r="L83" s="12">
        <v>2.8541007999999999</v>
      </c>
      <c r="M83" s="12">
        <v>2.1315407</v>
      </c>
      <c r="N83" s="12">
        <v>10.242010799999999</v>
      </c>
      <c r="O83" s="12">
        <v>8.4191073999999997</v>
      </c>
      <c r="P83" s="7">
        <v>16509.7</v>
      </c>
      <c r="Q83" s="7">
        <v>817.5</v>
      </c>
      <c r="R83" s="7">
        <v>4.7</v>
      </c>
      <c r="S83" s="12">
        <v>5.8545695000000002</v>
      </c>
      <c r="T83" s="12">
        <v>1.5</v>
      </c>
      <c r="U83" s="12">
        <v>101.1333333</v>
      </c>
      <c r="V83" s="12">
        <v>4.2573667000000004</v>
      </c>
      <c r="W83" s="12">
        <v>6.4696224000000004</v>
      </c>
      <c r="X83" s="12">
        <v>14.6340675</v>
      </c>
      <c r="Y83" s="12">
        <v>11.999249000000001</v>
      </c>
      <c r="Z83" s="12">
        <v>-1.567553</v>
      </c>
      <c r="AA83" s="12">
        <v>61.221961399999998</v>
      </c>
      <c r="AB83" s="12">
        <v>17.0444377</v>
      </c>
      <c r="AC83" s="12">
        <v>18.6051967</v>
      </c>
      <c r="AD83" s="12">
        <v>52.4334791</v>
      </c>
      <c r="AE83" s="12">
        <v>49.305074900000001</v>
      </c>
      <c r="AF83" s="12">
        <v>3.2755402</v>
      </c>
      <c r="AG83" s="12">
        <v>51.191853500000001</v>
      </c>
    </row>
    <row r="84" spans="1:33" s="11" customFormat="1" hidden="1" outlineLevel="1" x14ac:dyDescent="0.3">
      <c r="A84" s="11" t="s">
        <v>90</v>
      </c>
      <c r="B84" s="12">
        <v>2.9900169999999999</v>
      </c>
      <c r="C84" s="12">
        <v>102.6233333</v>
      </c>
      <c r="D84" s="12">
        <v>1.7146821999999999</v>
      </c>
      <c r="E84" s="17">
        <v>0</v>
      </c>
      <c r="F84" s="13">
        <v>61.53</v>
      </c>
      <c r="G84" s="12">
        <v>8.8915185999999995</v>
      </c>
      <c r="H84" s="12">
        <v>12.6538582</v>
      </c>
      <c r="I84" s="12">
        <v>-3.3985826000000001</v>
      </c>
      <c r="J84" s="12">
        <v>4.2285117999999997</v>
      </c>
      <c r="K84" s="12">
        <v>6.7839485000000002</v>
      </c>
      <c r="L84" s="12">
        <v>3.5592291</v>
      </c>
      <c r="M84" s="12">
        <v>4.0564929999999997</v>
      </c>
      <c r="N84" s="12">
        <v>9.2309625000000004</v>
      </c>
      <c r="O84" s="12">
        <v>12.4119612</v>
      </c>
      <c r="P84" s="7">
        <v>16404.3</v>
      </c>
      <c r="Q84" s="7">
        <v>768.7</v>
      </c>
      <c r="R84" s="7">
        <v>4.5</v>
      </c>
      <c r="S84" s="12">
        <v>7.0626132000000004</v>
      </c>
      <c r="T84" s="12">
        <v>1.5</v>
      </c>
      <c r="U84" s="12">
        <v>101.9333333</v>
      </c>
      <c r="V84" s="12">
        <v>4.2309000000000001</v>
      </c>
      <c r="W84" s="12">
        <v>8.2706766999999992</v>
      </c>
      <c r="X84" s="12">
        <v>13.264911</v>
      </c>
      <c r="Y84" s="12">
        <v>14.500345899999999</v>
      </c>
      <c r="Z84" s="12">
        <v>-0.81361050000000001</v>
      </c>
      <c r="AA84" s="12">
        <v>52.552225399999998</v>
      </c>
      <c r="AB84" s="12">
        <v>19.066380800000001</v>
      </c>
      <c r="AC84" s="12">
        <v>26.6694797</v>
      </c>
      <c r="AD84" s="12">
        <v>48.113894899999998</v>
      </c>
      <c r="AE84" s="12">
        <v>46.401980799999997</v>
      </c>
      <c r="AF84" s="12">
        <v>1.6990296</v>
      </c>
      <c r="AG84" s="12">
        <v>50.797006600000003</v>
      </c>
    </row>
    <row r="85" spans="1:33" s="11" customFormat="1" hidden="1" outlineLevel="1" x14ac:dyDescent="0.3">
      <c r="A85" s="11" t="s">
        <v>91</v>
      </c>
      <c r="B85" s="12">
        <v>2.2828298</v>
      </c>
      <c r="C85" s="12">
        <v>102.5466667</v>
      </c>
      <c r="D85" s="12">
        <v>1.5313532000000001</v>
      </c>
      <c r="E85" s="17">
        <v>0</v>
      </c>
      <c r="F85" s="13">
        <v>66.806666699999994</v>
      </c>
      <c r="G85" s="12">
        <v>7.2132009999999998</v>
      </c>
      <c r="H85" s="12">
        <v>11.384872</v>
      </c>
      <c r="I85" s="12">
        <v>2.0201286000000001</v>
      </c>
      <c r="J85" s="12">
        <v>6.0998330000000003</v>
      </c>
      <c r="K85" s="12">
        <v>3.8200497000000002</v>
      </c>
      <c r="L85" s="12">
        <v>2.7853488</v>
      </c>
      <c r="M85" s="12">
        <v>28.888976700000001</v>
      </c>
      <c r="N85" s="12">
        <v>4.2118846000000003</v>
      </c>
      <c r="O85" s="12">
        <v>6.7683201000000004</v>
      </c>
      <c r="P85" s="7">
        <v>16344.2</v>
      </c>
      <c r="Q85" s="7">
        <v>709</v>
      </c>
      <c r="R85" s="7">
        <v>4.2</v>
      </c>
      <c r="S85" s="12">
        <v>6.9507671999999996</v>
      </c>
      <c r="T85" s="12">
        <v>1.5</v>
      </c>
      <c r="U85" s="12">
        <v>102.1333333</v>
      </c>
      <c r="V85" s="12">
        <v>4.1792332999999999</v>
      </c>
      <c r="W85" s="12">
        <v>5.7346560000000002</v>
      </c>
      <c r="X85" s="12">
        <v>8.0681280999999991</v>
      </c>
      <c r="Y85" s="12">
        <v>10.105213300000001</v>
      </c>
      <c r="Z85" s="12">
        <v>-1.6594835999999999</v>
      </c>
      <c r="AA85" s="12">
        <v>64.529988799999998</v>
      </c>
      <c r="AB85" s="12">
        <v>16.850344700000001</v>
      </c>
      <c r="AC85" s="12">
        <v>16.505044000000002</v>
      </c>
      <c r="AD85" s="12">
        <v>54.043349200000002</v>
      </c>
      <c r="AE85" s="12">
        <v>51.928726699999999</v>
      </c>
      <c r="AF85" s="12">
        <v>3.2591315999999999</v>
      </c>
      <c r="AG85" s="12">
        <v>48.577760900000001</v>
      </c>
    </row>
    <row r="86" spans="1:33" s="11" customFormat="1" hidden="1" outlineLevel="1" x14ac:dyDescent="0.3">
      <c r="A86" s="11" t="s">
        <v>92</v>
      </c>
      <c r="B86" s="12">
        <v>2.5023559999999998</v>
      </c>
      <c r="C86" s="12">
        <v>104.0133333</v>
      </c>
      <c r="D86" s="12">
        <v>1.8606777000000001</v>
      </c>
      <c r="E86" s="17">
        <v>0</v>
      </c>
      <c r="F86" s="13">
        <v>74.5</v>
      </c>
      <c r="G86" s="12">
        <v>5.5007431000000002</v>
      </c>
      <c r="H86" s="12">
        <v>9.4774481999999995</v>
      </c>
      <c r="I86" s="12">
        <v>-0.2569168</v>
      </c>
      <c r="J86" s="12">
        <v>6.4173821000000002</v>
      </c>
      <c r="K86" s="12">
        <v>4.2929700999999998</v>
      </c>
      <c r="L86" s="12">
        <v>2.8009054999999998</v>
      </c>
      <c r="M86" s="12">
        <v>11.543524</v>
      </c>
      <c r="N86" s="12">
        <v>9.3897212000000003</v>
      </c>
      <c r="O86" s="12">
        <v>8.0287976000000008</v>
      </c>
      <c r="P86" s="7">
        <v>16565.5</v>
      </c>
      <c r="Q86" s="7">
        <v>617</v>
      </c>
      <c r="R86" s="7">
        <v>3.6</v>
      </c>
      <c r="S86" s="12">
        <v>7.4472630000000004</v>
      </c>
      <c r="T86" s="12">
        <v>1.5</v>
      </c>
      <c r="U86" s="12">
        <v>102.66666669999999</v>
      </c>
      <c r="V86" s="12">
        <v>4.2608332999999998</v>
      </c>
      <c r="W86" s="12">
        <v>7.0897832000000003</v>
      </c>
      <c r="X86" s="12">
        <v>8.7660630000000008</v>
      </c>
      <c r="Y86" s="12">
        <v>9.9127369000000005</v>
      </c>
      <c r="Z86" s="12">
        <v>-1.5391093</v>
      </c>
      <c r="AA86" s="12">
        <v>60.095533600000003</v>
      </c>
      <c r="AB86" s="12">
        <v>17.3670185</v>
      </c>
      <c r="AC86" s="12">
        <v>19.419142000000001</v>
      </c>
      <c r="AD86" s="12">
        <v>54.887431200000002</v>
      </c>
      <c r="AE86" s="12">
        <v>51.769125299999999</v>
      </c>
      <c r="AF86" s="12">
        <v>4.7774970000000003</v>
      </c>
      <c r="AG86" s="12">
        <v>48.6227643</v>
      </c>
    </row>
    <row r="87" spans="1:33" s="11" customFormat="1" hidden="1" outlineLevel="1" x14ac:dyDescent="0.3">
      <c r="A87" s="11" t="s">
        <v>93</v>
      </c>
      <c r="B87" s="12">
        <v>1.7229988000000001</v>
      </c>
      <c r="C87" s="12">
        <v>104.3666667</v>
      </c>
      <c r="D87" s="12">
        <v>2.2033621999999999</v>
      </c>
      <c r="E87" s="17">
        <v>0</v>
      </c>
      <c r="F87" s="13">
        <v>75.223333299999993</v>
      </c>
      <c r="G87" s="12">
        <v>7.0671847999999997</v>
      </c>
      <c r="H87" s="12">
        <v>8.8679112</v>
      </c>
      <c r="I87" s="12">
        <v>-0.21526670000000001</v>
      </c>
      <c r="J87" s="12">
        <v>6.4235851999999998</v>
      </c>
      <c r="K87" s="12">
        <v>4.2945634999999998</v>
      </c>
      <c r="L87" s="12">
        <v>4.4915655000000001</v>
      </c>
      <c r="M87" s="12">
        <v>16.5494521</v>
      </c>
      <c r="N87" s="12">
        <v>6.8083432999999998</v>
      </c>
      <c r="O87" s="12">
        <v>7.7189560999999998</v>
      </c>
      <c r="P87" s="7">
        <v>16617.5</v>
      </c>
      <c r="Q87" s="7">
        <v>661.6</v>
      </c>
      <c r="R87" s="7">
        <v>3.8</v>
      </c>
      <c r="S87" s="12">
        <v>6.8903656</v>
      </c>
      <c r="T87" s="12">
        <v>1.5</v>
      </c>
      <c r="U87" s="12">
        <v>102.5666667</v>
      </c>
      <c r="V87" s="12">
        <v>4.3034333</v>
      </c>
      <c r="W87" s="12">
        <v>5.7988894999999996</v>
      </c>
      <c r="X87" s="12">
        <v>8.0203956999999999</v>
      </c>
      <c r="Y87" s="12">
        <v>10.816209499999999</v>
      </c>
      <c r="Z87" s="12">
        <v>-3.7229228000000001</v>
      </c>
      <c r="AA87" s="12">
        <v>60.447498500000002</v>
      </c>
      <c r="AB87" s="12">
        <v>17.096034100000001</v>
      </c>
      <c r="AC87" s="12">
        <v>20.575338899999998</v>
      </c>
      <c r="AD87" s="12">
        <v>53.114229199999997</v>
      </c>
      <c r="AE87" s="12">
        <v>51.2331006</v>
      </c>
      <c r="AF87" s="12">
        <v>5.3125738</v>
      </c>
      <c r="AG87" s="12">
        <v>48.4364493</v>
      </c>
    </row>
    <row r="88" spans="1:33" s="11" customFormat="1" hidden="1" outlineLevel="1" x14ac:dyDescent="0.3">
      <c r="A88" s="11" t="s">
        <v>94</v>
      </c>
      <c r="B88" s="12">
        <v>1.7730376000000001</v>
      </c>
      <c r="C88" s="12">
        <v>104.64</v>
      </c>
      <c r="D88" s="12">
        <v>1.9651152000000001</v>
      </c>
      <c r="E88" s="17">
        <v>0</v>
      </c>
      <c r="F88" s="13">
        <v>67.713333300000002</v>
      </c>
      <c r="G88" s="12">
        <v>9.1201130999999993</v>
      </c>
      <c r="H88" s="12">
        <v>12.697234099999999</v>
      </c>
      <c r="I88" s="12">
        <v>-2.1319260999999998</v>
      </c>
      <c r="J88" s="12">
        <v>4.9968516000000003</v>
      </c>
      <c r="K88" s="12">
        <v>5.0910861000000001</v>
      </c>
      <c r="L88" s="12">
        <v>3.9195798000000002</v>
      </c>
      <c r="M88" s="12">
        <v>7.0282939000000004</v>
      </c>
      <c r="N88" s="12">
        <v>6.6076265000000003</v>
      </c>
      <c r="O88" s="12">
        <v>7.5608212999999997</v>
      </c>
      <c r="P88" s="7">
        <v>16409</v>
      </c>
      <c r="Q88" s="7">
        <v>649.4</v>
      </c>
      <c r="R88" s="7">
        <v>3.8</v>
      </c>
      <c r="S88" s="12">
        <v>7.0915264000000002</v>
      </c>
      <c r="T88" s="12">
        <v>1.5</v>
      </c>
      <c r="U88" s="12">
        <v>103.1</v>
      </c>
      <c r="V88" s="12">
        <v>4.2988</v>
      </c>
      <c r="W88" s="12">
        <v>5.0057871</v>
      </c>
      <c r="X88" s="12">
        <v>9.1281618000000009</v>
      </c>
      <c r="Y88" s="12">
        <v>10.410390899999999</v>
      </c>
      <c r="Z88" s="12">
        <v>-0.92286619999999997</v>
      </c>
      <c r="AA88" s="12">
        <v>51.740710900000003</v>
      </c>
      <c r="AB88" s="12">
        <v>19.037112100000002</v>
      </c>
      <c r="AC88" s="12">
        <v>28.0037856</v>
      </c>
      <c r="AD88" s="12">
        <v>49.538494900000003</v>
      </c>
      <c r="AE88" s="12">
        <v>48.320103400000001</v>
      </c>
      <c r="AF88" s="12">
        <v>6.9298878000000004</v>
      </c>
      <c r="AG88" s="12">
        <v>48.708914999999998</v>
      </c>
    </row>
    <row r="89" spans="1:33" s="11" customFormat="1" hidden="1" outlineLevel="1" x14ac:dyDescent="0.3">
      <c r="A89" s="11" t="s">
        <v>95</v>
      </c>
      <c r="B89" s="12">
        <v>1.9308453999999999</v>
      </c>
      <c r="C89" s="12">
        <v>104.17</v>
      </c>
      <c r="D89" s="12">
        <v>1.5830191</v>
      </c>
      <c r="E89" s="17">
        <v>0</v>
      </c>
      <c r="F89" s="13">
        <v>63.17</v>
      </c>
      <c r="G89" s="12">
        <v>6.7131337000000002</v>
      </c>
      <c r="H89" s="12">
        <v>8.7851514999999996</v>
      </c>
      <c r="I89" s="12">
        <v>2.8098173000000002</v>
      </c>
      <c r="J89" s="12">
        <v>4.9666834</v>
      </c>
      <c r="K89" s="12">
        <v>3.2110883000000001</v>
      </c>
      <c r="L89" s="12">
        <v>8.9542003000000001</v>
      </c>
      <c r="M89" s="12">
        <v>-2.2363688000000002</v>
      </c>
      <c r="N89" s="12">
        <v>9.1503159000000007</v>
      </c>
      <c r="O89" s="12">
        <v>6.0011184000000002</v>
      </c>
      <c r="P89" s="7">
        <v>16274.1</v>
      </c>
      <c r="Q89" s="7">
        <v>665.7</v>
      </c>
      <c r="R89" s="7">
        <v>3.9</v>
      </c>
      <c r="S89" s="12">
        <v>6.8980436999999997</v>
      </c>
      <c r="T89" s="12">
        <v>1.5</v>
      </c>
      <c r="U89" s="12">
        <v>103.33333330000001</v>
      </c>
      <c r="V89" s="12">
        <v>4.3019999999999996</v>
      </c>
      <c r="W89" s="12">
        <v>6.0979184999999996</v>
      </c>
      <c r="X89" s="12">
        <v>9.3396421000000007</v>
      </c>
      <c r="Y89" s="12">
        <v>5.7337509999999998</v>
      </c>
      <c r="Z89" s="12">
        <v>-0.86185560000000005</v>
      </c>
      <c r="AA89" s="12">
        <v>62.771626500000004</v>
      </c>
      <c r="AB89" s="12">
        <v>17.499994300000001</v>
      </c>
      <c r="AC89" s="12">
        <v>15.730522199999999</v>
      </c>
      <c r="AD89" s="12">
        <v>56.493859</v>
      </c>
      <c r="AE89" s="12">
        <v>52.496001999999997</v>
      </c>
      <c r="AF89" s="12">
        <v>6.8847028000000003</v>
      </c>
      <c r="AG89" s="12">
        <v>46.178706300000002</v>
      </c>
    </row>
    <row r="90" spans="1:33" s="11" customFormat="1" hidden="1" outlineLevel="1" x14ac:dyDescent="0.3">
      <c r="A90" s="11" t="s">
        <v>96</v>
      </c>
      <c r="B90" s="12">
        <v>1.5959346999999999</v>
      </c>
      <c r="C90" s="12">
        <v>105.7566667</v>
      </c>
      <c r="D90" s="12">
        <v>1.6760672000000001</v>
      </c>
      <c r="E90" s="17">
        <v>0</v>
      </c>
      <c r="F90" s="13">
        <v>68.923333299999996</v>
      </c>
      <c r="G90" s="12">
        <v>11.0604198</v>
      </c>
      <c r="H90" s="12">
        <v>10.335723</v>
      </c>
      <c r="I90" s="12">
        <v>-0.53254179999999995</v>
      </c>
      <c r="J90" s="12">
        <v>4.5969692000000002</v>
      </c>
      <c r="K90" s="12">
        <v>3.2948464999999998</v>
      </c>
      <c r="L90" s="12">
        <v>5.2136148000000002</v>
      </c>
      <c r="M90" s="12">
        <v>8.1663260999999991</v>
      </c>
      <c r="N90" s="12">
        <v>3.5394557</v>
      </c>
      <c r="O90" s="12">
        <v>3.4315826</v>
      </c>
      <c r="P90" s="7">
        <v>16483.7</v>
      </c>
      <c r="Q90" s="7">
        <v>547.5</v>
      </c>
      <c r="R90" s="7">
        <v>3.2</v>
      </c>
      <c r="S90" s="12">
        <v>6.6958447999999997</v>
      </c>
      <c r="T90" s="12">
        <v>1.5</v>
      </c>
      <c r="U90" s="12">
        <v>104.9666667</v>
      </c>
      <c r="V90" s="12">
        <v>4.2819000000000003</v>
      </c>
      <c r="W90" s="12">
        <v>4.5388840000000004</v>
      </c>
      <c r="X90" s="12">
        <v>7.0158471999999996</v>
      </c>
      <c r="Y90" s="12">
        <v>5.8449441000000002</v>
      </c>
      <c r="Z90" s="12">
        <v>-0.9502756</v>
      </c>
      <c r="AA90" s="12">
        <v>58.770243399999998</v>
      </c>
      <c r="AB90" s="12">
        <v>17.4506294</v>
      </c>
      <c r="AC90" s="12">
        <v>20.1327313</v>
      </c>
      <c r="AD90" s="12">
        <v>54.3702793</v>
      </c>
      <c r="AE90" s="12">
        <v>50.723883399999998</v>
      </c>
      <c r="AF90" s="12">
        <v>6.0221803999999999</v>
      </c>
      <c r="AG90" s="12">
        <v>45.9756468</v>
      </c>
    </row>
    <row r="91" spans="1:33" s="11" customFormat="1" hidden="1" outlineLevel="1" x14ac:dyDescent="0.3">
      <c r="A91" s="11" t="s">
        <v>97</v>
      </c>
      <c r="B91" s="12">
        <v>2.3612953000000001</v>
      </c>
      <c r="C91" s="12">
        <v>105.74</v>
      </c>
      <c r="D91" s="12">
        <v>1.3158734999999999</v>
      </c>
      <c r="E91" s="17">
        <v>0</v>
      </c>
      <c r="F91" s="13">
        <v>61.93</v>
      </c>
      <c r="G91" s="12">
        <v>8.4894732000000008</v>
      </c>
      <c r="H91" s="12">
        <v>9.2982790000000008</v>
      </c>
      <c r="I91" s="12">
        <v>9.1837799999999997E-2</v>
      </c>
      <c r="J91" s="12">
        <v>4.5674671</v>
      </c>
      <c r="K91" s="12">
        <v>3.8979382999999999</v>
      </c>
      <c r="L91" s="12">
        <v>7.4321381999999998</v>
      </c>
      <c r="M91" s="12">
        <v>0.90669569999999999</v>
      </c>
      <c r="N91" s="12">
        <v>5.5531712000000004</v>
      </c>
      <c r="O91" s="12">
        <v>4.1674927999999998</v>
      </c>
      <c r="P91" s="7">
        <v>16618.599999999999</v>
      </c>
      <c r="Q91" s="7">
        <v>532</v>
      </c>
      <c r="R91" s="7">
        <v>3.1</v>
      </c>
      <c r="S91" s="12">
        <v>6.9266385000000001</v>
      </c>
      <c r="T91" s="12">
        <v>1.5</v>
      </c>
      <c r="U91" s="12">
        <v>105.16666669999999</v>
      </c>
      <c r="V91" s="12">
        <v>4.3197666999999997</v>
      </c>
      <c r="W91" s="12">
        <v>3.2361515999999999</v>
      </c>
      <c r="X91" s="12">
        <v>7.7920103000000003</v>
      </c>
      <c r="Y91" s="12">
        <v>4.6431455000000001</v>
      </c>
      <c r="Z91" s="12">
        <v>-1.5446922999999999</v>
      </c>
      <c r="AA91" s="12">
        <v>59.553052299999997</v>
      </c>
      <c r="AB91" s="12">
        <v>17.585678399999999</v>
      </c>
      <c r="AC91" s="12">
        <v>19.473544</v>
      </c>
      <c r="AD91" s="12">
        <v>53.315556899999997</v>
      </c>
      <c r="AE91" s="12">
        <v>49.927831599999998</v>
      </c>
      <c r="AF91" s="12">
        <v>7.2243465000000002</v>
      </c>
      <c r="AG91" s="12">
        <v>46.144797500000003</v>
      </c>
    </row>
    <row r="92" spans="1:33" s="11" customFormat="1" hidden="1" outlineLevel="1" x14ac:dyDescent="0.3">
      <c r="A92" s="11" t="s">
        <v>98</v>
      </c>
      <c r="B92" s="12">
        <v>1.3592039</v>
      </c>
      <c r="C92" s="12">
        <v>106.0066667</v>
      </c>
      <c r="D92" s="12">
        <v>1.3060653</v>
      </c>
      <c r="E92" s="17">
        <v>0</v>
      </c>
      <c r="F92" s="13">
        <v>63.41</v>
      </c>
      <c r="G92" s="12">
        <v>8.5924133999999999</v>
      </c>
      <c r="H92" s="12">
        <v>2.3076031000000001</v>
      </c>
      <c r="I92" s="12">
        <v>-4.6065268000000001</v>
      </c>
      <c r="J92" s="12">
        <v>3.7892947000000001</v>
      </c>
      <c r="K92" s="12">
        <v>3.4734934000000002</v>
      </c>
      <c r="L92" s="12">
        <v>4.9125746000000001</v>
      </c>
      <c r="M92" s="12">
        <v>-3.0708427999999999</v>
      </c>
      <c r="N92" s="12">
        <v>3.3888626999999998</v>
      </c>
      <c r="O92" s="12">
        <v>-0.5048108</v>
      </c>
      <c r="P92" s="7">
        <v>16467.400000000001</v>
      </c>
      <c r="Q92" s="7">
        <v>485.8</v>
      </c>
      <c r="R92" s="7">
        <v>2.9</v>
      </c>
      <c r="S92" s="12">
        <v>5.8300660000000004</v>
      </c>
      <c r="T92" s="12">
        <v>1.5</v>
      </c>
      <c r="U92" s="12">
        <v>105.7666667</v>
      </c>
      <c r="V92" s="12">
        <v>4.2864667000000001</v>
      </c>
      <c r="W92" s="12">
        <v>2.8658032000000002</v>
      </c>
      <c r="X92" s="12">
        <v>6.5454150000000002</v>
      </c>
      <c r="Y92" s="12">
        <v>0.84631100000000004</v>
      </c>
      <c r="Z92" s="12">
        <v>2.0589897000000001</v>
      </c>
      <c r="AA92" s="12">
        <v>51.213948799999997</v>
      </c>
      <c r="AB92" s="12">
        <v>19.3382313</v>
      </c>
      <c r="AC92" s="12">
        <v>25.6623743</v>
      </c>
      <c r="AD92" s="12">
        <v>49.341726700000002</v>
      </c>
      <c r="AE92" s="12">
        <v>45.556280999999998</v>
      </c>
      <c r="AF92" s="12">
        <v>5.9595894999999999</v>
      </c>
      <c r="AG92" s="12">
        <v>45.707872299999998</v>
      </c>
    </row>
    <row r="93" spans="1:33" s="11" customFormat="1" hidden="1" outlineLevel="1" x14ac:dyDescent="0.3">
      <c r="A93" s="11" t="s">
        <v>99</v>
      </c>
      <c r="B93" s="12">
        <v>-2.2061226999999999</v>
      </c>
      <c r="C93" s="12">
        <v>105.74666670000001</v>
      </c>
      <c r="D93" s="12">
        <v>1.5135516</v>
      </c>
      <c r="E93" s="17">
        <v>0</v>
      </c>
      <c r="F93" s="13">
        <v>50.44</v>
      </c>
      <c r="G93" s="12">
        <v>9.8275390999999992</v>
      </c>
      <c r="H93" s="12">
        <v>-3.1731976999999998</v>
      </c>
      <c r="I93" s="12">
        <v>-2.2866084999999998</v>
      </c>
      <c r="J93" s="12">
        <v>2.6697141000000002</v>
      </c>
      <c r="K93" s="12">
        <v>0.49352240000000003</v>
      </c>
      <c r="L93" s="12">
        <v>3.4413127999999999</v>
      </c>
      <c r="M93" s="12">
        <v>6.0179906000000001</v>
      </c>
      <c r="N93" s="12">
        <v>2.5910058</v>
      </c>
      <c r="O93" s="12">
        <v>1.5298532</v>
      </c>
      <c r="P93" s="7">
        <v>16425.2</v>
      </c>
      <c r="Q93" s="7">
        <v>528.79999999999995</v>
      </c>
      <c r="R93" s="7">
        <v>3.1</v>
      </c>
      <c r="S93" s="12">
        <v>7.0235116</v>
      </c>
      <c r="T93" s="12">
        <v>1</v>
      </c>
      <c r="U93" s="12">
        <v>107.3666667</v>
      </c>
      <c r="V93" s="12">
        <v>4.3226332999999997</v>
      </c>
      <c r="W93" s="12">
        <v>0.93948609999999999</v>
      </c>
      <c r="X93" s="12">
        <v>3.0999382</v>
      </c>
      <c r="Y93" s="12">
        <v>2.1393032999999999</v>
      </c>
      <c r="Z93" s="12">
        <v>0.79488999999999999</v>
      </c>
      <c r="AA93" s="12">
        <v>62.508181100000002</v>
      </c>
      <c r="AB93" s="12">
        <v>17.6706726</v>
      </c>
      <c r="AC93" s="12">
        <v>15.4357335</v>
      </c>
      <c r="AD93" s="12">
        <v>55.200238200000001</v>
      </c>
      <c r="AE93" s="12">
        <v>50.814825499999998</v>
      </c>
      <c r="AF93" s="12">
        <v>6.9243839999999999</v>
      </c>
      <c r="AG93" s="12">
        <v>47.2298081</v>
      </c>
    </row>
    <row r="94" spans="1:33" s="11" customFormat="1" hidden="1" outlineLevel="1" x14ac:dyDescent="0.3">
      <c r="A94" s="11" t="s">
        <v>100</v>
      </c>
      <c r="B94" s="12">
        <v>-13.380244299999999</v>
      </c>
      <c r="C94" s="12">
        <v>106.50333329999999</v>
      </c>
      <c r="D94" s="12">
        <v>0.70602319999999996</v>
      </c>
      <c r="E94" s="17">
        <v>0</v>
      </c>
      <c r="F94" s="13">
        <v>29.343333300000001</v>
      </c>
      <c r="G94" s="12">
        <v>40.325246300000003</v>
      </c>
      <c r="H94" s="12">
        <v>3.5227018000000001</v>
      </c>
      <c r="I94" s="12">
        <v>-16.614242699999998</v>
      </c>
      <c r="J94" s="12">
        <v>-7.5293102999999997</v>
      </c>
      <c r="K94" s="12">
        <v>-10.8901694</v>
      </c>
      <c r="L94" s="12">
        <v>4.0813509999999997</v>
      </c>
      <c r="M94" s="12">
        <v>-13.4089647</v>
      </c>
      <c r="N94" s="12">
        <v>-15.0654</v>
      </c>
      <c r="O94" s="12">
        <v>-17.569238299999999</v>
      </c>
      <c r="P94" s="7">
        <v>16274.4</v>
      </c>
      <c r="Q94" s="7">
        <v>526.5</v>
      </c>
      <c r="R94" s="7">
        <v>3.1</v>
      </c>
      <c r="S94" s="12">
        <v>2.2318286999999999</v>
      </c>
      <c r="T94" s="12">
        <v>0.1</v>
      </c>
      <c r="U94" s="12">
        <v>108.5</v>
      </c>
      <c r="V94" s="12">
        <v>4.5045999999999999</v>
      </c>
      <c r="W94" s="12">
        <v>-14.2975663</v>
      </c>
      <c r="X94" s="12">
        <v>-17.031262000000002</v>
      </c>
      <c r="Y94" s="12">
        <v>-22.516521000000001</v>
      </c>
      <c r="Z94" s="12">
        <v>3.4801207000000001</v>
      </c>
      <c r="AA94" s="12">
        <v>56.7260955</v>
      </c>
      <c r="AB94" s="12">
        <v>19.456628200000001</v>
      </c>
      <c r="AC94" s="12">
        <v>17.656635300000001</v>
      </c>
      <c r="AD94" s="12">
        <v>49.651159100000001</v>
      </c>
      <c r="AE94" s="12">
        <v>43.490518199999997</v>
      </c>
      <c r="AF94" s="12">
        <v>4.3507752000000002</v>
      </c>
      <c r="AG94" s="12">
        <v>53.729907400000002</v>
      </c>
    </row>
    <row r="95" spans="1:33" s="11" customFormat="1" hidden="1" outlineLevel="1" x14ac:dyDescent="0.3">
      <c r="A95" s="11" t="s">
        <v>101</v>
      </c>
      <c r="B95" s="12">
        <v>-3.6984297000000002</v>
      </c>
      <c r="C95" s="12">
        <v>106.27</v>
      </c>
      <c r="D95" s="12">
        <v>0.50122940000000005</v>
      </c>
      <c r="E95" s="17">
        <v>0</v>
      </c>
      <c r="F95" s="13">
        <v>42.963333300000002</v>
      </c>
      <c r="G95" s="12">
        <v>13.288395899999999</v>
      </c>
      <c r="H95" s="12">
        <v>5.1983341999999997</v>
      </c>
      <c r="I95" s="12">
        <v>-3.1541822000000002</v>
      </c>
      <c r="J95" s="12">
        <v>-1.2784508000000001</v>
      </c>
      <c r="K95" s="12">
        <v>-0.2394675</v>
      </c>
      <c r="L95" s="12">
        <v>3.5662262</v>
      </c>
      <c r="M95" s="12">
        <v>-13.8395785</v>
      </c>
      <c r="N95" s="12">
        <v>1.0527986</v>
      </c>
      <c r="O95" s="12">
        <v>-0.64805009999999996</v>
      </c>
      <c r="P95" s="7">
        <v>16512.400000000001</v>
      </c>
      <c r="Q95" s="7">
        <v>561.4</v>
      </c>
      <c r="R95" s="7">
        <v>3.3</v>
      </c>
      <c r="S95" s="12">
        <v>4.5387126999999996</v>
      </c>
      <c r="T95" s="12">
        <v>0.1</v>
      </c>
      <c r="U95" s="12">
        <v>109.1</v>
      </c>
      <c r="V95" s="12">
        <v>4.4405000000000001</v>
      </c>
      <c r="W95" s="12">
        <v>2.7110986000000001</v>
      </c>
      <c r="X95" s="12">
        <v>0.81112660000000003</v>
      </c>
      <c r="Y95" s="12">
        <v>-3.9386146000000002</v>
      </c>
      <c r="Z95" s="12">
        <v>1.2463976999999999</v>
      </c>
      <c r="AA95" s="12">
        <v>59.060575800000002</v>
      </c>
      <c r="AB95" s="12">
        <v>18.1683235</v>
      </c>
      <c r="AC95" s="12">
        <v>17.019123</v>
      </c>
      <c r="AD95" s="12">
        <v>53.341477599999997</v>
      </c>
      <c r="AE95" s="12">
        <v>47.589500000000001</v>
      </c>
      <c r="AF95" s="12">
        <v>2.7317331</v>
      </c>
      <c r="AG95" s="12">
        <v>55.902923899999998</v>
      </c>
    </row>
    <row r="96" spans="1:33" s="11" customFormat="1" hidden="1" outlineLevel="1" x14ac:dyDescent="0.3">
      <c r="A96" s="11" t="s">
        <v>102</v>
      </c>
      <c r="B96" s="12">
        <v>-3.2236577</v>
      </c>
      <c r="C96" s="12">
        <v>106.2833333</v>
      </c>
      <c r="D96" s="12">
        <v>0.26098979999999999</v>
      </c>
      <c r="E96" s="17">
        <v>0</v>
      </c>
      <c r="F96" s="13">
        <v>44.29</v>
      </c>
      <c r="G96" s="12">
        <v>8.7191831000000004</v>
      </c>
      <c r="H96" s="12">
        <v>4.5331532000000001</v>
      </c>
      <c r="I96" s="12">
        <v>-6.4488484000000001</v>
      </c>
      <c r="J96" s="12">
        <v>-1.8127068</v>
      </c>
      <c r="K96" s="12">
        <v>-4.1821731</v>
      </c>
      <c r="L96" s="12">
        <v>7.6851580999999998</v>
      </c>
      <c r="M96" s="12">
        <v>-5.9552240000000003</v>
      </c>
      <c r="N96" s="12">
        <v>6.8677964999999999</v>
      </c>
      <c r="O96" s="12">
        <v>6.7488555999999997</v>
      </c>
      <c r="P96" s="7">
        <v>16555.5</v>
      </c>
      <c r="Q96" s="7">
        <v>530.9</v>
      </c>
      <c r="R96" s="7">
        <v>3.1</v>
      </c>
      <c r="S96" s="12">
        <v>5.4199674</v>
      </c>
      <c r="T96" s="12">
        <v>0.1</v>
      </c>
      <c r="U96" s="12">
        <v>109.6</v>
      </c>
      <c r="V96" s="12">
        <v>4.5049666999999998</v>
      </c>
      <c r="W96" s="12">
        <v>5.4915618000000004</v>
      </c>
      <c r="X96" s="12">
        <v>6.6555586</v>
      </c>
      <c r="Y96" s="12">
        <v>2.0228291</v>
      </c>
      <c r="Z96" s="12">
        <v>4.1296885999999997</v>
      </c>
      <c r="AA96" s="12">
        <v>49.044036699999999</v>
      </c>
      <c r="AB96" s="12">
        <v>20.692892499999999</v>
      </c>
      <c r="AC96" s="12">
        <v>24.014229</v>
      </c>
      <c r="AD96" s="12">
        <v>53.482334199999997</v>
      </c>
      <c r="AE96" s="12">
        <v>47.233492400000003</v>
      </c>
      <c r="AF96" s="12">
        <v>2.9689519</v>
      </c>
      <c r="AG96" s="12">
        <v>57.174787600000002</v>
      </c>
    </row>
    <row r="97" spans="1:33" s="11" customFormat="1" hidden="1" outlineLevel="1" x14ac:dyDescent="0.3">
      <c r="A97" s="11" t="s">
        <v>103</v>
      </c>
      <c r="B97" s="12">
        <v>-0.1765746</v>
      </c>
      <c r="C97" s="12">
        <v>107.21</v>
      </c>
      <c r="D97" s="12">
        <v>1.3838102999999999</v>
      </c>
      <c r="E97" s="17">
        <v>0</v>
      </c>
      <c r="F97" s="13">
        <v>60.82</v>
      </c>
      <c r="G97" s="12">
        <v>12.284090900000001</v>
      </c>
      <c r="H97" s="12">
        <v>16.169346099999999</v>
      </c>
      <c r="I97" s="12">
        <v>-0.99924159999999995</v>
      </c>
      <c r="J97" s="12">
        <v>-0.77140240000000004</v>
      </c>
      <c r="K97" s="12">
        <v>-0.1270415</v>
      </c>
      <c r="L97" s="12">
        <v>3.3973765999999999</v>
      </c>
      <c r="M97" s="12">
        <v>-9.4081887000000002</v>
      </c>
      <c r="N97" s="12">
        <v>6.5006575</v>
      </c>
      <c r="O97" s="12">
        <v>7.1854490999999996</v>
      </c>
      <c r="P97" s="7">
        <v>16433.099999999999</v>
      </c>
      <c r="Q97" s="7">
        <v>687.1</v>
      </c>
      <c r="R97" s="7">
        <v>4</v>
      </c>
      <c r="S97" s="12">
        <v>5.7890426000000001</v>
      </c>
      <c r="T97" s="12">
        <v>0.1</v>
      </c>
      <c r="U97" s="12">
        <v>111.5333333</v>
      </c>
      <c r="V97" s="12">
        <v>4.5430666999999998</v>
      </c>
      <c r="W97" s="12">
        <v>7.3364358000000003</v>
      </c>
      <c r="X97" s="12">
        <v>7.8577389000000002</v>
      </c>
      <c r="Y97" s="12">
        <v>5.6978128999999997</v>
      </c>
      <c r="Z97" s="12">
        <v>0.46951870000000001</v>
      </c>
      <c r="AA97" s="12">
        <v>60.209536999999997</v>
      </c>
      <c r="AB97" s="12">
        <v>17.8112429</v>
      </c>
      <c r="AC97" s="12">
        <v>16.2138998</v>
      </c>
      <c r="AD97" s="12">
        <v>58.7862261</v>
      </c>
      <c r="AE97" s="12">
        <v>53.0209057</v>
      </c>
      <c r="AF97" s="12">
        <v>1.0518978999999999</v>
      </c>
      <c r="AG97" s="12">
        <v>52.824685299999999</v>
      </c>
    </row>
    <row r="98" spans="1:33" s="11" customFormat="1" hidden="1" outlineLevel="1" x14ac:dyDescent="0.3">
      <c r="A98" s="11" t="s">
        <v>104</v>
      </c>
      <c r="B98" s="12">
        <v>14.630134099999999</v>
      </c>
      <c r="C98" s="12">
        <v>108.82</v>
      </c>
      <c r="D98" s="12">
        <v>2.1752058000000001</v>
      </c>
      <c r="E98" s="17">
        <v>0</v>
      </c>
      <c r="F98" s="13">
        <v>68.833333300000007</v>
      </c>
      <c r="G98" s="12">
        <v>-14.002955200000001</v>
      </c>
      <c r="H98" s="12">
        <v>15.7709318</v>
      </c>
      <c r="I98" s="12">
        <v>-0.87604930000000003</v>
      </c>
      <c r="J98" s="12">
        <v>11.3688907</v>
      </c>
      <c r="K98" s="12">
        <v>13.4273962</v>
      </c>
      <c r="L98" s="12">
        <v>5.4218669999999998</v>
      </c>
      <c r="M98" s="12">
        <v>15.3799166</v>
      </c>
      <c r="N98" s="12">
        <v>31.3880184</v>
      </c>
      <c r="O98" s="12">
        <v>35.516859799999999</v>
      </c>
      <c r="P98" s="7">
        <v>16596.8</v>
      </c>
      <c r="Q98" s="7">
        <v>606</v>
      </c>
      <c r="R98" s="7">
        <v>3.5</v>
      </c>
      <c r="S98" s="12">
        <v>9.9071757999999992</v>
      </c>
      <c r="T98" s="12">
        <v>0.1</v>
      </c>
      <c r="U98" s="12">
        <v>113.5</v>
      </c>
      <c r="V98" s="12">
        <v>4.5300333000000004</v>
      </c>
      <c r="W98" s="12">
        <v>30.0742175</v>
      </c>
      <c r="X98" s="12">
        <v>41.347492600000002</v>
      </c>
      <c r="Y98" s="12">
        <v>46.655515100000002</v>
      </c>
      <c r="Z98" s="12">
        <v>1.3173515</v>
      </c>
      <c r="AA98" s="12">
        <v>57.151888700000001</v>
      </c>
      <c r="AB98" s="12">
        <v>18.410843799999999</v>
      </c>
      <c r="AC98" s="12">
        <v>18.632246200000001</v>
      </c>
      <c r="AD98" s="12">
        <v>60.183971999999997</v>
      </c>
      <c r="AE98" s="12">
        <v>54.378950600000003</v>
      </c>
      <c r="AF98" s="12">
        <v>2.8789419000000001</v>
      </c>
      <c r="AG98" s="12">
        <v>53.287840000000003</v>
      </c>
    </row>
    <row r="99" spans="1:33" s="11" customFormat="1" hidden="1" outlineLevel="1" x14ac:dyDescent="0.3">
      <c r="A99" s="11" t="s">
        <v>105</v>
      </c>
      <c r="B99" s="12">
        <v>4.8925850000000004</v>
      </c>
      <c r="C99" s="12">
        <v>109.55666669999999</v>
      </c>
      <c r="D99" s="12">
        <v>3.0927511999999999</v>
      </c>
      <c r="E99" s="17">
        <v>0</v>
      </c>
      <c r="F99" s="13">
        <v>73.47</v>
      </c>
      <c r="G99" s="12">
        <v>1.6468769999999999</v>
      </c>
      <c r="H99" s="12">
        <v>10.5707948</v>
      </c>
      <c r="I99" s="12">
        <v>0.50435010000000002</v>
      </c>
      <c r="J99" s="12">
        <v>7.4604520000000001</v>
      </c>
      <c r="K99" s="12">
        <v>4.3363836999999998</v>
      </c>
      <c r="L99" s="12">
        <v>4.9931381000000004</v>
      </c>
      <c r="M99" s="12">
        <v>36.064940999999997</v>
      </c>
      <c r="N99" s="12">
        <v>8.0555727000000008</v>
      </c>
      <c r="O99" s="12">
        <v>13.3693668</v>
      </c>
      <c r="P99" s="7">
        <v>16814.2</v>
      </c>
      <c r="Q99" s="7">
        <v>528.1</v>
      </c>
      <c r="R99" s="7">
        <v>3.1</v>
      </c>
      <c r="S99" s="12">
        <v>8.9859708999999999</v>
      </c>
      <c r="T99" s="12">
        <v>0.1</v>
      </c>
      <c r="U99" s="12">
        <v>114.66666669999999</v>
      </c>
      <c r="V99" s="12">
        <v>4.5661332999999997</v>
      </c>
      <c r="W99" s="12">
        <v>10.310695600000001</v>
      </c>
      <c r="X99" s="12">
        <v>15.7863936</v>
      </c>
      <c r="Y99" s="12">
        <v>25.592093500000001</v>
      </c>
      <c r="Z99" s="12">
        <v>-3.5856773</v>
      </c>
      <c r="AA99" s="12">
        <v>57.775394499999997</v>
      </c>
      <c r="AB99" s="12">
        <v>17.754713299999999</v>
      </c>
      <c r="AC99" s="12">
        <v>22.644297999999999</v>
      </c>
      <c r="AD99" s="12">
        <v>56.141591400000003</v>
      </c>
      <c r="AE99" s="12">
        <v>54.315997199999998</v>
      </c>
      <c r="AF99" s="12">
        <v>4.3162358000000003</v>
      </c>
      <c r="AG99" s="12">
        <v>53.920948600000003</v>
      </c>
    </row>
    <row r="100" spans="1:33" s="11" customFormat="1" hidden="1" outlineLevel="1" x14ac:dyDescent="0.3">
      <c r="A100" s="11" t="s">
        <v>106</v>
      </c>
      <c r="B100" s="12">
        <v>5.3916862999999999</v>
      </c>
      <c r="C100" s="12">
        <v>111.5333333</v>
      </c>
      <c r="D100" s="12">
        <v>4.9396268000000001</v>
      </c>
      <c r="E100" s="17">
        <v>0</v>
      </c>
      <c r="F100" s="13">
        <v>79.586666699999995</v>
      </c>
      <c r="G100" s="12">
        <v>14.663614900000001</v>
      </c>
      <c r="H100" s="12">
        <v>17.929830299999999</v>
      </c>
      <c r="I100" s="12">
        <v>-5.3701613999999998</v>
      </c>
      <c r="J100" s="12">
        <v>9.5921857999999993</v>
      </c>
      <c r="K100" s="12">
        <v>8.1652653999999991</v>
      </c>
      <c r="L100" s="12">
        <v>5.7019982999999996</v>
      </c>
      <c r="M100" s="12">
        <v>28.1517646</v>
      </c>
      <c r="N100" s="12">
        <v>6.9452302000000001</v>
      </c>
      <c r="O100" s="12">
        <v>12.4103885</v>
      </c>
      <c r="P100" s="7">
        <v>16780.400000000001</v>
      </c>
      <c r="Q100" s="7">
        <v>497.4</v>
      </c>
      <c r="R100" s="7">
        <v>2.9</v>
      </c>
      <c r="S100" s="12">
        <v>9.8561184999999991</v>
      </c>
      <c r="T100" s="12">
        <v>1.75</v>
      </c>
      <c r="U100" s="12">
        <v>117.5666667</v>
      </c>
      <c r="V100" s="12">
        <v>4.6169333000000004</v>
      </c>
      <c r="W100" s="12">
        <v>12.874555600000001</v>
      </c>
      <c r="X100" s="12">
        <v>16.102953899999999</v>
      </c>
      <c r="Y100" s="12">
        <v>29.991849500000001</v>
      </c>
      <c r="Z100" s="12">
        <v>-2.8360854999999998</v>
      </c>
      <c r="AA100" s="12">
        <v>50.768189900000003</v>
      </c>
      <c r="AB100" s="12">
        <v>20.649941999999999</v>
      </c>
      <c r="AC100" s="12">
        <v>27.953776000000001</v>
      </c>
      <c r="AD100" s="12">
        <v>56.157379400000003</v>
      </c>
      <c r="AE100" s="12">
        <v>55.529287199999999</v>
      </c>
      <c r="AF100" s="12">
        <v>4.7479965999999996</v>
      </c>
      <c r="AG100" s="12">
        <v>53.604983400000002</v>
      </c>
    </row>
    <row r="101" spans="1:33" hidden="1" outlineLevel="1" x14ac:dyDescent="0.3">
      <c r="A101" t="s">
        <v>108</v>
      </c>
      <c r="B101" s="12">
        <v>5.7284746999999996</v>
      </c>
      <c r="C101" s="12">
        <v>114.2266667</v>
      </c>
      <c r="D101" s="12">
        <v>6.5447875</v>
      </c>
      <c r="E101" s="17">
        <v>0</v>
      </c>
      <c r="F101" s="12">
        <v>100.2966667</v>
      </c>
      <c r="G101" s="12">
        <v>6.0771056000000003</v>
      </c>
      <c r="H101" s="12">
        <v>9.681241</v>
      </c>
      <c r="I101" s="12">
        <v>0.40102979999999999</v>
      </c>
      <c r="J101" s="12">
        <v>10.605047900000001</v>
      </c>
      <c r="K101" s="12">
        <v>8.7226815000000002</v>
      </c>
      <c r="L101" s="12">
        <v>3.1956543000000002</v>
      </c>
      <c r="M101" s="12">
        <v>42.505025099999997</v>
      </c>
      <c r="N101" s="12">
        <v>6.0653126000000004</v>
      </c>
      <c r="O101" s="12">
        <v>9.1158941000000002</v>
      </c>
      <c r="P101" s="7">
        <v>16714</v>
      </c>
      <c r="Q101" s="7">
        <v>535.6</v>
      </c>
      <c r="R101" s="7">
        <v>3.1</v>
      </c>
      <c r="S101" s="12">
        <v>11.243246900000001</v>
      </c>
      <c r="T101" s="12">
        <v>3.5</v>
      </c>
      <c r="U101" s="12">
        <v>121.5666667</v>
      </c>
      <c r="V101" s="12">
        <v>4.6177000000000001</v>
      </c>
      <c r="W101" s="12">
        <v>16.934455499999999</v>
      </c>
      <c r="X101" s="12">
        <v>21.404511200000002</v>
      </c>
      <c r="Y101" s="12">
        <v>32.525417300000001</v>
      </c>
      <c r="Z101" s="12">
        <v>-3.7677540999999999</v>
      </c>
      <c r="AA101" s="12">
        <v>62.244615000000003</v>
      </c>
      <c r="AB101" s="12">
        <v>17.375769699999999</v>
      </c>
      <c r="AC101" s="12">
        <v>19.629670699999998</v>
      </c>
      <c r="AD101" s="12">
        <v>62.821581799999997</v>
      </c>
      <c r="AE101" s="12">
        <v>62.071637199999998</v>
      </c>
      <c r="AF101" s="12">
        <v>3.9258394999999999</v>
      </c>
      <c r="AG101" s="12">
        <v>46.151077700000002</v>
      </c>
    </row>
    <row r="102" spans="1:33" hidden="1" outlineLevel="1" x14ac:dyDescent="0.3">
      <c r="A102" t="s">
        <v>109</v>
      </c>
      <c r="B102" s="12">
        <v>4.2015890999999996</v>
      </c>
      <c r="C102" s="12">
        <v>118.4333333</v>
      </c>
      <c r="D102" s="12">
        <v>8.8341604</v>
      </c>
      <c r="E102" s="17">
        <v>0</v>
      </c>
      <c r="F102" s="12">
        <v>113.5433333</v>
      </c>
      <c r="G102" s="12">
        <v>14.296343999999999</v>
      </c>
      <c r="H102" s="12">
        <v>14.613901200000001</v>
      </c>
      <c r="I102" s="12">
        <v>-0.73751259999999996</v>
      </c>
      <c r="J102" s="12">
        <v>5.6609790999999996</v>
      </c>
      <c r="K102" s="12">
        <v>8.5456800000000008</v>
      </c>
      <c r="L102" s="12">
        <v>4.3155790999999999</v>
      </c>
      <c r="M102" s="12">
        <v>3.6858849</v>
      </c>
      <c r="N102" s="12">
        <v>6.5740686000000004</v>
      </c>
      <c r="O102" s="12">
        <v>8.4012250000000002</v>
      </c>
      <c r="P102" s="7">
        <v>16769.5</v>
      </c>
      <c r="Q102" s="7">
        <v>454</v>
      </c>
      <c r="R102" s="7">
        <v>2.6</v>
      </c>
      <c r="S102" s="12">
        <v>13.5451724</v>
      </c>
      <c r="T102" s="12">
        <v>6</v>
      </c>
      <c r="U102" s="12">
        <v>128.03333330000001</v>
      </c>
      <c r="V102" s="12">
        <v>4.6480332999999998</v>
      </c>
      <c r="W102" s="12">
        <v>12.602331899999999</v>
      </c>
      <c r="X102" s="12">
        <v>26.009699900000001</v>
      </c>
      <c r="Y102" s="12">
        <v>33.143503500000001</v>
      </c>
      <c r="Z102" s="12">
        <v>-2.1438497000000001</v>
      </c>
      <c r="AA102" s="12">
        <v>60.485494000000003</v>
      </c>
      <c r="AB102" s="12">
        <v>18.415916599999999</v>
      </c>
      <c r="AC102" s="12">
        <v>18.833716500000001</v>
      </c>
      <c r="AD102" s="12">
        <v>65.856210799999999</v>
      </c>
      <c r="AE102" s="12">
        <v>63.591337899999999</v>
      </c>
      <c r="AF102" s="12">
        <v>1.9589844000000001</v>
      </c>
      <c r="AG102" s="12">
        <v>47.382897100000001</v>
      </c>
    </row>
    <row r="103" spans="1:33" hidden="1" outlineLevel="1" x14ac:dyDescent="0.3">
      <c r="A103" t="s">
        <v>110</v>
      </c>
      <c r="B103" s="12">
        <v>2.5907767000000002</v>
      </c>
      <c r="C103" s="12">
        <v>120.83</v>
      </c>
      <c r="D103" s="12">
        <v>10.289956500000001</v>
      </c>
      <c r="E103" s="17">
        <v>0.75</v>
      </c>
      <c r="F103" s="12">
        <v>100.7133333</v>
      </c>
      <c r="G103" s="12">
        <v>21.207948200000001</v>
      </c>
      <c r="H103" s="12">
        <v>12.453477700000001</v>
      </c>
      <c r="I103" s="12">
        <v>-2.5658420999999998</v>
      </c>
      <c r="J103" s="12">
        <v>4.9802773</v>
      </c>
      <c r="K103" s="12">
        <v>2.8226160999999999</v>
      </c>
      <c r="L103" s="12">
        <v>3.3616286999999998</v>
      </c>
      <c r="M103" s="12">
        <v>7.8647501000000002</v>
      </c>
      <c r="N103" s="12">
        <v>9.4700550000000003</v>
      </c>
      <c r="O103" s="12">
        <v>7.9796104999999997</v>
      </c>
      <c r="P103" s="7">
        <v>16690.3</v>
      </c>
      <c r="Q103" s="7">
        <v>502</v>
      </c>
      <c r="R103" s="7">
        <v>2.9</v>
      </c>
      <c r="S103" s="12">
        <v>14.328115</v>
      </c>
      <c r="T103" s="12">
        <v>6.75</v>
      </c>
      <c r="U103" s="12">
        <v>131.7333333</v>
      </c>
      <c r="V103" s="12">
        <v>4.7443</v>
      </c>
      <c r="W103" s="12">
        <v>9.3718844000000008</v>
      </c>
      <c r="X103" s="12">
        <v>27.836676400000002</v>
      </c>
      <c r="Y103" s="12">
        <v>28.687720299999999</v>
      </c>
      <c r="Z103" s="12">
        <v>-3.0867912999999998</v>
      </c>
      <c r="AA103" s="12">
        <v>58.9388133</v>
      </c>
      <c r="AB103" s="12">
        <v>17.997988299999999</v>
      </c>
      <c r="AC103" s="12">
        <v>21.9495386</v>
      </c>
      <c r="AD103" s="12">
        <v>63.020049899999997</v>
      </c>
      <c r="AE103" s="12">
        <v>61.906390000000002</v>
      </c>
      <c r="AF103" s="12">
        <v>-0.44449440000000001</v>
      </c>
      <c r="AG103" s="12">
        <v>48.234960399999999</v>
      </c>
    </row>
    <row r="104" spans="1:33" hidden="1" outlineLevel="1" x14ac:dyDescent="0.3">
      <c r="A104" t="s">
        <v>111</v>
      </c>
      <c r="B104" s="12">
        <v>1.4006327999999999</v>
      </c>
      <c r="C104" s="12">
        <v>123.8</v>
      </c>
      <c r="D104" s="12">
        <v>10.9982068</v>
      </c>
      <c r="E104" s="17">
        <v>1.9166666999999999</v>
      </c>
      <c r="F104" s="12">
        <v>88.556666699999994</v>
      </c>
      <c r="G104" s="12">
        <v>20.784696799999999</v>
      </c>
      <c r="H104" s="12">
        <v>7.4326901000000003</v>
      </c>
      <c r="I104" s="12">
        <v>-10.3214024</v>
      </c>
      <c r="J104" s="12">
        <v>0.91763689999999998</v>
      </c>
      <c r="K104" s="12">
        <v>1.0906842000000001</v>
      </c>
      <c r="L104" s="12">
        <v>-7.0900090999999996</v>
      </c>
      <c r="M104" s="12">
        <v>-0.27132289999999998</v>
      </c>
      <c r="N104" s="12">
        <v>5.0106985999999996</v>
      </c>
      <c r="O104" s="12">
        <v>2.1987627000000001</v>
      </c>
      <c r="P104" s="7">
        <v>16795.5</v>
      </c>
      <c r="Q104" s="7">
        <v>498.7</v>
      </c>
      <c r="R104" s="7">
        <v>2.9</v>
      </c>
      <c r="S104" s="12">
        <v>12.3321475</v>
      </c>
      <c r="T104" s="12">
        <v>6.75</v>
      </c>
      <c r="U104" s="12">
        <v>136.30000000000001</v>
      </c>
      <c r="V104" s="12">
        <v>4.7278666999999999</v>
      </c>
      <c r="W104" s="12">
        <v>4.0944881000000004</v>
      </c>
      <c r="X104" s="12">
        <v>21.756542499999998</v>
      </c>
      <c r="Y104" s="12">
        <v>19.298733200000001</v>
      </c>
      <c r="Z104" s="12">
        <v>-0.91411750000000003</v>
      </c>
      <c r="AA104" s="12">
        <v>51.300331399999997</v>
      </c>
      <c r="AB104" s="12">
        <v>19.132740800000001</v>
      </c>
      <c r="AC104" s="12">
        <v>27.993723500000002</v>
      </c>
      <c r="AD104" s="12">
        <v>59.642651399999998</v>
      </c>
      <c r="AE104" s="12">
        <v>58.069447099999998</v>
      </c>
      <c r="AF104" s="12">
        <v>-3.9044474</v>
      </c>
      <c r="AG104" s="12">
        <v>49.296054300000002</v>
      </c>
    </row>
    <row r="105" spans="1:33" collapsed="1" x14ac:dyDescent="0.3">
      <c r="A105" t="s">
        <v>112</v>
      </c>
      <c r="B105" s="12">
        <v>1.3448477999999999</v>
      </c>
      <c r="C105" s="12">
        <v>124.9666667</v>
      </c>
      <c r="D105" s="12">
        <v>9.4023579000000002</v>
      </c>
      <c r="E105" s="17">
        <v>3</v>
      </c>
      <c r="F105" s="12">
        <v>81.173333299999996</v>
      </c>
      <c r="G105" s="12">
        <v>18.545136400000001</v>
      </c>
      <c r="H105" s="12">
        <v>13.7562072</v>
      </c>
      <c r="I105" s="12">
        <v>-1.2440157000000001</v>
      </c>
      <c r="J105" s="12">
        <v>-0.86930149999999995</v>
      </c>
      <c r="K105" s="12">
        <v>-2.7281651999999998</v>
      </c>
      <c r="L105" s="12">
        <v>-0.30812879999999998</v>
      </c>
      <c r="M105" s="12">
        <v>-15.8696684</v>
      </c>
      <c r="N105" s="12">
        <v>3.3499894000000001</v>
      </c>
      <c r="O105" s="12">
        <v>-2.6552514</v>
      </c>
      <c r="P105" s="7">
        <v>16852.2</v>
      </c>
      <c r="Q105" s="7">
        <v>505.1</v>
      </c>
      <c r="R105" s="7">
        <v>2.9</v>
      </c>
      <c r="S105" s="12">
        <v>13.234567699999999</v>
      </c>
      <c r="T105" s="12">
        <v>6.75</v>
      </c>
      <c r="U105" s="12">
        <v>141.1</v>
      </c>
      <c r="V105" s="12">
        <v>4.7093999999999996</v>
      </c>
      <c r="W105" s="12">
        <v>-0.85059980000000002</v>
      </c>
      <c r="X105" s="12">
        <v>16.617679899999999</v>
      </c>
      <c r="Y105" s="12">
        <v>5.0187340999999996</v>
      </c>
      <c r="Z105" s="12">
        <v>2.9950462999999998</v>
      </c>
      <c r="AA105" s="12">
        <v>60.736133299999999</v>
      </c>
      <c r="AB105" s="12">
        <v>17.262827900000001</v>
      </c>
      <c r="AC105" s="12">
        <v>15.009835499999999</v>
      </c>
      <c r="AD105" s="12">
        <v>63.7044566</v>
      </c>
      <c r="AE105" s="12">
        <v>56.713253199999997</v>
      </c>
      <c r="AF105" s="12">
        <v>-5.0991549000000003</v>
      </c>
      <c r="AG105" s="12">
        <v>44.893291499999997</v>
      </c>
    </row>
    <row r="106" spans="1:33" x14ac:dyDescent="0.3">
      <c r="A106" t="s">
        <v>113</v>
      </c>
      <c r="B106" s="12">
        <v>0.20197219999999999</v>
      </c>
      <c r="C106" s="12">
        <v>126.9766667</v>
      </c>
      <c r="D106" s="12">
        <v>7.2136222999999999</v>
      </c>
      <c r="E106" s="17">
        <v>3.75</v>
      </c>
      <c r="F106" s="12">
        <v>78.316666699999999</v>
      </c>
      <c r="G106" s="12">
        <v>22.939972099999999</v>
      </c>
      <c r="H106" s="12">
        <v>14.640099299999999</v>
      </c>
      <c r="I106" s="12">
        <v>-3.9829910000000002</v>
      </c>
      <c r="J106" s="12">
        <v>-1.0659502000000001</v>
      </c>
      <c r="K106" s="12">
        <v>-3.1042640000000001</v>
      </c>
      <c r="L106" s="12">
        <v>1.5526363000000001</v>
      </c>
      <c r="M106" s="12">
        <v>-8.9584437000000001</v>
      </c>
      <c r="N106" s="12">
        <v>-3.4380632000000002</v>
      </c>
      <c r="O106" s="12">
        <v>-6.9013545000000001</v>
      </c>
      <c r="P106" s="7">
        <v>16849.7</v>
      </c>
      <c r="Q106" s="7">
        <v>443.2</v>
      </c>
      <c r="R106" s="7">
        <v>2.6</v>
      </c>
      <c r="S106" s="12">
        <v>12.083450600000001</v>
      </c>
      <c r="T106" s="12">
        <v>6.75</v>
      </c>
      <c r="U106" s="12">
        <v>144.03333330000001</v>
      </c>
      <c r="V106" s="12">
        <v>4.5423999999999998</v>
      </c>
      <c r="W106" s="12">
        <v>-3.3267239000000002</v>
      </c>
      <c r="X106" s="12">
        <v>4.3947136999999996</v>
      </c>
      <c r="Y106" s="12">
        <v>-3.8815453999999998</v>
      </c>
      <c r="Z106" s="12">
        <v>0.89338220000000002</v>
      </c>
      <c r="AA106" s="12">
        <v>58.3578592</v>
      </c>
      <c r="AB106" s="12">
        <v>18.5021138</v>
      </c>
      <c r="AC106" s="12">
        <v>16.455115899999999</v>
      </c>
      <c r="AD106" s="12">
        <v>59.1523392</v>
      </c>
      <c r="AE106" s="12">
        <v>52.4674403</v>
      </c>
      <c r="AF106" s="12">
        <v>-4.9605668999999999</v>
      </c>
      <c r="AG106" s="12">
        <v>46.341021699999999</v>
      </c>
    </row>
    <row r="107" spans="1:33" x14ac:dyDescent="0.3">
      <c r="A107" t="s">
        <v>114</v>
      </c>
      <c r="B107" s="12">
        <v>-0.19771859999999999</v>
      </c>
      <c r="C107" s="12">
        <v>127.6866667</v>
      </c>
      <c r="D107" s="12">
        <v>5.6746392999999999</v>
      </c>
      <c r="E107" s="17">
        <v>4.25</v>
      </c>
      <c r="F107" s="12">
        <v>86.66</v>
      </c>
      <c r="G107" s="12">
        <v>23.1714965</v>
      </c>
      <c r="H107" s="12">
        <v>15.3545911</v>
      </c>
      <c r="I107" s="12">
        <v>-5.7890008000000002</v>
      </c>
      <c r="J107" s="12">
        <v>0.84642059999999997</v>
      </c>
      <c r="K107" s="12">
        <v>1.3605928</v>
      </c>
      <c r="L107" s="12">
        <v>3.694369</v>
      </c>
      <c r="M107" s="12">
        <v>-29.259615400000001</v>
      </c>
      <c r="N107" s="12">
        <v>-10.600630499999999</v>
      </c>
      <c r="O107" s="12">
        <v>-20.3983132</v>
      </c>
      <c r="P107" s="7">
        <v>16873</v>
      </c>
      <c r="Q107" s="7">
        <v>475.3</v>
      </c>
      <c r="R107" s="7">
        <v>2.7</v>
      </c>
      <c r="S107" s="12">
        <v>10.895549900000001</v>
      </c>
      <c r="T107" s="12">
        <v>6</v>
      </c>
      <c r="U107" s="12">
        <v>143.80000000000001</v>
      </c>
      <c r="V107" s="12">
        <v>4.5004333000000001</v>
      </c>
      <c r="W107" s="12">
        <v>-2.5068367999999999</v>
      </c>
      <c r="X107" s="12">
        <v>-0.35621409999999998</v>
      </c>
      <c r="Y107" s="12">
        <v>-8.5161916000000009</v>
      </c>
      <c r="Z107" s="12">
        <v>1.0134063</v>
      </c>
      <c r="AA107" s="12">
        <v>60.221955199999996</v>
      </c>
      <c r="AB107" s="12">
        <v>18.712497599999999</v>
      </c>
      <c r="AC107" s="12">
        <v>15.335889999999999</v>
      </c>
      <c r="AD107" s="12">
        <v>55.421464700000001</v>
      </c>
      <c r="AE107" s="12">
        <v>49.691807699999998</v>
      </c>
      <c r="AF107" s="12">
        <v>-3.8528983000000001</v>
      </c>
      <c r="AG107" s="12">
        <v>47.572081699999998</v>
      </c>
    </row>
    <row r="108" spans="1:33" x14ac:dyDescent="0.3">
      <c r="A108" t="s">
        <v>115</v>
      </c>
      <c r="B108" s="7" t="s">
        <v>107</v>
      </c>
      <c r="C108" s="12">
        <v>127.9933333</v>
      </c>
      <c r="D108" s="12">
        <v>3.3871836000000002</v>
      </c>
      <c r="E108" s="17">
        <v>4.5</v>
      </c>
      <c r="F108" s="12">
        <v>83.723333299999993</v>
      </c>
      <c r="G108" s="7" t="s">
        <v>107</v>
      </c>
      <c r="H108" s="7" t="s">
        <v>107</v>
      </c>
      <c r="I108" s="7" t="s">
        <v>107</v>
      </c>
      <c r="J108" s="7" t="s">
        <v>107</v>
      </c>
      <c r="K108" s="7" t="s">
        <v>107</v>
      </c>
      <c r="L108" s="7" t="s">
        <v>107</v>
      </c>
      <c r="M108" s="7" t="s">
        <v>107</v>
      </c>
      <c r="N108" s="7" t="s">
        <v>107</v>
      </c>
      <c r="O108" s="7" t="s">
        <v>107</v>
      </c>
      <c r="P108" s="7" t="s">
        <v>107</v>
      </c>
      <c r="Q108" s="7" t="s">
        <v>107</v>
      </c>
      <c r="R108" s="7" t="s">
        <v>107</v>
      </c>
      <c r="S108" s="12">
        <v>11.363806200000001</v>
      </c>
      <c r="T108" s="12">
        <v>5.75</v>
      </c>
      <c r="U108" s="12">
        <v>144.8666667</v>
      </c>
      <c r="V108" s="12">
        <v>4.4159667000000002</v>
      </c>
      <c r="W108" s="12">
        <v>-0.84287880000000004</v>
      </c>
      <c r="X108" s="7" t="s">
        <v>107</v>
      </c>
      <c r="Y108" s="7" t="s">
        <v>107</v>
      </c>
      <c r="Z108" s="7" t="s">
        <v>107</v>
      </c>
      <c r="AA108" s="7" t="s">
        <v>107</v>
      </c>
      <c r="AB108" s="7" t="s">
        <v>107</v>
      </c>
      <c r="AC108" s="7" t="s">
        <v>107</v>
      </c>
      <c r="AD108" s="7" t="s">
        <v>107</v>
      </c>
      <c r="AE108" s="7" t="s">
        <v>107</v>
      </c>
      <c r="AF108" s="7" t="s">
        <v>107</v>
      </c>
      <c r="AG108" s="7" t="s">
        <v>107</v>
      </c>
    </row>
  </sheetData>
  <pageMargins left="0.7" right="0.7" top="0.75" bottom="0.75" header="0.3" footer="0.3"/>
  <pageSetup paperSize="9" orientation="portrait" horizontalDpi="90" verticalDpi="9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BB5D2D2BB25BC14C859F3C2704363624" ma:contentTypeVersion="4" ma:contentTypeDescription="Ein neues Dokument erstellen." ma:contentTypeScope="" ma:versionID="4f8dba29a750144b372338c3cb2ed645">
  <xsd:schema xmlns:xsd="http://www.w3.org/2001/XMLSchema" xmlns:xs="http://www.w3.org/2001/XMLSchema" xmlns:p="http://schemas.microsoft.com/office/2006/metadata/properties" xmlns:ns2="7b3821d8-baf2-44dd-bd0e-dc2290387752" targetNamespace="http://schemas.microsoft.com/office/2006/metadata/properties" ma:root="true" ma:fieldsID="6becce2b84577a7b73ef54fef9eb2689" ns2:_="">
    <xsd:import namespace="7b3821d8-baf2-44dd-bd0e-dc229038775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3821d8-baf2-44dd-bd0e-dc22903877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96C813-9FF9-47AD-860C-2B4F3AB5D9D4}">
  <ds:schemaRefs>
    <ds:schemaRef ds:uri="7b3821d8-baf2-44dd-bd0e-dc2290387752"/>
    <ds:schemaRef ds:uri="http://purl.org/dc/elements/1.1/"/>
    <ds:schemaRef ds:uri="http://www.w3.org/XML/1998/namespace"/>
    <ds:schemaRef ds:uri="http://schemas.microsoft.com/office/infopath/2007/PartnerControls"/>
    <ds:schemaRef ds:uri="http://schemas.microsoft.com/office/2006/metadata/properties"/>
    <ds:schemaRef ds:uri="http://purl.org/dc/dcmitype/"/>
    <ds:schemaRef ds:uri="http://schemas.microsoft.com/office/2006/documentManagement/types"/>
    <ds:schemaRef ds:uri="http://purl.org/dc/terms/"/>
    <ds:schemaRef ds:uri="http://schemas.openxmlformats.org/package/2006/metadata/core-properties"/>
  </ds:schemaRefs>
</ds:datastoreItem>
</file>

<file path=customXml/itemProps2.xml><?xml version="1.0" encoding="utf-8"?>
<ds:datastoreItem xmlns:ds="http://schemas.openxmlformats.org/officeDocument/2006/customXml" ds:itemID="{11163024-FF29-43ED-9DF5-F9B9533F4F15}">
  <ds:schemaRefs>
    <ds:schemaRef ds:uri="http://schemas.microsoft.com/sharepoint/v3/contenttype/forms"/>
  </ds:schemaRefs>
</ds:datastoreItem>
</file>

<file path=customXml/itemProps3.xml><?xml version="1.0" encoding="utf-8"?>
<ds:datastoreItem xmlns:ds="http://schemas.openxmlformats.org/officeDocument/2006/customXml" ds:itemID="{CA0233BC-2644-446E-BA88-15DC9E37E9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b3821d8-baf2-44dd-bd0e-dc22903877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HR_with macros</vt:lpstr>
      <vt:lpstr>EE_with macros</vt:lpstr>
      <vt:lpstr>LT_with macros</vt:lpstr>
      <vt:lpstr>LV_with macros</vt:lpstr>
      <vt:lpstr>SK_with macros</vt:lpstr>
      <vt:lpstr>SI_with macros</vt:lpstr>
      <vt:lpstr>BG_with macros</vt:lpstr>
      <vt:lpstr>HU_with macros</vt:lpstr>
      <vt:lpstr>PL_with macros</vt:lpstr>
      <vt:lpstr>RO_with macros</vt:lpstr>
      <vt:lpstr>CZ_with macros</vt:lpstr>
      <vt:lpstr>AL_with macros</vt:lpstr>
      <vt:lpstr>BA_with macros</vt:lpstr>
      <vt:lpstr>ME_with macros</vt:lpstr>
      <vt:lpstr>MK_with macros</vt:lpstr>
      <vt:lpstr>RS_with macros</vt:lpstr>
      <vt:lpstr>XK_with macros</vt:lpstr>
      <vt:lpstr>TR_with macros</vt:lpstr>
      <vt:lpstr>BY_with macros</vt:lpstr>
      <vt:lpstr>RU_with macros</vt:lpstr>
      <vt:lpstr>MD_with macros</vt:lpstr>
      <vt:lpstr>KZ_with macros</vt:lpstr>
      <vt:lpstr>UA_with macros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BJ</dc:creator>
  <cp:keywords/>
  <dc:description/>
  <cp:lastModifiedBy>Branimir Jovanovic</cp:lastModifiedBy>
  <cp:revision/>
  <dcterms:created xsi:type="dcterms:W3CDTF">2021-03-15T11:38:29Z</dcterms:created>
  <dcterms:modified xsi:type="dcterms:W3CDTF">2024-02-14T13:15:31Z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0x010100BB5D2D2BB25BC14C859F3C2704363624</vt:lpwstr>
  </property>
</Properties>
</file>