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\Desktop\AGROnet Project\"/>
    </mc:Choice>
  </mc:AlternateContent>
  <xr:revisionPtr revIDLastSave="0" documentId="13_ncr:1_{598EF61C-6A1D-4C53-88EB-8526381B9ECE}" xr6:coauthVersionLast="47" xr6:coauthVersionMax="47" xr10:uidLastSave="{00000000-0000-0000-0000-000000000000}"/>
  <bookViews>
    <workbookView xWindow="-96" yWindow="0" windowWidth="11712" windowHeight="12336" activeTab="1" xr2:uid="{7BEE01A8-3D29-4285-83EF-1D541EA80A67}"/>
  </bookViews>
  <sheets>
    <sheet name="ΣΤΟΙΧΕΙΑ ΚΤΗΜΑΤΟΣ" sheetId="1" r:id="rId1"/>
    <sheet name="ΑΝΑΛΩΣΗ ΥΛΙΚΩΝ ΣΥΝΟΛΟ" sheetId="3" r:id="rId2"/>
    <sheet name="ΑΝΑΛΩΣΗ ΥΛΙΚΩΝ ΕΠΙΜΕΡΟΥΣ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17" i="3"/>
  <c r="L29" i="3"/>
  <c r="L28" i="3"/>
  <c r="J72" i="3" l="1"/>
  <c r="J71" i="3"/>
  <c r="J70" i="3"/>
  <c r="J69" i="3"/>
  <c r="J68" i="3"/>
  <c r="J67" i="3"/>
  <c r="J66" i="3"/>
  <c r="J65" i="3"/>
  <c r="J64" i="3"/>
  <c r="J63" i="3"/>
  <c r="J62" i="3"/>
  <c r="J61" i="3"/>
  <c r="J60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59" i="3" s="1"/>
  <c r="J39" i="3"/>
  <c r="J58" i="3" s="1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14" i="3"/>
  <c r="J13" i="3"/>
  <c r="L13" i="3" s="1"/>
  <c r="J12" i="3"/>
  <c r="L12" i="3" s="1"/>
  <c r="J11" i="3"/>
  <c r="L11" i="3" s="1"/>
  <c r="J10" i="3"/>
  <c r="J9" i="3"/>
  <c r="J8" i="3"/>
  <c r="J19" i="3" s="1"/>
  <c r="J5" i="3"/>
  <c r="J18" i="3" s="1"/>
  <c r="L72" i="3" l="1"/>
  <c r="C16" i="1"/>
  <c r="L51" i="3" l="1"/>
  <c r="L50" i="3"/>
  <c r="L49" i="3"/>
  <c r="L48" i="3"/>
  <c r="O40" i="3"/>
  <c r="N40" i="3" s="1"/>
  <c r="E16" i="3" l="1"/>
  <c r="E18" i="3" s="1"/>
  <c r="J21" i="3" s="1"/>
  <c r="C22" i="1" l="1"/>
  <c r="E37" i="4"/>
  <c r="I37" i="4" s="1"/>
  <c r="E42" i="4"/>
  <c r="F42" i="4" s="1"/>
  <c r="E41" i="4"/>
  <c r="E40" i="4"/>
  <c r="I40" i="4" s="1"/>
  <c r="E39" i="4"/>
  <c r="H17" i="4"/>
  <c r="I17" i="4"/>
  <c r="G17" i="4"/>
  <c r="H6" i="4"/>
  <c r="F17" i="4"/>
  <c r="F14" i="4"/>
  <c r="E14" i="4"/>
  <c r="E13" i="4"/>
  <c r="E9" i="4"/>
  <c r="E6" i="4"/>
  <c r="J7" i="1"/>
  <c r="J8" i="1"/>
  <c r="J9" i="1"/>
  <c r="J10" i="1"/>
  <c r="E49" i="4" l="1"/>
  <c r="E48" i="4"/>
  <c r="E38" i="4"/>
  <c r="I38" i="4" s="1"/>
  <c r="E44" i="4"/>
  <c r="H44" i="4" s="1"/>
  <c r="G42" i="4"/>
  <c r="H42" i="4"/>
  <c r="I42" i="4"/>
  <c r="I41" i="4"/>
  <c r="H41" i="4"/>
  <c r="G41" i="4"/>
  <c r="F41" i="4"/>
  <c r="I39" i="4"/>
  <c r="H39" i="4"/>
  <c r="G39" i="4"/>
  <c r="F39" i="4"/>
  <c r="F40" i="4"/>
  <c r="G40" i="4"/>
  <c r="H40" i="4"/>
  <c r="F37" i="4"/>
  <c r="G37" i="4"/>
  <c r="H37" i="4"/>
  <c r="E17" i="3"/>
  <c r="E28" i="4"/>
  <c r="E22" i="4"/>
  <c r="E15" i="4"/>
  <c r="E12" i="4"/>
  <c r="E8" i="4"/>
  <c r="E7" i="4"/>
  <c r="E17" i="4"/>
  <c r="E16" i="4"/>
  <c r="L27" i="3" l="1"/>
  <c r="E34" i="4"/>
  <c r="I34" i="4" s="1"/>
  <c r="E21" i="4"/>
  <c r="H21" i="4" s="1"/>
  <c r="E10" i="4"/>
  <c r="E35" i="4"/>
  <c r="E20" i="4"/>
  <c r="I20" i="4" s="1"/>
  <c r="E47" i="4"/>
  <c r="H47" i="4" s="1"/>
  <c r="G49" i="4"/>
  <c r="H49" i="4"/>
  <c r="F49" i="4"/>
  <c r="I49" i="4"/>
  <c r="F38" i="4"/>
  <c r="H38" i="4"/>
  <c r="G38" i="4"/>
  <c r="E46" i="4"/>
  <c r="G46" i="4" s="1"/>
  <c r="I44" i="4"/>
  <c r="F44" i="4"/>
  <c r="G44" i="4"/>
  <c r="H28" i="4"/>
  <c r="I28" i="4"/>
  <c r="F28" i="4"/>
  <c r="G28" i="4"/>
  <c r="I22" i="4"/>
  <c r="F22" i="4"/>
  <c r="H22" i="4"/>
  <c r="G22" i="4"/>
  <c r="I48" i="4"/>
  <c r="H48" i="4"/>
  <c r="G48" i="4"/>
  <c r="F48" i="4"/>
  <c r="I12" i="4"/>
  <c r="H12" i="4"/>
  <c r="G12" i="4"/>
  <c r="F12" i="4"/>
  <c r="E33" i="4"/>
  <c r="E32" i="4"/>
  <c r="E27" i="4"/>
  <c r="E26" i="4"/>
  <c r="E25" i="4"/>
  <c r="E24" i="4"/>
  <c r="E36" i="4" l="1"/>
  <c r="G36" i="4" s="1"/>
  <c r="G21" i="4"/>
  <c r="I21" i="4"/>
  <c r="F21" i="4"/>
  <c r="E45" i="4"/>
  <c r="E43" i="4"/>
  <c r="I47" i="4"/>
  <c r="F47" i="4"/>
  <c r="G47" i="4"/>
  <c r="H20" i="4"/>
  <c r="G20" i="4"/>
  <c r="H46" i="4"/>
  <c r="I46" i="4"/>
  <c r="F46" i="4"/>
  <c r="F20" i="4"/>
  <c r="H34" i="4"/>
  <c r="G34" i="4"/>
  <c r="F34" i="4"/>
  <c r="G24" i="4"/>
  <c r="I24" i="4"/>
  <c r="H24" i="4"/>
  <c r="F24" i="4"/>
  <c r="F27" i="4"/>
  <c r="G27" i="4"/>
  <c r="H27" i="4"/>
  <c r="I27" i="4"/>
  <c r="I35" i="4"/>
  <c r="F35" i="4"/>
  <c r="G35" i="4"/>
  <c r="H35" i="4"/>
  <c r="G32" i="4"/>
  <c r="F32" i="4"/>
  <c r="H32" i="4"/>
  <c r="I32" i="4"/>
  <c r="E23" i="4"/>
  <c r="H10" i="4"/>
  <c r="I10" i="4"/>
  <c r="G10" i="4"/>
  <c r="F10" i="4"/>
  <c r="I26" i="4"/>
  <c r="G26" i="4"/>
  <c r="H26" i="4"/>
  <c r="F26" i="4"/>
  <c r="I25" i="4"/>
  <c r="G25" i="4"/>
  <c r="H25" i="4"/>
  <c r="F25" i="4"/>
  <c r="H33" i="4"/>
  <c r="F33" i="4"/>
  <c r="G33" i="4"/>
  <c r="I33" i="4"/>
  <c r="E11" i="4"/>
  <c r="P10" i="1"/>
  <c r="P9" i="1"/>
  <c r="P8" i="1"/>
  <c r="P7" i="1"/>
  <c r="F36" i="4" l="1"/>
  <c r="I36" i="4"/>
  <c r="H36" i="4"/>
  <c r="F45" i="4"/>
  <c r="G45" i="4"/>
  <c r="H45" i="4"/>
  <c r="I45" i="4"/>
  <c r="G43" i="4"/>
  <c r="H43" i="4"/>
  <c r="I43" i="4"/>
  <c r="F43" i="4"/>
  <c r="I23" i="4"/>
  <c r="F23" i="4"/>
  <c r="G23" i="4"/>
  <c r="H23" i="4"/>
  <c r="I11" i="4"/>
  <c r="F11" i="4"/>
  <c r="G11" i="4"/>
  <c r="H11" i="4"/>
  <c r="E34" i="3"/>
  <c r="E50" i="4" l="1"/>
  <c r="F50" i="4" l="1"/>
  <c r="H50" i="4"/>
  <c r="G50" i="4"/>
  <c r="I50" i="4"/>
  <c r="E19" i="3"/>
  <c r="J20" i="3" s="1"/>
  <c r="E19" i="4" l="1"/>
  <c r="E31" i="4"/>
  <c r="E29" i="4"/>
  <c r="E18" i="4"/>
  <c r="E30" i="4"/>
  <c r="E21" i="1"/>
  <c r="F21" i="1" s="1"/>
  <c r="B29" i="1"/>
  <c r="C29" i="1"/>
  <c r="D29" i="1"/>
  <c r="I18" i="4" l="1"/>
  <c r="F18" i="4"/>
  <c r="G18" i="4"/>
  <c r="H18" i="4"/>
  <c r="F30" i="4"/>
  <c r="I30" i="4"/>
  <c r="G30" i="4"/>
  <c r="H30" i="4"/>
  <c r="H29" i="4"/>
  <c r="I29" i="4"/>
  <c r="G29" i="4"/>
  <c r="F29" i="4"/>
  <c r="G31" i="4"/>
  <c r="F31" i="4"/>
  <c r="H31" i="4"/>
  <c r="I31" i="4"/>
  <c r="G19" i="4"/>
  <c r="I19" i="4"/>
  <c r="F19" i="4"/>
  <c r="H19" i="4"/>
  <c r="E7" i="3"/>
  <c r="C23" i="1" l="1"/>
  <c r="C18" i="1" l="1"/>
  <c r="C19" i="1" s="1"/>
  <c r="C20" i="1" s="1"/>
  <c r="D20" i="1" l="1"/>
  <c r="D23" i="1"/>
  <c r="D8" i="1"/>
  <c r="D9" i="1"/>
  <c r="D10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Στέλιος Θεοδοσιάδης</author>
  </authors>
  <commentList>
    <comment ref="L11" authorId="0" shapeId="0" xr:uid="{C7205A79-E715-4486-9F81-0815C96B5612}">
      <text>
        <r>
          <rPr>
            <b/>
            <sz val="9"/>
            <color indexed="81"/>
            <rFont val="Tahoma"/>
            <family val="2"/>
            <charset val="161"/>
          </rPr>
          <t>Στέλιος Θεοδοσιάδης:</t>
        </r>
        <r>
          <rPr>
            <sz val="9"/>
            <color indexed="81"/>
            <rFont val="Tahoma"/>
            <family val="2"/>
            <charset val="161"/>
          </rPr>
          <t xml:space="preserve">
10kg/1m
</t>
        </r>
      </text>
    </comment>
  </commentList>
</comments>
</file>

<file path=xl/sharedStrings.xml><?xml version="1.0" encoding="utf-8"?>
<sst xmlns="http://schemas.openxmlformats.org/spreadsheetml/2006/main" count="855" uniqueCount="496">
  <si>
    <t>Χ</t>
  </si>
  <si>
    <t>Υ</t>
  </si>
  <si>
    <t>ΣΗΜΑΔΙΑ</t>
  </si>
  <si>
    <t>ΕΙΣΑΓΩΜΕΝΑ ΣΗΜΕΙΑ ΓΙΑ CAD</t>
  </si>
  <si>
    <t>ΒΑΣΙΚΑ ΔΕΔΟΜΕΝΑ ΚΤΗΜΑΤΟΣ</t>
  </si>
  <si>
    <t>ΑΡΙΘΜΟΣ ΣΕΙΡΩΝ</t>
  </si>
  <si>
    <t>ΜΗΚΟΣ ΔΙΑΔΡΟΜΟΥ</t>
  </si>
  <si>
    <t>ΜΕΣΟ ΜΗΚΟΣ ΣΕΙΡΑΣ</t>
  </si>
  <si>
    <t>ΦΥΤΕΥΣΗ-Δ/Δ</t>
  </si>
  <si>
    <t>ΣΥΝΟΛΟ ΔΕΝΤΡΩΝ</t>
  </si>
  <si>
    <t>ΑΓΡΟΤΕΜΑΧΙΟ:</t>
  </si>
  <si>
    <t>μ.</t>
  </si>
  <si>
    <t>ΦΥΤΑ ΑΝΑ ΣΕΙΡΑ</t>
  </si>
  <si>
    <t xml:space="preserve">ΔΕΝΤΡΑ ΑΝΑ ΣΤΡΕΜΜΑ </t>
  </si>
  <si>
    <t>ΕΚΤΑΣΗ(ΟΣΔΕ)</t>
  </si>
  <si>
    <t>Στρέμματα</t>
  </si>
  <si>
    <t>ΕΚΤΑΣΗ ΕΓΚΑΤΑΣΤΑΣΗΣ</t>
  </si>
  <si>
    <r>
      <t xml:space="preserve">ΑΠΟ ΦΥΛΛΟ </t>
    </r>
    <r>
      <rPr>
        <sz val="11"/>
        <color rgb="FFFF0000"/>
        <rFont val="Calibri"/>
        <family val="2"/>
        <charset val="161"/>
        <scheme val="minor"/>
      </rPr>
      <t>"ΣΕΙΡΕΣ"</t>
    </r>
  </si>
  <si>
    <t>ΠΙΝΑΚΑΣ 1</t>
  </si>
  <si>
    <t>ΜΕΤΩΠΙΚΕΣ ΚΟΛΩΝΕΣ</t>
  </si>
  <si>
    <t>τμχ.</t>
  </si>
  <si>
    <t>ΠΛΑΙΝΕΣ ΚΟΛΩΝΕΣ</t>
  </si>
  <si>
    <t>ΕΝΔΙΑΜΕΣΕΣ ΚΟΛΩΝΕΣ</t>
  </si>
  <si>
    <t>ΣΥΝΟΛΙΚΕΣ ΚΟΛΩΝΕΣ</t>
  </si>
  <si>
    <t>ΑΓΚΥΡΕΣ</t>
  </si>
  <si>
    <t>ΔΙΑΔΡΟΜΟΙ</t>
  </si>
  <si>
    <t>ΠΙΝΑΚΑΣ 2</t>
  </si>
  <si>
    <t>Kg.</t>
  </si>
  <si>
    <t>ΠΛΑΤΟΣ ΔΙΑΔΡΟΜΟΥ</t>
  </si>
  <si>
    <t>ΠΛΑΤΟΣ ΔΙΧΤΥΟΥ</t>
  </si>
  <si>
    <t>-</t>
  </si>
  <si>
    <t xml:space="preserve"> ΤΡΕΧΟΝ ΜΗΚΟΣ ΔΙΧΤΥΟΥ/ ΡΑΦΗ</t>
  </si>
  <si>
    <t>ΠΛΑΤΟΣ ΔΙΧΤΥΟΥ ΑΠΟ ΥΦΑΝΤΗΡΙΟ</t>
  </si>
  <si>
    <t>ΠΙΝΑΚΑΣ 3</t>
  </si>
  <si>
    <t>(Πληροφορίες για ποσότητα Ατσαλοσύρματος)</t>
  </si>
  <si>
    <t>ΑΠΟΣΤΑΣΗ ΜΕΤΑΞΥ ΚΟΛΩΝΩΝ</t>
  </si>
  <si>
    <t>ΠΡΟΣΘΕΤΟ ΜΗΚΟΣ</t>
  </si>
  <si>
    <t>ΠΙΝΑΚΑΣ 4</t>
  </si>
  <si>
    <t>(Πληροφορίες για ποσότητα Συρματόσχοινου)</t>
  </si>
  <si>
    <t>ΜΗΚΟΣ ΣΥΡΜΑΤΟΣΧΟΙΝΟΥ-ΑΓΚΥΡΕΣ</t>
  </si>
  <si>
    <t>ΠΡΟΣΘΕΤΗ ΣΤΗΡΙΞΗ</t>
  </si>
  <si>
    <t>ΚΟΛΩΝΕΣ ΑΝΆ ΣΤΡΕΜΜΑ</t>
  </si>
  <si>
    <t>ΕΙΔΟΣ ΠΡΟΣΤΑΣΊΑΣ</t>
  </si>
  <si>
    <t xml:space="preserve">ΑΝΑΛΩΣΗ ΥΛΙΚΩΝ ΑΠΟ ΠΙΝΑΚΕΣ ΣΥΜΠΛΗΡΩΣΗΣ ΔΕΔΟΜΕΝΩΝ </t>
  </si>
  <si>
    <t>ΣΥΝΔ</t>
  </si>
  <si>
    <t>ΠΥΚΝΗ</t>
  </si>
  <si>
    <t>ΚΑΝΟΝ</t>
  </si>
  <si>
    <t>1 ΣΤΡ</t>
  </si>
  <si>
    <t>Κ/ΣΤΡ (min.)</t>
  </si>
  <si>
    <t>Μ2( Μήκος Διαδρόμου Χ Απόσταση Μεταξύ Κολωνών) (min.)</t>
  </si>
  <si>
    <t>Βοηθητικός Πίνακας για εκλογή Απόστασης Μεταξύ Κολωνών</t>
  </si>
  <si>
    <t>Κολόνες Μπετόν ,7Χ8εκ., 5Μ</t>
  </si>
  <si>
    <t>Κολόνες Μπετόν , 9x9,5εκ., Προέντασης,(18 Σύρμ. ) 4,5Μ</t>
  </si>
  <si>
    <t>Κολόνες Μπετόν , 9x9,5εκ., Προέντασης,(18 Σύρμ. )'5Μ</t>
  </si>
  <si>
    <t>Άγκυρες ,1500/ Φ26/ Φ300/6 χιλ., Ατσάλι.</t>
  </si>
  <si>
    <t>Αντιβυθιστικό πέλμα κομπλέ,γωνία 100χ30x250,πάχος 5 χιλ.</t>
  </si>
  <si>
    <t>Συρματόσκοινο , 5,0 χιλ, γαλβ  κιλά</t>
  </si>
  <si>
    <t>Τεντωτήρες Μονοί, γαλβανισμένοι</t>
  </si>
  <si>
    <t>Τεντωτήρες Διπλοί, γαλβανισμένοι</t>
  </si>
  <si>
    <t>Τεντωτήρες Τριπλοί, γαλβανισμένοι</t>
  </si>
  <si>
    <t>Πλαστικό Καπέλλο Long,7χ8, Ενδιάμεσης  κολόνας, τεμ.</t>
  </si>
  <si>
    <t>Πλαστικό Καπέλλο Large, 9χ9,5 , Περιφερειακών κολονών, τεμ.</t>
  </si>
  <si>
    <t>Δίχτυ ΥΦΑΝΤΟ HDPE,με υψηλή UV προστασία,  τετραγ. μέτρα</t>
  </si>
  <si>
    <t>Πλακέτες Κορυφής αντί  Ραφής ανά 1 μ.</t>
  </si>
  <si>
    <t>Ελαστικά δεσίματα διχτυού, 3 τεμ. μεταξυ 2 κολονών</t>
  </si>
  <si>
    <t>Δακτυλίδια διχτυού Φ8 εκ., τεμάχια</t>
  </si>
  <si>
    <t>Ατσαλόσυρμα , 4,0 χιλ, γαλβ  μέτρα-κιλά</t>
  </si>
  <si>
    <t>m.</t>
  </si>
  <si>
    <t>Τμχ.</t>
  </si>
  <si>
    <t>Συρματόσκοινο  8,0 χιλ.,γαλβ.εν θερμώ,μέτρα- κιλά</t>
  </si>
  <si>
    <t>Συρματόσκοινο  Φ4  σε κάθε διάδρομο</t>
  </si>
  <si>
    <t>Μπράτσα πλαινά με 2 στηρίγματα, Φ26</t>
  </si>
  <si>
    <t xml:space="preserve">ΜΕΣΟ ΜΗΚΟΣ ΚΑΘΕΤΩΝ ΓΡΑΜΜΩΝ </t>
  </si>
  <si>
    <t>(Κολόνες Αντιχαλαζικής)</t>
  </si>
  <si>
    <t>ΠΙΝΑΚΑΣ 5</t>
  </si>
  <si>
    <t>(Κολόνες Στήριξης Αχτινιδίων)</t>
  </si>
  <si>
    <t>ΟΡΟΦΗ</t>
  </si>
  <si>
    <t>ΠΕΛΑΤΗΣ</t>
  </si>
  <si>
    <t>ΚΤΗΜΑ</t>
  </si>
  <si>
    <t>ΚΑΛΛΙΕΡΓΕΙΑ</t>
  </si>
  <si>
    <t>ΕΙΔΟΣ ΣΤΗΡΙΞΗΣ</t>
  </si>
  <si>
    <t>Κολόνες Μπετόν ,7Χ8εκ., 2,8Μ</t>
  </si>
  <si>
    <t>Κολόνες Μπετόν , 9x9,5εκ., Προέντασης,(18 Σύρμ. ) 2,8Μ</t>
  </si>
  <si>
    <t>Πλαστικό Καπέλλο Long,9χ9,5, Ενδιάμεσης  κολόνας, τεμ.</t>
  </si>
  <si>
    <t>Ατσαλόσυρμα , 2,2 χιλ, γαλβ  μέτρα-κιλά</t>
  </si>
  <si>
    <t>Ζιγκιά , 1/Ενδιάμεση Κολόνα.</t>
  </si>
  <si>
    <t>Πέργκολες στήριξης φυτών, γαλβανανισμένες, Εξωτερικές.</t>
  </si>
  <si>
    <t>Πέργκολες στήριξης φυτών, γαλβανανισμένες, Εσωτερικές.</t>
  </si>
  <si>
    <t>Ατσαλόσυρμα Κάθετο Φ4, σε κάθε κάθετη σειρά</t>
  </si>
  <si>
    <t>Σφιγκτήρες συρματοσκ. διαδρόμου &amp; Σειρών, Φ8mm(αδιαβροχο)</t>
  </si>
  <si>
    <t>Ζιγκιά 1/ Ενδιάμεση Κολόνα</t>
  </si>
  <si>
    <t>ΠΡΟΣΘΕΤΑ ΥΛΙΚΑ ΓΙΑ ΑΝΤΙΒΡΟΧΙΝΟ</t>
  </si>
  <si>
    <t>Πλαστικός Γάντζος Λάστιχου Διαδρόμων (UNIVERSAL)</t>
  </si>
  <si>
    <t>Κρίκος Κορυφής Πλαστικού Αδιάβροχου (OVAL)</t>
  </si>
  <si>
    <t>1 Λαστιχο Ζικ-Ζακ Διαδρόμου, μέτρα</t>
  </si>
  <si>
    <r>
      <t>Αδιάβροχο Με Προστατευτικό, μ</t>
    </r>
    <r>
      <rPr>
        <vertAlign val="superscript"/>
        <sz val="11"/>
        <color rgb="FF002060"/>
        <rFont val="Bahnschrift SemiLight SemiConde"/>
        <family val="2"/>
        <charset val="161"/>
      </rPr>
      <t>2</t>
    </r>
  </si>
  <si>
    <r>
      <t>m</t>
    </r>
    <r>
      <rPr>
        <vertAlign val="superscript"/>
        <sz val="11"/>
        <color theme="1"/>
        <rFont val="Bahnschrift SemiCondensed"/>
        <family val="2"/>
        <charset val="161"/>
      </rPr>
      <t>2</t>
    </r>
    <r>
      <rPr>
        <sz val="11"/>
        <color theme="1"/>
        <rFont val="Bahnschrift SemiCondensed"/>
        <family val="2"/>
        <charset val="161"/>
      </rPr>
      <t>.</t>
    </r>
  </si>
  <si>
    <r>
      <t>Πλαστικό Περιτύλιγμα Αδιάβροχου, 1Χ0,50, ανά μ</t>
    </r>
    <r>
      <rPr>
        <vertAlign val="superscript"/>
        <sz val="11"/>
        <color rgb="FF002060"/>
        <rFont val="Bahnschrift SemiLight SemiConde"/>
        <family val="2"/>
        <charset val="161"/>
      </rPr>
      <t>2</t>
    </r>
    <r>
      <rPr>
        <sz val="11"/>
        <color rgb="FF002060"/>
        <rFont val="Bahnschrift SemiLight SemiConde"/>
        <family val="2"/>
        <charset val="161"/>
      </rPr>
      <t xml:space="preserve"> (WINTER)</t>
    </r>
  </si>
  <si>
    <t>Πλακέτα Στήριξης Αδιαβ. Αλυσίδα με Βίδες  ανά 1μ. (STOP-FILM)</t>
  </si>
  <si>
    <t>Πλακέτες MAGNUM ή ΝΙΝΑ, τεμ.</t>
  </si>
  <si>
    <t xml:space="preserve">Πλαστικοί Γάντζοι, τεμ. </t>
  </si>
  <si>
    <t>Λάστιχο  9mm, τεμ</t>
  </si>
  <si>
    <t>Σφιγκτήρες (8,0mm) , DIN1142</t>
  </si>
  <si>
    <t>Πλακέτες διχτυού αυτομάτου ανοίγματος, τεμ.ΚΑΘΕ 2,50μ.</t>
  </si>
  <si>
    <r>
      <rPr>
        <b/>
        <sz val="11"/>
        <color rgb="FFFF0000"/>
        <rFont val="Bahnschrift SemiBold Condensed"/>
        <family val="2"/>
        <charset val="161"/>
      </rPr>
      <t>ΑΠΑΡΑΙΤΗΤΗ</t>
    </r>
    <r>
      <rPr>
        <b/>
        <sz val="11"/>
        <color theme="1"/>
        <rFont val="Bahnschrift SemiBold Condensed"/>
        <family val="2"/>
        <charset val="161"/>
      </rPr>
      <t xml:space="preserve"> ΣΥΜΠΛΗΡΩΣΗ ΔΕΔΟΜΕΝΩΝ </t>
    </r>
  </si>
  <si>
    <t>ΠΕΡΙΜΕΤΡΟΣ ΓΙΑ ΔΙΧΤΥΟΚΗΠΙΟ</t>
  </si>
  <si>
    <t>ΠΑΠΑΔΗΜΗΤΡΙΟΥ ΧΑΡΑΛΑΜΠΟΣ</t>
  </si>
  <si>
    <t>Κ5-ΑΑ1+ΑΑ2+ΑΑ5</t>
  </si>
  <si>
    <t>ΣΥΝΟΛΟ</t>
  </si>
  <si>
    <t>AA1</t>
  </si>
  <si>
    <t>AA2</t>
  </si>
  <si>
    <t>AA5</t>
  </si>
  <si>
    <t>AA27</t>
  </si>
  <si>
    <t>ΕΜΒΑΔΟΝ ΑΓΡΟΤΕΜΑΧΙΟΥ</t>
  </si>
  <si>
    <r>
      <t>m</t>
    </r>
    <r>
      <rPr>
        <b/>
        <vertAlign val="superscript"/>
        <sz val="11"/>
        <color theme="1"/>
        <rFont val="Bahnschrift Light Condensed"/>
        <family val="2"/>
        <charset val="161"/>
      </rPr>
      <t>2</t>
    </r>
    <r>
      <rPr>
        <b/>
        <sz val="11"/>
        <color theme="1"/>
        <rFont val="Bahnschrift Light Condensed"/>
        <family val="2"/>
        <charset val="161"/>
      </rPr>
      <t>.</t>
    </r>
  </si>
  <si>
    <t>Συρματόσκοινο, 5,0 χιλ, γαλβ. εν θερμώ  μέτρα-κιλά</t>
  </si>
  <si>
    <t>Ζιγκιά , 1/ Κολόνα.</t>
  </si>
  <si>
    <t>Κολόνες Μπετόν , 9x9,5εκ., Προέντασης,(18 Σύρμ. ) 2,7Μ</t>
  </si>
  <si>
    <t>Άγκυρες ,1500/ Φ25/ Φ300/6 χιλ., Ατσάλι.</t>
  </si>
  <si>
    <t>Αντιβυθιστικό πέλμα κομπλέ,γωνία 335x110x50x4</t>
  </si>
  <si>
    <t>Συρματόσκοινο  Φ5  σε κάθε διάδρομο</t>
  </si>
  <si>
    <t>ΤΗΛΕΦΩΝΟ:</t>
  </si>
  <si>
    <t>ΠΕΡΙΟΧΗ:</t>
  </si>
  <si>
    <t>ΕΡΓΟ:</t>
  </si>
  <si>
    <t>ΥΠΟΨΗΦΙΟ ΠΡΟΓΡΑΜΜΑ:</t>
  </si>
  <si>
    <t>Τεντωτήρες Μονός, γαλβανισμένοι</t>
  </si>
  <si>
    <t>Χούφτα Σωλήνα Κατασκευής, γαβανισμένη.</t>
  </si>
  <si>
    <t>Τεντωτήρες Μονός 3mm, γαλβανισμένοι</t>
  </si>
  <si>
    <t>Δακτυλίδια Τεντωτήρα Μονού 3mm, Φ8 εκ., τεμάχια</t>
  </si>
  <si>
    <t>Τεντωτήρες Σύρματος Μεταλικός Παλμέτας, γαλβανισμένοι</t>
  </si>
  <si>
    <t>CLASSIC</t>
  </si>
  <si>
    <t>KIWI-A</t>
  </si>
  <si>
    <t>V5</t>
  </si>
  <si>
    <t>TRAMPOLINE</t>
  </si>
  <si>
    <t>PROTECTA</t>
  </si>
  <si>
    <t>PLASTIC</t>
  </si>
  <si>
    <t>PLAIN PLASTIC</t>
  </si>
  <si>
    <t>KIWI-B</t>
  </si>
  <si>
    <t>7X8</t>
  </si>
  <si>
    <t>ΔΕΝ ΑΚΟΥΜΠΑΜΕ</t>
  </si>
  <si>
    <t>MONO</t>
  </si>
  <si>
    <r>
      <t>Αδιάβροχο Με Προστατευτικό, μ</t>
    </r>
    <r>
      <rPr>
        <vertAlign val="superscript"/>
        <sz val="11"/>
        <color rgb="FF002060"/>
        <rFont val="Bahnschrift Light SemiCondensed"/>
        <family val="2"/>
        <charset val="161"/>
      </rPr>
      <t>2</t>
    </r>
  </si>
  <si>
    <r>
      <t>Πλαστικό Περιτύλιγμα Αδιάβροχου, 1Χ0,50, ανά μ</t>
    </r>
    <r>
      <rPr>
        <vertAlign val="superscript"/>
        <sz val="11"/>
        <color rgb="FF002060"/>
        <rFont val="Bahnschrift Light SemiCondensed"/>
        <family val="2"/>
        <charset val="161"/>
      </rPr>
      <t>2</t>
    </r>
    <r>
      <rPr>
        <sz val="11"/>
        <color rgb="FF002060"/>
        <rFont val="Bahnschrift Light SemiCondensed"/>
        <family val="2"/>
        <charset val="161"/>
      </rPr>
      <t xml:space="preserve"> (WINTER)</t>
    </r>
  </si>
  <si>
    <t>ΥΛΙΚΑ ΓΙΑ V5-TRAMPOLINE-PROTECTA</t>
  </si>
  <si>
    <t>Κολόνες Μπετόν ,7Χ8εκ., Προένταση, (12 Σύρμ.) 4,5Μ</t>
  </si>
  <si>
    <t>Κολόνες Μπετόν ,7Χ8εκ., Προένταση, (12 Σύρμ.) 4,8Μ</t>
  </si>
  <si>
    <t>Κολόνες Μπετόν ,7Χ8εκ., Προένταση, (12 Σύρμ.) 5Μ</t>
  </si>
  <si>
    <t>Κολόνες Μπετόν , 9x9,5εκ., Προένταση,(18 Σύρμ. ) '4,5Μ</t>
  </si>
  <si>
    <t>Κολόνες Μπετόν , 9x9,5εκ., Προένταση,(18 Σύρμ. ) '4,8Μ</t>
  </si>
  <si>
    <t>Κολόνες Μπετόν , 9x9,5εκ., Προένταση,(18 Σύρμ. )'5Μ</t>
  </si>
  <si>
    <t>Πλαστικό Καπέλλο Long,7x8, τεμάχια.</t>
  </si>
  <si>
    <t>Πλαστικό Καπέλλο Long,9x9,5, τεμάχια.</t>
  </si>
  <si>
    <t>Κολόνες Μπετόν ,7Χ8εκ., Προένταση, (12 Σύρμ.), 2,7Μ</t>
  </si>
  <si>
    <t>Σωλήνας Κατασκευής,6000/Φ60/2mm, γαβανισμένη, μέτρα</t>
  </si>
  <si>
    <t>Σωλήνας Κατασκευής,6000/Φ48/2mm, γαβανισμένη, μέτρα</t>
  </si>
  <si>
    <t>kg.</t>
  </si>
  <si>
    <t>ΑΝΕΜΟΘΡΑΥΣΤΗΣ</t>
  </si>
  <si>
    <t>ΠΑΓΕΤΟΣ</t>
  </si>
  <si>
    <t>Δίχτυ Παγετού, ΥΦΑΝΤΟ HDPE,  τετραγ. Μέτρα.</t>
  </si>
  <si>
    <t>ΠΡΟΣΤΑΣΙΑ από ΠΑΓΕΤΟ</t>
  </si>
  <si>
    <t>πλάτος:</t>
  </si>
  <si>
    <t>ΑΓΚ-1000202005-ΜΠΑΞ</t>
  </si>
  <si>
    <t>ΑΓΚΥΡΑ 1000/20/200/5</t>
  </si>
  <si>
    <t>ΑΓΚ-1150182005-ΜΠΑΞ</t>
  </si>
  <si>
    <t>ΑΓΚΥΡΑ 1150/18/200/5</t>
  </si>
  <si>
    <t>ΑΓΚ-1300-20-250-5-ΜΠΑΞ</t>
  </si>
  <si>
    <t>ΑΓΚΥΡΑ ΣΤΡΟΓΓΥΛΗ 1300/20/250/5</t>
  </si>
  <si>
    <t>ΑΓΚ-AHL-1300263006-MI</t>
  </si>
  <si>
    <t>ΑΓΚΥΡΑ 1300/26/300/6-5ΓΩΝΗ</t>
  </si>
  <si>
    <t>ΑΓΚ-AHL-1500263006-MI</t>
  </si>
  <si>
    <t>ΑΓΚΥΡΑ 1500/26/300/6-5ΓΩΝΗ</t>
  </si>
  <si>
    <t>ΑΓΚ-AHL-1500263006-ΠΑΡ</t>
  </si>
  <si>
    <t>ΑΓΚΥΡΑ 1500/26/300/6 ΓΩΝΗ</t>
  </si>
  <si>
    <t>ΑΓΚ-AHL-R-1500263006-MI</t>
  </si>
  <si>
    <t>ΑΓΚΥΡΑ ROUND 1500/26/300/6</t>
  </si>
  <si>
    <t>ΑΤΣΑΛΟΣΥΡΜΑΤΑ</t>
  </si>
  <si>
    <t>ΑΤΣ-ΣΥΡ-2.1-ΓΑΛΒ</t>
  </si>
  <si>
    <t>ΑΤΣ-ΣΥΡ-2.2-ΓΑΛΒ</t>
  </si>
  <si>
    <t>ΑΤΣ-ΣΥΡ-3.6-ΓΑΛΒ</t>
  </si>
  <si>
    <t>ΑΤΣ-ΣΥΡ-4.0-ΓΑΛΒ</t>
  </si>
  <si>
    <t>ΑΤΣ-ΤΡΙΚΛ-1*3*2.2-ΓΑΛΒ-ΛΕ</t>
  </si>
  <si>
    <t>ΑΤΣΑΛΟΣΥΡΜΑ Φ2.1 ΓΑΛΒ.</t>
  </si>
  <si>
    <t>ΑΤΣΑΛΟΣΥΡΜΑ Φ2.2 ΓΑΛΒ.</t>
  </si>
  <si>
    <t>ΑΤΣΑΛΟΣΥΡΜΑ Φ3.6 ΓΑΛΒ.</t>
  </si>
  <si>
    <t>ΑΤΣΑΛΟΣΥΡΜΑ Φ4.0 ΓΑΛΒ.</t>
  </si>
  <si>
    <t>ΑΤΣΑΛΟΣΥΡΜΑ ΤΡΙΚΛΩΝΟ ΠΑΛΜΕΤΑΣ</t>
  </si>
  <si>
    <t>ΔΑΧΤ-ΓΑΛΒ-880-ILM</t>
  </si>
  <si>
    <t>ΔΑΧΤΥΛΙΔΙΑ ΓΑΛΒΑΝΙΣΜΕΝΑ 8χ80</t>
  </si>
  <si>
    <t>ΔΑΧΤΥΛΙΔΙΑ</t>
  </si>
  <si>
    <t>ΔΕΣ-ΔΙΧΤ-ΕΛΑΣΤ-25CM-AG</t>
  </si>
  <si>
    <t>ΔΕΣΙΜΟ ΔΙΧΤΥΟΥ ΕΛΑΣΤΙΚΟ</t>
  </si>
  <si>
    <t>ΕΛΑΣΤΙΚΑ ΔΕΣΙΜΑΤΑ</t>
  </si>
  <si>
    <t>ΔΙ-ΑΝΤ- HDPE-30-ΜΑΥ-AG</t>
  </si>
  <si>
    <t>ΔΙΧΤΥ ΑΝΤΙΧΑΛΑΖΙΚΟ HDPE ΜΑΥΡΟ 3.0</t>
  </si>
  <si>
    <t>ΔΙ-ΑΝΤ-5ΒΑΤΤ-81-ΜΑΥ--AG</t>
  </si>
  <si>
    <t>ΔΙΧΤΥ ΑΝΤΙΧΑΛΑΖΙΚΟ HDPE ΜΑΥΡΟ 8.1 ΔΙΑ 2</t>
  </si>
  <si>
    <t>ΔΙ-ΑΝΤ-HDPE-18-ΜΑΥ-AG</t>
  </si>
  <si>
    <t>ΔΙΧΤΥ ΑΝΤΙΧΑΛΑΖΙΚΟ HDPE ΜΑΥΡΟ 1.8</t>
  </si>
  <si>
    <t>ΔΙ-ΑΝΤ-HDPE-20-ΜΑΥ-AG</t>
  </si>
  <si>
    <t>ΔΙΧΤΥ ΑΝΤΙΧΑΛΑΖΙΚΟ HDPE ΜΑΥΡΟ 2.0</t>
  </si>
  <si>
    <t>ΔΙ-ΑΝΤ-HDPE-23-ΚRI-AG</t>
  </si>
  <si>
    <t>ΔΙΧΤΥ ΑΝΤΙΧΑΛΑΖΙΚΟ HDPE KRISTALL 2.3</t>
  </si>
  <si>
    <t>ΔΙ-ΑΝΤ-HDPE-245-ΜΑΥ-AG</t>
  </si>
  <si>
    <t>ΔΙΧΤΥ ΑΝΤΙΧΑΛΑΖΙΚΟ HDPE ΜΑΥΡΟ 2.45</t>
  </si>
  <si>
    <t>ΔΙ-ΑΝΤ-HDPE-25-ΚRI-AG</t>
  </si>
  <si>
    <t>ΔΙΧΤΥ ΑΝΤΙΧΑΛΑΖΙΚΟ HDPE KRISTALL 2.5</t>
  </si>
  <si>
    <t>ΔΙ-ΑΝΤ-HDPE-25-ΛΕΥΚ-AG</t>
  </si>
  <si>
    <t>ΔΙΧΤΥ ΑΝΤΙΧΑΛΑΖΙΚΟ HDPE ΛΕΥΚΟ 2.5</t>
  </si>
  <si>
    <t>ΔΙ-ΑΝΤ-HDPE-25-ΜΑΥ-AG</t>
  </si>
  <si>
    <t>ΔΙΧΤΥ ΑΝΤΙΧΑΛΑΖΙΚΟ HDPE ΜΑΥΡΟ 2.5</t>
  </si>
  <si>
    <t>ΔΙ-ΑΝΤ-HDPE-26NEYTRAL-AG</t>
  </si>
  <si>
    <t>ΔΙΧΤΥ ΑΝΤΙΧΑΛΑΖΙΚΟ HDPE NEUTRAL 2.6</t>
  </si>
  <si>
    <t>ΔΙ-ΑΝΤ-HDPE-26-ΚRI-AG</t>
  </si>
  <si>
    <t>ΔΙΧΤΥ ΑΝΤΙΧΑΛΑΖΙΚΟ HDPE KRISTALL 2.6</t>
  </si>
  <si>
    <t>ΔΙ-ΑΝΤ-HDPE-26-ΜΑΥ-AG</t>
  </si>
  <si>
    <t>ΔΙΧΤΥ ΑΝΤΙΧΑΛΑΖΙΚΟ HDPE ΜΑΥΡΟ 2.6</t>
  </si>
  <si>
    <t>ΔΙ-ΑΝΤ-HDPE-27-ΚRI-AG</t>
  </si>
  <si>
    <t>ΔΙΧΤΥ ΑΝΤΙΧΑΛΑΖΙΚΟ HDPE KRISTALL 2.7 4Χ4</t>
  </si>
  <si>
    <t>ΔΙ-ΑΝΤ-HDPE-28-NEYTRAL-AG</t>
  </si>
  <si>
    <t>ΔΙΧΤΥ ΑΝΤΙΧΑΛΑΖΙΚΟ HDPE NEUTRAL 2.8</t>
  </si>
  <si>
    <t>ΔΙ-ΑΝΤ-HDPE-28-ΚRI-AG</t>
  </si>
  <si>
    <t>ΔΙΧΤΥ ΑΝΤΙΧΑΛΑΖΙΚΟ HDPE KRISTALL 2.8</t>
  </si>
  <si>
    <t>ΔΙ-ΑΝΤ-HDPE-28-ΜΑΥ-AG</t>
  </si>
  <si>
    <t>ΔΙΧΤΥ ΑΝΤΙΧΑΛΑΖΙΚΟ HDPE ΜΑΥΡΟ 2.8</t>
  </si>
  <si>
    <t>ΔΙ-ΑΝΤ-HDPE-35-ΚRI-AG</t>
  </si>
  <si>
    <t>ΔΙΧΤΥ ΑΝΤΙΧΑΛΑΖΙΚΟ HDPE KRISTALL 4Χ4 3.5</t>
  </si>
  <si>
    <t>ΔΙ-ΑΝΤ-HDPE-36-ΚRI-AG</t>
  </si>
  <si>
    <t>ΔΙΧΤΥ ΑΝΤΙΧΑΛΑΖΙΚΟ HDPE KRISTALL 3.5</t>
  </si>
  <si>
    <t>ΔΙ-ΑΝΤ-HDPE-375-ΜΑΥ-AG</t>
  </si>
  <si>
    <t>ΔΙΧΤΥ ΑΝΤΙΧΑΛΑΖΙΚΟ HDPE ΜΑΥΡΟ 3.75</t>
  </si>
  <si>
    <t>ΔΙ-ΑΝΤ-HDPE-38-ΜΑΥ-AG</t>
  </si>
  <si>
    <t>ΔΙΧΤΥ ΑΝΤΙΧΑΛΑΖΙΚΟ HDPE ΜΑΥΡΟ 3.8</t>
  </si>
  <si>
    <t>ΔΙ-ΑΝΤ-HDPE-39-ΜΑΥ-AG</t>
  </si>
  <si>
    <t>ΔΙΧΤΥ ΑΝΤΙΧΑΛΑΖΙΚΟ HDPE ΜΑΥΡΟ 3.9</t>
  </si>
  <si>
    <t>ΔΙ-ΑΝΤ-HDPE-40-ΜΑΥ-AG</t>
  </si>
  <si>
    <t>ΔΙΧΤΥ ΑΝΤΙΧΑΛΑΖΙΚΟ HDPE ΜΑΥΡΟ 4.0</t>
  </si>
  <si>
    <t>ΔΙ-ΑΝΤ-HDPE-41-ΜΑΥ-AG</t>
  </si>
  <si>
    <t>ΔΙΧΤΥ ΑΝΤΙΧΑΛΑΖΙΚΟ HDPE ΜΑΥΡΟ 4.1</t>
  </si>
  <si>
    <t>ΔΙ-ΑΝΤ-HDPE-42-ΚRI-AG</t>
  </si>
  <si>
    <t>ΔΙΧΤΥ ΑΝΤΙΧΑΛΑΖΙΚΟ HDPE KRISTALL 4.2</t>
  </si>
  <si>
    <t>ΔΙ-ΑΝΤ-HDPE-42-ΜΑΥ</t>
  </si>
  <si>
    <t>ΔΙΧΤΥ ΑΝΤΙΧΑΛΑΖΙΚΟ HDPE ΜΑΥΡΟ 4.2</t>
  </si>
  <si>
    <t>ΔΙ-ΑΝΤ-HDPE-42-ΜΑΥ-AG</t>
  </si>
  <si>
    <t>ΔΙ-ΑΝΤ-HDPE-43-ΜΑΥ-AG</t>
  </si>
  <si>
    <t>ΔΙΧΤΥ ΑΝΤΙΧΑΛΑΖΙΚΟ HDPE ΜΑΥΡΟ 4.3</t>
  </si>
  <si>
    <t>ΔΙ-ΑΝΤ-HDPE-44-ΜΑΥ</t>
  </si>
  <si>
    <t>ΔΙΧΤΥ ΑΝΤΙΧΑΛΑΖΙΚΟ HDPE ΜΑΥΡΟ 4.4</t>
  </si>
  <si>
    <t>ΔΙ-ΑΝΤ-HDPE-44-ΜΑΥ-AG</t>
  </si>
  <si>
    <t>ΔΙ-ΑΝΤ-HDPE-45-ΚRI-AG</t>
  </si>
  <si>
    <t>ΔΙΧΤΥ ΑΝΤΙΧΑΛΑΖΙΚΟ HDPE KRISTALL 4.5</t>
  </si>
  <si>
    <t>ΔΙ-ΑΝΤ-HDPE-45-ΜΑΥ-AG</t>
  </si>
  <si>
    <t>ΔΙΧΤΥ ΑΝΤΙΧΑΛΑΖΙΚΟ HDPE ΜΑΥΡΟ 4.5</t>
  </si>
  <si>
    <t>ΔΙ-ΑΝΤ-HDPE-46-ΜΑΥ-AG</t>
  </si>
  <si>
    <t>ΔΙΧΤΥ ΑΝΤΙΧΑΛΑΖΙΚΟ HDPE ΜΑΥΡΟ 4.6</t>
  </si>
  <si>
    <t>ΔΙ-ΑΝΤ-HDPE-48-ΜΑΥ-AG</t>
  </si>
  <si>
    <t>ΔΙΧΤΥ ΑΝΤΙΧΑΛΑΖΙΚΟ HDPE ΜΑΥΡΟ 4.8</t>
  </si>
  <si>
    <t>ΔΙ-ΑΝΤ-HDPE-50-ΜΑΥ-AG</t>
  </si>
  <si>
    <t>ΔΙΧΤΥ ΑΝΤΙΧΑΛΑΖΙΚΟ HDPE ΜΑΥΡΟ 5.0</t>
  </si>
  <si>
    <t>ΔΙ-ΑΝΤ-HDPE-52-ΜΑΥ-AG</t>
  </si>
  <si>
    <t>ΔΙΧΤΥ ΑΝΤΙΧΑΛΑΖΙΚΟ HDPE ΜΑΥΡΟ 5.2</t>
  </si>
  <si>
    <t>ΔΙ-ΑΝΤ-HDPE-53-ΜΑΥ-AG</t>
  </si>
  <si>
    <t>ΔΙΧΤΥ ΑΝΤΙΧΑΛΑΖΙΚΟ HDPE ΜΑΥΡΟ 5.3</t>
  </si>
  <si>
    <t>ΔΙ-ΑΝΤ-HDPE-56-ΜΑΥ-AG</t>
  </si>
  <si>
    <t>ΔΙΧΤΥ ΑΝΤΙΧΑΛΑΖΙΚΟ HDPE ΜΑΥΡΟ 5.6</t>
  </si>
  <si>
    <t>ΔΙ-ΑΝΤ-HDPE-58-ΚRI-AG</t>
  </si>
  <si>
    <t>ΔΙΧΤΥ ΑΝΤΙΧΑΛΑΖΙΚΟ HDPE KRISTALL 4Χ4 5.8</t>
  </si>
  <si>
    <t>ΔΙ-ΑΝΤ-HDPE-68-GREY-AG</t>
  </si>
  <si>
    <t>ΔΙΧΤΥ ΑΝΤΙΧΑΛΑΖΙΚΟ HDPE ΓΚΡΙ 6.8</t>
  </si>
  <si>
    <t>ΔΙ-ΑΝΤ-HDPE-8.2-ΜΑΥ-AG</t>
  </si>
  <si>
    <t>ΔΙΧΤΥ ΑΝΤΙΧΑΛΑΖΙΚΟ HDPE ΜΑΥΡΟ 8.2</t>
  </si>
  <si>
    <t>ΔΙ-ΑΝΤ-HDPE-84-Σ-S-ΜΑΥ-AG</t>
  </si>
  <si>
    <t>ΔΙΧΤΥ ΑΝΤΙΧΑΛΑΖΙΚΟ HDPE ΜΑΥΡΟ 8.4 ΕΝΩΜΕΝΟ ΔΙΑ 2</t>
  </si>
  <si>
    <t>ΔΙ-ΠΛΕΚΤ-4.2-ΜΑΥ-PAD</t>
  </si>
  <si>
    <t>ΔΙΧΤΥ ΠΛΕΚΤΟ 4.2</t>
  </si>
  <si>
    <t>ΔΙ-ΣΚΙΑ-50-GREEN-6X500-AG</t>
  </si>
  <si>
    <t>ΔΙΧΤΥ ΣΚΙΑΣΗΣ 50% HDPE ΠΡΑΣΙΝΟ 5.0</t>
  </si>
  <si>
    <t>ΔΙ-ΣΚΙΑ-50-HDPE-ΜΑΥ-AG</t>
  </si>
  <si>
    <t>ΔΙΧΤΥ ΣΚΙΑΣΗΣ 50% HDPE ΜΑΥΡΟ 12.0</t>
  </si>
  <si>
    <t>ΔΙΣΚ-ΚΟΠ-ΙΝΟΧ-115Χ10ΑΑ-ΜΠ</t>
  </si>
  <si>
    <t>ΔΙΣΚΟΣ ΚΟΠΗΣ ΙΝΟΧ 115Χ10 ΑΑ</t>
  </si>
  <si>
    <t>ΔΙΧ-ΑΝΤ-2010-ΛΕΥ-60-AG</t>
  </si>
  <si>
    <t>ΔΙΧΤΥ ΑΝΤΙΑΦΙΔΙΚΟ 20/10-6.0</t>
  </si>
  <si>
    <t>ΔΙΧ-ΑΝΤ-2010-ΛΕΥ-65-AG</t>
  </si>
  <si>
    <t>ΔΙΧΤΥ ΑΝΤΙΑΦΙΔΙΚΟ 20/10-6.5</t>
  </si>
  <si>
    <t>ΔΙΧ-ΣΚΙΑΣ-UMBR-ΠΡΑΣ</t>
  </si>
  <si>
    <t>ΔΙΧΤΥ ΣΚΙΑΣΗΣ 50%UBRATEX ΠΡΑΣΙΝΟ</t>
  </si>
  <si>
    <t>ΔΙΧΤΥΑ</t>
  </si>
  <si>
    <t>ΕΛΑΣΤ-ΔΕΣ-ΔΕΝΤ-10CM</t>
  </si>
  <si>
    <t>ΕΛΑΣΤΙΚΑ ΔΕΣΙΜΑΤΑ ΔΕΝΤΡΩΝ 10CM</t>
  </si>
  <si>
    <t>ΕΛΑΣΤ-ΔΕΣ-ΔΕΝΤ-12CM</t>
  </si>
  <si>
    <t>ΕΛΑΣΤΙΚΑ ΔΕΣΙΜΑΤΑ ΔΕΝΤΡΩΝ 12CM</t>
  </si>
  <si>
    <t>ΕΛΑΣΤ-ΔΕΣ-ΔΕΝΤ-3CM</t>
  </si>
  <si>
    <t>ΕΛΑΣΤΙΚΑ ΔΕΣΙΜΑΤΑ ΔΕΝΤΡΩΝ 3CM</t>
  </si>
  <si>
    <t>ΕΛΑΣΤ-ΔΕΣ-ΔΕΝΤ-5CM</t>
  </si>
  <si>
    <t>ΕΛΑΣΤΙΚΑ ΔΕΣΙΜΑΤΑ ΔΕΝΤΡΩΝ 5CM</t>
  </si>
  <si>
    <t>ΕΛΑΣΤ-ΔΕΣ-ΔΕΝΤ-8CM</t>
  </si>
  <si>
    <t>ΕΛΑΣΤΙΚΑ ΔΕΣΙΜΑΤΑ ΔΕΝΤΡΩΝ 8CM</t>
  </si>
  <si>
    <t>ΖΙ-995-ΜΕ-ΛΑΜ-Μ10-IL</t>
  </si>
  <si>
    <t>ΖΙΓΚΙ 9X9.5 M10 ΜΕ ΛΑΜΑΚΙ</t>
  </si>
  <si>
    <t>ΖΙ-ΜΕΤΩΠ-ΚΡΕΒ-10450-ΚΑΚ</t>
  </si>
  <si>
    <t>ΖΙΓΚΙ ΓΙΑ ΜΕΤΩΠΙΚΗ ΣΩΛΗΝΑ ΚΡΕΒΒΑΤΙΝΑΣ</t>
  </si>
  <si>
    <t>ΖΙ-ΜΕΤΩΠ-ΚΡΕΒ-10550-ΚΑΚ</t>
  </si>
  <si>
    <t>ΖΙ-ΨΥ-78-ILM</t>
  </si>
  <si>
    <t>ΖΙΓΚΙ 7x8</t>
  </si>
  <si>
    <t>ΖΙ-ΨΥ-995-ILM</t>
  </si>
  <si>
    <t>ΖΙΓΚΙ 9x9.5</t>
  </si>
  <si>
    <t>ΖΙΓΚΙΑ</t>
  </si>
  <si>
    <t>ΚΑΠ-PP-78-MAK-MAY-GRUZA</t>
  </si>
  <si>
    <t>ΚΑΠΕΛΟ PP 7x8 ΜΑΥΡΟ</t>
  </si>
  <si>
    <t>ΚΑΠ-ΓΩΝΙΑ-60-40-ΚΑΛΦ</t>
  </si>
  <si>
    <t>ΚΑΠΕΛΟ ΓΩΝΙΑ 60-40</t>
  </si>
  <si>
    <t>ΚΑΠ-ΞΥΛΙΝ</t>
  </si>
  <si>
    <t>ΚΑΠΕΛΟ ΓΙΑ ΞΥΛΙΝΕΣ</t>
  </si>
  <si>
    <t>ΚΑΠ-ΡΡ-775-ΜΑΥ-MIB</t>
  </si>
  <si>
    <t>ΚΑΠΕΛΟ ΡΡ 7x7.5 ΜΑΥΡΟ</t>
  </si>
  <si>
    <t>ΚΑΠ-ΡΡ-78-ΜΑΚ-ΜΑΥ-ΜΙΒ</t>
  </si>
  <si>
    <t>ΚΑΠΕΛΟ ΡΡ 7x8  ΜΑΥΡΟ</t>
  </si>
  <si>
    <t>ΚΑΠ-ΡΡ-885-ΜΑΚ-ΜΑΥ-ΚΑΛΦ</t>
  </si>
  <si>
    <t>ΚΑΠΕΛΟ ΡΡ 8x8.5 ΜΑΥΡΟ</t>
  </si>
  <si>
    <t>ΚΑΠ-ΡΡ-995-ΜΑΚ-ΜΑΥ-GRUZA</t>
  </si>
  <si>
    <t>ΚΑΠΕΛΟ ΡΡ 9x9.5 ΜΑΥΡΟ</t>
  </si>
  <si>
    <t>ΚΑΠ-ΡΡ-995-ΜΑΚ-ΜΑΥ-ΚΑΛΦ</t>
  </si>
  <si>
    <t>ΠΛΑΣΤΙΚΑ ΚΑΠΕΛΑ</t>
  </si>
  <si>
    <t>ΚΟΛΟΝΕΣ</t>
  </si>
  <si>
    <t>Κ-MΠ-78-50-12-LO</t>
  </si>
  <si>
    <t>ΚΟΛΟΝΕΣ ΜΠΕΤΟΝ 7x8 12 ΑΤΣ/ΤΑ 5.0m</t>
  </si>
  <si>
    <t>Κ-ΜΠ-78-25-12-ΜΙ</t>
  </si>
  <si>
    <t>ΚΟΛΟΝΕΣ ΜΠΕΤΟΝ 7x8 12 ΑΤΣ/ΤΑ</t>
  </si>
  <si>
    <t>Κ-ΜΠ-78-27-12-ΜΙ</t>
  </si>
  <si>
    <t>Κ-ΜΠ-78-35-12-ΜΙ</t>
  </si>
  <si>
    <t>Κ-ΜΠ-78-40-12-ΜΙ</t>
  </si>
  <si>
    <t>Κ-ΜΠ-78-45-12-LO</t>
  </si>
  <si>
    <t>ΚΟΛΟΝΕΣ ΜΠΕΤΟΝ 7X8 12 ΑΤΣ/ΤΑ 4.5m</t>
  </si>
  <si>
    <t>Κ-ΜΠ-78-45-12-ΜΙ</t>
  </si>
  <si>
    <t>ΚΟΛΟΝΕΣ ΜΠΕΤΟΝ 7x8 12 ΑΤΣ/ΤΑ 4.5m</t>
  </si>
  <si>
    <t>Κ-ΜΠ-78-48-12-LO</t>
  </si>
  <si>
    <t>ΚΟΛΟΝΕΣ ΜΠΕΤΟΝ 7x8 12 ΑΤΣ/ΤΑ 4.8m</t>
  </si>
  <si>
    <t>Κ-ΜΠ-78-50-12-ΜΙ</t>
  </si>
  <si>
    <t>Κ-ΜΠ-885-50-12</t>
  </si>
  <si>
    <t>ΚΟΛΟΝΕΣ ΜΠΕΤΟΝ 8x8.5 12 ΑΤΣ/ΤΑ</t>
  </si>
  <si>
    <t>Κ-ΜΠ-885-52-12</t>
  </si>
  <si>
    <t>Κ-ΜΠ-995-30-18-ΜΙ</t>
  </si>
  <si>
    <t>ΚΟΛΟΝΕΣ ΜΠΕΤΟΝ 9x9.5 18 ΑΤΣ/ΤΑ</t>
  </si>
  <si>
    <t>Κ-ΜΠ-995-32-18 ΜΙ</t>
  </si>
  <si>
    <t>Κ-ΜΠ-995-35-18-ΜΙ</t>
  </si>
  <si>
    <t>Κ-ΜΠ-995-40-18-ΜΙ</t>
  </si>
  <si>
    <t>Κ-ΜΠ-995-45-18-LO</t>
  </si>
  <si>
    <t>ΚΟΛΟΝΕΣ ΜΠΕΤΟΝ 9x9.5 18 ΑΤΣ/ΤΑ 4.5m</t>
  </si>
  <si>
    <t>Κ-ΜΠ-995-45-18-ΜΙ</t>
  </si>
  <si>
    <t>ΚΟΛΟΝΕΣ ΜΠΕΤΟΝ 9x9,5 18 ΑΤΣ/ΤΑ 4.5m</t>
  </si>
  <si>
    <t>Κ-ΜΠ-995-48-18-LO</t>
  </si>
  <si>
    <t>ΚΟΛΟΝΕΣ ΜΠΕΤΟΝ 9x9.5 18 ΑΤΣ/ΤΑ 4.8m</t>
  </si>
  <si>
    <t>Κ-ΜΠ-995-50-18-LO</t>
  </si>
  <si>
    <t>ΚΟΛΟΝΕΣ ΜΠΕΤΟΝ 9x9.5  18 ΑΤΣ/ΤΑ 5.0m</t>
  </si>
  <si>
    <t>Κ-ΜΠ-995-50-18-ΜΙ</t>
  </si>
  <si>
    <t>Κ-ΜΠ-995-52-18-ΜΙ</t>
  </si>
  <si>
    <t>ΚΟΛΟΝΕΣ ΜΠΕΤΟΝ 9x9.5/5,2μ 18 ΑΤΣ/ΤΑ</t>
  </si>
  <si>
    <t>ΛΑΣΤΙΧΑ</t>
  </si>
  <si>
    <t>ΛΑΣΤ-6ΜΜ-ΜΑΥ-AG</t>
  </si>
  <si>
    <t>ΛΑΣΤΙΧΟ 6ΜΜ ΜΑΥΡΟ</t>
  </si>
  <si>
    <t>ΛΑΣΤ-9ΜΜ-ΜΑΥ-AG</t>
  </si>
  <si>
    <t>ΛΑΣΤΙΧΟ 9ΜΜ ΜΑΥΡΟ</t>
  </si>
  <si>
    <t>ΛΑΣΤ-V5-2ΠΛΓΑ-80-AG</t>
  </si>
  <si>
    <t>ΛΑΣΤΙΧΟ V5 80CM ΜΕ 2 ΠΛΑΣΤΙΚΟΥΣ ΓΑΝΤΖΟΥΣ</t>
  </si>
  <si>
    <t>ΠΕΛ-ΑΝΤ-ΨΥΧ-100303005</t>
  </si>
  <si>
    <t>ΠΕΛΜΑ ΑΝΤΙΒΥΘΙΣΤΙΚΟ 335χ110χ50χ5 ΓΑΛΒΑΝ</t>
  </si>
  <si>
    <t>ΠΕΛ-ΑΝΤ-ΨΥΧ-110335504-ILM</t>
  </si>
  <si>
    <t>ΠΕΛΜΑ ΑΝΤΙΒΥΘΙΣΤΙΚΟ 335x110x50x4 ΓΑΛΒΑΝ</t>
  </si>
  <si>
    <t>ΠΕΛ-ΑΝΤ-ΨΥΧ-110335504-ΠΑΡ</t>
  </si>
  <si>
    <t>ΑΝΤΙΒΥΘΙΣΤΙΚΟ ΠΕΛΜΑ</t>
  </si>
  <si>
    <t>ΑΝΤ-ΠΕΛΜ-ΣΙΔ-ΓΑΛΒ-ΜΠΑΞ</t>
  </si>
  <si>
    <t>ΠΕΛΜΑ ΑΝΤΙΒΙΘΥΣΤΙΚΟ ΣΙΔΗΡΟΓΩΝΙΑ ΓΙΑ ΣΙΔΗΡΟΓΩΝΙΕΣ ΓΑΛΒ</t>
  </si>
  <si>
    <t>ΠΛΑ-ΔΙΧ--ΑΥΤΟ-ALPIN-MI-AG</t>
  </si>
  <si>
    <t>ΠΛΑΚΕΤΑ ΔΙΧΤΥΟΥ ΑΥΤΟΜΑΤΗ ALPINA MIDDLE</t>
  </si>
  <si>
    <t>ΠΛΑΚ-MIK-MAG-NINA-ΜΑΥ-AGR</t>
  </si>
  <si>
    <t>ΠΛΑΚΕΤΑ ΔΙΧΤΥΟΥ NINA ΜΙΚΡΗ MAGNUM</t>
  </si>
  <si>
    <t>ΠΛΑΚ-WIESEL-ΣΤΗΡ-ΛΑΣΤ-AG</t>
  </si>
  <si>
    <t>ΠΛΑΚΕΤΑ WIESEL ΣΤΗΡΙΞΗΣ ΛΑΣΤΙΧΟΥ ΑΔΙΑΒΡΟΧΟΥ</t>
  </si>
  <si>
    <t>ΠΛΑΚ-ΔΙΧ-ΕΞΑΡΤ-ΕΛΕΙΠ-MIB</t>
  </si>
  <si>
    <t>ΠΛΑΚΕΤΑ ΔΙΧΤΥΟΥ ΕΞΑΡΤ ΧΑΛΑΣΜ</t>
  </si>
  <si>
    <t>ΠΛΑΚ-ΔΙΧ-ΚΟΡ-ALP-TOP-AG</t>
  </si>
  <si>
    <t>ΠΛΑΚΕΤΑ ΔΙΧΤΥΟΥ ΚΟΡΥΦΗΣ ALPINA TOP</t>
  </si>
  <si>
    <t>ΠΛΑΚ-ΔΙΧ-ΡΑ-MAGN-ΜΑΥ-AGR</t>
  </si>
  <si>
    <t>ΠΛΑΚΕΤΑ ΔΙΧΤΥΟΥ MAGNUM</t>
  </si>
  <si>
    <t>ΠΛΑΚ-ΔΙΧ-ΡΑ-ΑΥΤ-ΜΑΥ-ΜΙΒU</t>
  </si>
  <si>
    <t>ΠΛΑΚΕΤΑ ΔΙΧΤΥΟΥ ΑΥΤΟΜΑΤΗ ΡΑ</t>
  </si>
  <si>
    <t>ΠΛΑΚ-ΔΙΧ-ΡΑ-ΚΟΧ-ΜΑΥ-AGR</t>
  </si>
  <si>
    <t>ΠΛΑΚΕΤΑ ΚΟΧΥΛΙ</t>
  </si>
  <si>
    <t>ΠΛΑΚ-ΔΙΧ-ΡΑ-ΣΥΡ-ΜΑΥ-ΜΙΒU</t>
  </si>
  <si>
    <t>ΠΛΑΚΕΤΑ ΔΙΧΤΥΟΥ ΣΥΡΜΑΤΟΣ PA</t>
  </si>
  <si>
    <t>ΠΛΑΚ-ΣΤΗΡ-ΑΔΙΑ-ΑΛΥΣ-AG</t>
  </si>
  <si>
    <t>ΠΛΑΚΕΤΑ  ΜΕ ΒΙΔΕΣ ΣΤΗΡΙΞΗΣ ΑΔΙΑΒΡΟΧΟΥ ΑΛΥΣΙΔΑ (STOP-FILM)</t>
  </si>
  <si>
    <t>ΠΛΑ-ΜΕΣ-ΣΥΡ-ΧΕΙΡ-ALPIN-AG</t>
  </si>
  <si>
    <t>ΠΛΑΚΕΤΕΣ ΣΥΡΜΑΤΟΣ ΔΙΑΔΡΟΜΟΥ ΧΕΙΡ FLAT</t>
  </si>
  <si>
    <t>ΠΛΑΚΕΤΕΣ</t>
  </si>
  <si>
    <t>ΠΛΑΣΤΙΚΟΣ ΓΑΝΤΖΟΣ</t>
  </si>
  <si>
    <t>ΠΛΑΣ-ΓΑΝ-ΚΑΛΦ</t>
  </si>
  <si>
    <t>ΠΛΑΣ-ΓΑΝ-ΩΜΕΓ-ΔΑ</t>
  </si>
  <si>
    <t>ΠΛΑΣΤΙΚΟΣ ΓΑΝΤΖΟΣ ΩΜΕΓΑ</t>
  </si>
  <si>
    <t>ΠΛΑΣΤ-ΓΑΝ-CIVA</t>
  </si>
  <si>
    <t>ΠΛΑΣΤΙΚΟΣ ΓΑΝΤΖΟΣ BAYCO</t>
  </si>
  <si>
    <t>ΣΥΡΜΑΤΟΣΧΟΙΝΟ</t>
  </si>
  <si>
    <t>ΣΥΡ-ΚΟΛ-ΚΑΜΠ-MIB</t>
  </si>
  <si>
    <t>ΣΥΡΜΑ ΚΟΛΟΝΑΣ ΚΑΜΠΥΛΗ</t>
  </si>
  <si>
    <t>ΣΥΡΜ-ΓΑΛΒ-ΜΑΛΑΚΟ-Φ2.2-ΛΕΒ</t>
  </si>
  <si>
    <t>ΣΥΡΜΑ ΓΑΛΒΑΝΙΣΜΕΝΟ ΜΑΛΑΚΟ Φ2.2</t>
  </si>
  <si>
    <t>ΣΥΡΜ-ΣΥΓΚ-ΠΑΛΜ-7/8-MIB</t>
  </si>
  <si>
    <t>ΣΥΡΜΑ ΣΥΓΚΡΑΤΗΣΗΣ ΠΑΛΜΕΤΑΣ</t>
  </si>
  <si>
    <t>ΣΥΡΜ-ΣΥΓΚΡ-ΠΑΛΜ-9/9.5-MIB</t>
  </si>
  <si>
    <t>ΣΥΡ-ΣΧΟΙΝ-2.2-ΑΓΡ.ΟΙΚ-ΛΕΒ</t>
  </si>
  <si>
    <t>ΣΥΡΜΑΤΟΣΧΟΙΝΟ Φ2.2 ΓΑΛΒΑΝΙΣΜΕΝΟ</t>
  </si>
  <si>
    <t>ΣΥΡ-ΣΧΟΙΝ-3.6-ΜΑΥ-ΕΠΕΝ-ΒΑ</t>
  </si>
  <si>
    <t>ΣΥΡΜΑΤΟΣΧΟΙΝΟ Φ3.6 BAYCO</t>
  </si>
  <si>
    <t>ΣΥΡ-ΣΧΟΙΝ-4.0-ΑΓΡ.ΟΙΚ-ΛΕΒ</t>
  </si>
  <si>
    <t>ΣΥΡΜΑΤΟΣΧΟΙΝΟ Φ4.00 ΓΑΛΒΑΝΙΣΜΕΝΟ</t>
  </si>
  <si>
    <t>ΣΥΡ-ΣΧΟΙΝ-4-ΓΘ-119-ΛΕΒ</t>
  </si>
  <si>
    <t>ΣΥΡΜΑΤΟΣΧΟΙΝΟ Φ4 ΓΑΛΒΑΝΙΣΜΕΝΟ</t>
  </si>
  <si>
    <t>ΣΥΡ-ΣΧΟΙΝ-5-ΓΘ-119-ΛΕΒ</t>
  </si>
  <si>
    <t>ΣΥΡΜΑΤΟΣΧΟΙΝΟ Φ5.0 ΓΑΛΒΑΝΙΣΜΕΝΟ</t>
  </si>
  <si>
    <t>ΣΥΡ-ΣΧΟΙΝ-8.0-ΓΘ-142-ΛΕΒ</t>
  </si>
  <si>
    <t>ΣΥΡΜΑΤΟΣΧΟΙΝΟ Φ8.0 ΓΑΛΒΑΝΙΣΜΕΝΟ</t>
  </si>
  <si>
    <t>ΣΥΡ-ΣΧΟΙΝ-8.5-ΓΘ-1114ΛΕΒ</t>
  </si>
  <si>
    <t>ΣΥΡΜΑΤΟΣΧΟΙΝΟ Φ8.5 ΓΑΛΒΑΝΙΣΜΕΝΟ</t>
  </si>
  <si>
    <t>ΠΛΑΣΤ-ΠΡΟΣΤ--ΑΔΙΑΒΡ-50-AG</t>
  </si>
  <si>
    <t>ΠΛΑΣΤΙΚΟ ΠΕΡΙΤΥΛΙΓΜΑ ΑΔΙΑΒΡΟΧΟΥ1X50 CM m2 (WINTER)</t>
  </si>
  <si>
    <t>ΝΑΥΤ-ΓΑΝΤΖ-ΜΕΤΑΛ-6X60-ILM</t>
  </si>
  <si>
    <t>ΝΑΥΤΙΚΟΣ ΓΑΝΤΖΟΣ ΜΕΤΑΛ.6X60</t>
  </si>
  <si>
    <t>ΣΦΙΓΚΤΗΡΕΣ</t>
  </si>
  <si>
    <t>ΣΦ-1142-10mm-ILM</t>
  </si>
  <si>
    <t>ΣΦΙΓΚΤΗΡΑΣ 8ΜΜ</t>
  </si>
  <si>
    <t>ΣΦ-1142-6.5mm-ILM</t>
  </si>
  <si>
    <t>ΣΦΙΓΚΤΗΡΑΣ 6.5ΜΜ</t>
  </si>
  <si>
    <t>ΣΦ-1142-8mm-ILM</t>
  </si>
  <si>
    <t>ΤΕΝΤ-ΔΙΠ- 5ΜΜ-ILMER</t>
  </si>
  <si>
    <t>ΤΕΝΤΩΤΗΡΑΣ ΔΙΠΛΟΣ 5ΜΜ ΘΕΡΜΟ ΓΑΛΒ</t>
  </si>
  <si>
    <t>ΤΕΝΤ-ΔΙΠ- ΜΕΓΑΛ</t>
  </si>
  <si>
    <t>ΤΕΝΤΩΤΗΡΑΣ ΔΙΠΛΟΣ ΜΕΓΑΛΟΣ</t>
  </si>
  <si>
    <t>ΤΕΝΤ-ΜΟΝ-3ΜΜ-ILMER</t>
  </si>
  <si>
    <t>ΤΕΝΤΩΤΗΡΑΣ ΜΟΝΟΣ 3ΜΜ ΘΕΡΜΟ ΓΑΛΒ</t>
  </si>
  <si>
    <t>ΤΕΝΤ-ΜΟΝ-5ΜΜ-ILMER</t>
  </si>
  <si>
    <t>ΤΕΝΤΩΤΗΡΑΣ ΜΟΝΟΣ 5ΜΜ ΘΕΡΜΟ ΓΑΛΒ</t>
  </si>
  <si>
    <t>ΤΕΝΤ-ΣΥΡΜ-ΨΥ-995-IL</t>
  </si>
  <si>
    <t>ΤΕΝΤΩΤΗΡΑΣ ΣΥΡΜΑΤΟΣ ΜΕΤΑΛΛΙΚΟΣ</t>
  </si>
  <si>
    <t>ΤΕΝΤ-ΤΡΙΠ-5 ΜΜ-ILMER</t>
  </si>
  <si>
    <t>ΤΕΝΤΩΤΗΡΑΣ ΤΡΙΠΛΟΣ 5ΜΜ ΘΕΡΜΟ ΓΑΛΒ</t>
  </si>
  <si>
    <t>ΤΕΝΤΩΤΗΡΕΣ</t>
  </si>
  <si>
    <t>FILM-NET-ΠΛΑΚ-ΕΝΩΣ-ΔΙΧΤ-A</t>
  </si>
  <si>
    <t>ΠΛΑΚΕΤΑ ΕΝΩΣΗΣ ΔΙΧΤΥΩΝ</t>
  </si>
  <si>
    <t>LUTR-19-10.5-SOFT</t>
  </si>
  <si>
    <t>LUTRASIL 19-10.5χ250</t>
  </si>
  <si>
    <t>LUTR-19-2.175-SOFT</t>
  </si>
  <si>
    <t>LUTRASIL 19-2.175x500</t>
  </si>
  <si>
    <t>LUTR-19-6.40-SOFT</t>
  </si>
  <si>
    <t>LUTRASIL 19 PRO-6.40x250</t>
  </si>
  <si>
    <t>LUTR-L23-10,5X100-SOFT</t>
  </si>
  <si>
    <t>LUTRASIL 23 PRO-10.5x100</t>
  </si>
  <si>
    <t>LUTR-L30-2.175-SOFT</t>
  </si>
  <si>
    <t>LUTRASIL L30-2.175x100</t>
  </si>
  <si>
    <t>LUTRASIL</t>
  </si>
  <si>
    <t>MEMB-ΑΔ-HDPE-160-AG</t>
  </si>
  <si>
    <t>MEΜΒΡΑΝΗ ΑΔΙΑΒΡΟΧΗ HDPE 1.50</t>
  </si>
  <si>
    <t>MEMB-ΑΔ-HDPE-150-AG</t>
  </si>
  <si>
    <t>MEΜΒΡΑΝΗ ΑΔΙΑΒΡΟΧΗ HDPE 1.60</t>
  </si>
  <si>
    <t>MEMB-ΑΔ-HDPE-170-AG</t>
  </si>
  <si>
    <t>MEΜΒΡΑΝΗ ΑΔΙΑΒΡΟΧΗ HDPE 1.70</t>
  </si>
  <si>
    <t>MEMB-ΑΔ-HDPE-190-AG</t>
  </si>
  <si>
    <t>MEΜΒΡΑΝΗ ΑΔΙΑΒΡΟΧΗ HDPE 1.90</t>
  </si>
  <si>
    <t>MEMB-ΑΔ-HDPE-250-AG</t>
  </si>
  <si>
    <t>MEΜΒΡΑΝΗ ΑΔΙΑΒΡΟΧΗ HDPE 2.50</t>
  </si>
  <si>
    <t>MEMB-ΑΔ-HDPE-260-AG</t>
  </si>
  <si>
    <t>MEΜΒΡΑΝΗ ΑΔΙΑΒΡΟΧΗ HDPE 2.60</t>
  </si>
  <si>
    <t>MEMB-ΑΔ-HDPE-270-AG</t>
  </si>
  <si>
    <t>MEΜΒΡΑΝΗ ΑΔΙΑΒΡΟΧΗ HDPE 2.70</t>
  </si>
  <si>
    <t>MEMB-ΑΔ-HDPE-300-AG</t>
  </si>
  <si>
    <t>MEΜΒΡΑΝΗ ΑΔΙΑΒΡΟΧΗ HDPE 3.00</t>
  </si>
  <si>
    <t>MEMB-ΑΔ-HDPE-ΟΥΓ-AG</t>
  </si>
  <si>
    <t xml:space="preserve">MEΜΒΡΑΝΗ ΑΔΙΑΒΡΟΧΗ HDPE </t>
  </si>
  <si>
    <t>ΜΕΜΒ-ΑΔ-SAFE D MED-ΔΑ</t>
  </si>
  <si>
    <t>ΜΕΜΒΡΑΝΗ ΑΔΙΑΒΡΟΧΗ SAFE D MEDIUM UV OPEN</t>
  </si>
  <si>
    <t>ΑΔΙΑΒΡΟΧΕΣ ΜΕΒΡΑΝΕΣ</t>
  </si>
  <si>
    <t>ΚΡΙΚ-ΠΛΑΣΤ-AG</t>
  </si>
  <si>
    <t>ΚΡΙΚΟΣ ΚΟΡΥΦΗΣ ΠΛΑΣΤΙΚΟΣ ΑΔΙΑΒΡΟΧΟΥ (OVAL)</t>
  </si>
  <si>
    <t>ΜΠΡ-ΠΛΑΙΝ-ΣΤΗΡ-Φ26</t>
  </si>
  <si>
    <t>ΜΠΡΑΤΣΟ ΠΛΑΙΝΟ ΜΕ 2 ΣΤΗΡΙΓΜΑΤΑ Φ26</t>
  </si>
  <si>
    <t>ΜΠΡ-ΣΩΛ-ΓΑΛΒ-12-13</t>
  </si>
  <si>
    <t>ΜΠΡΑΤΣΟ ΣΩΛΗΝΕΣ ΓΑΛΒ 1,2 &amp; 1,3</t>
  </si>
  <si>
    <t>ΜΠΡΑΤΣΑ ΠΛΑΙΝΑ</t>
  </si>
  <si>
    <r>
      <t xml:space="preserve">ΑΝΑΛΩΣΙΜΑ ΔΙΧΤΥΟΥ ΓΙΑ </t>
    </r>
    <r>
      <rPr>
        <sz val="11"/>
        <color rgb="FF800000"/>
        <rFont val="Bahnschrift SemiLight Condensed"/>
        <family val="2"/>
        <charset val="161"/>
      </rPr>
      <t>ΑΜΠΕΛΙ</t>
    </r>
  </si>
  <si>
    <t>ΑΜΠΕΛΙ</t>
  </si>
  <si>
    <t>Πλακέτες Κορυφής αντί  Ραφής ανά 2 μ.</t>
  </si>
  <si>
    <t>Ελαστικά δεσίματα διχτυού,</t>
  </si>
  <si>
    <t>ΑΤΣΑΛΟΣΥΡΜΑ</t>
  </si>
  <si>
    <t>BKM</t>
  </si>
  <si>
    <t>ERP</t>
  </si>
  <si>
    <t>DESC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</si>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</sst>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5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8"/>
      <name val="Arial"/>
      <family val="2"/>
    </font>
    <font>
      <b/>
      <u/>
      <sz val="11"/>
      <name val="Calibri"/>
      <family val="2"/>
      <charset val="161"/>
      <scheme val="minor"/>
    </font>
    <font>
      <sz val="11"/>
      <color rgb="FF002060"/>
      <name val="Calibri"/>
      <family val="2"/>
      <charset val="161"/>
      <scheme val="minor"/>
    </font>
    <font>
      <sz val="11"/>
      <color theme="9"/>
      <name val="Calibri"/>
      <family val="2"/>
      <charset val="161"/>
      <scheme val="minor"/>
    </font>
    <font>
      <sz val="11"/>
      <color theme="1"/>
      <name val="Bahnschrift SemiLight SemiConde"/>
      <family val="2"/>
      <charset val="161"/>
    </font>
    <font>
      <sz val="11"/>
      <color rgb="FF002060"/>
      <name val="Bahnschrift SemiLight SemiConde"/>
      <family val="2"/>
      <charset val="161"/>
    </font>
    <font>
      <sz val="11"/>
      <color theme="1"/>
      <name val="Bahnschrift SemiCondensed"/>
      <family val="2"/>
      <charset val="161"/>
    </font>
    <font>
      <b/>
      <sz val="11"/>
      <color theme="4" tint="-0.499984740745262"/>
      <name val="Bahnschrift SemiLight SemiConde"/>
      <family val="2"/>
      <charset val="161"/>
    </font>
    <font>
      <vertAlign val="superscript"/>
      <sz val="11"/>
      <color rgb="FF002060"/>
      <name val="Bahnschrift SemiLight SemiConde"/>
      <family val="2"/>
      <charset val="161"/>
    </font>
    <font>
      <vertAlign val="superscript"/>
      <sz val="11"/>
      <color theme="1"/>
      <name val="Bahnschrift SemiCondensed"/>
      <family val="2"/>
      <charset val="161"/>
    </font>
    <font>
      <sz val="11"/>
      <color rgb="FFC00000"/>
      <name val="Bahnschrift SemiLight SemiConde"/>
      <family val="2"/>
      <charset val="161"/>
    </font>
    <font>
      <sz val="11"/>
      <color theme="1"/>
      <name val="Bahnschrift Light SemiCondensed"/>
      <family val="2"/>
      <charset val="161"/>
    </font>
    <font>
      <b/>
      <sz val="11"/>
      <color theme="1"/>
      <name val="Bahnschrift Light SemiCondensed"/>
      <family val="2"/>
      <charset val="161"/>
    </font>
    <font>
      <b/>
      <sz val="11"/>
      <color rgb="FFC00000"/>
      <name val="Bahnschrift Light SemiCondensed"/>
      <family val="2"/>
      <charset val="161"/>
    </font>
    <font>
      <sz val="11"/>
      <name val="Bahnschrift SemiLight SemiConde"/>
      <family val="2"/>
      <charset val="161"/>
    </font>
    <font>
      <b/>
      <sz val="11"/>
      <color theme="1"/>
      <name val="Bahnschrift SemiBold Condensed"/>
      <family val="2"/>
      <charset val="161"/>
    </font>
    <font>
      <b/>
      <sz val="11"/>
      <color rgb="FFFF0000"/>
      <name val="Bahnschrift SemiBold Condensed"/>
      <family val="2"/>
      <charset val="161"/>
    </font>
    <font>
      <sz val="11"/>
      <color theme="1"/>
      <name val="Bahnschrift SemiBold Condensed"/>
      <family val="2"/>
      <charset val="161"/>
    </font>
    <font>
      <sz val="11"/>
      <color rgb="FFFF0000"/>
      <name val="Bahnschrift SemiBold Condensed"/>
      <family val="2"/>
      <charset val="161"/>
    </font>
    <font>
      <sz val="11"/>
      <color theme="1"/>
      <name val="Bahnschrift Light Condensed"/>
      <family val="2"/>
      <charset val="161"/>
    </font>
    <font>
      <b/>
      <sz val="11"/>
      <color theme="1"/>
      <name val="Bahnschrift SemiCondensed"/>
      <family val="2"/>
      <charset val="161"/>
    </font>
    <font>
      <b/>
      <sz val="11"/>
      <color theme="1"/>
      <name val="Bahnschrift Light Condensed"/>
      <family val="2"/>
      <charset val="161"/>
    </font>
    <font>
      <b/>
      <vertAlign val="superscript"/>
      <sz val="11"/>
      <color theme="1"/>
      <name val="Bahnschrift Light Condensed"/>
      <family val="2"/>
      <charset val="161"/>
    </font>
    <font>
      <b/>
      <u/>
      <sz val="11"/>
      <color theme="1"/>
      <name val="Bahnschrift Light SemiCondensed"/>
      <family val="2"/>
      <charset val="161"/>
    </font>
    <font>
      <sz val="9"/>
      <color rgb="FFFF0000"/>
      <name val="Bahnschrift SemiLight SemiConde"/>
      <family val="2"/>
      <charset val="161"/>
    </font>
    <font>
      <b/>
      <sz val="14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sz val="11"/>
      <color theme="1"/>
      <name val="Bahnschrift SemiLight Condensed"/>
      <family val="2"/>
      <charset val="161"/>
    </font>
    <font>
      <sz val="11"/>
      <color rgb="FFC00000"/>
      <name val="Bahnschrift SemiLight Condensed"/>
      <family val="2"/>
      <charset val="161"/>
    </font>
    <font>
      <sz val="11"/>
      <color theme="9"/>
      <name val="Bahnschrift SemiLight Condensed"/>
      <family val="2"/>
      <charset val="161"/>
    </font>
    <font>
      <b/>
      <sz val="11"/>
      <color theme="1"/>
      <name val="Bahnschrift SemiLight Condensed"/>
      <family val="2"/>
      <charset val="161"/>
    </font>
    <font>
      <sz val="11"/>
      <name val="Bahnschrift Light SemiCondensed"/>
      <family val="2"/>
      <charset val="161"/>
    </font>
    <font>
      <sz val="11"/>
      <color rgb="FF002060"/>
      <name val="Bahnschrift Light SemiCondensed"/>
      <family val="2"/>
      <charset val="161"/>
    </font>
    <font>
      <vertAlign val="superscript"/>
      <sz val="11"/>
      <color rgb="FF002060"/>
      <name val="Bahnschrift Light SemiCondensed"/>
      <family val="2"/>
      <charset val="161"/>
    </font>
    <font>
      <sz val="11"/>
      <color rgb="FFC00000"/>
      <name val="Bahnschrift Light SemiCondensed"/>
      <family val="2"/>
      <charset val="161"/>
    </font>
    <font>
      <sz val="9"/>
      <name val="Bahnschrift SemiLight SemiConde"/>
      <family val="2"/>
      <charset val="16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1"/>
      <color theme="4"/>
      <name val="Bahnschrift SemiLight Condensed"/>
      <family val="2"/>
      <charset val="161"/>
    </font>
    <font>
      <sz val="11"/>
      <color rgb="FF800000"/>
      <name val="Bahnschrift SemiLight Condensed"/>
      <family val="2"/>
      <charset val="161"/>
    </font>
    <font>
      <sz val="11"/>
      <color rgb="FF800000"/>
      <name val="Bahnschrift Light SemiCondensed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FFF"/>
        <bgColor indexed="64"/>
      </patternFill>
    </fill>
    <fill>
      <patternFill patternType="solid">
        <fgColor rgb="FFFF0066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/>
      <top style="thick">
        <color rgb="FFC00000"/>
      </top>
      <bottom/>
      <diagonal/>
    </border>
    <border>
      <left/>
      <right style="thick">
        <color rgb="FFC00000"/>
      </right>
      <top style="medium">
        <color indexed="64"/>
      </top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rgb="FFC00000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C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thick">
        <color rgb="FFC00000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8" xfId="0" applyBorder="1"/>
    <xf numFmtId="164" fontId="0" fillId="0" borderId="1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19" xfId="0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8" xfId="0" applyNumberFormat="1" applyFont="1" applyBorder="1"/>
    <xf numFmtId="0" fontId="4" fillId="0" borderId="8" xfId="0" applyFont="1" applyBorder="1"/>
    <xf numFmtId="165" fontId="4" fillId="0" borderId="9" xfId="0" applyNumberFormat="1" applyFont="1" applyBorder="1"/>
    <xf numFmtId="0" fontId="4" fillId="0" borderId="5" xfId="0" applyFont="1" applyBorder="1" applyAlignment="1">
      <alignment wrapText="1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2" borderId="17" xfId="0" applyFill="1" applyBorder="1"/>
    <xf numFmtId="0" fontId="0" fillId="0" borderId="35" xfId="0" applyBorder="1"/>
    <xf numFmtId="0" fontId="8" fillId="4" borderId="37" xfId="0" applyFont="1" applyFill="1" applyBorder="1"/>
    <xf numFmtId="0" fontId="8" fillId="4" borderId="11" xfId="0" applyFont="1" applyFill="1" applyBorder="1"/>
    <xf numFmtId="0" fontId="8" fillId="4" borderId="38" xfId="0" applyFont="1" applyFill="1" applyBorder="1"/>
    <xf numFmtId="0" fontId="8" fillId="0" borderId="37" xfId="0" applyFont="1" applyBorder="1"/>
    <xf numFmtId="0" fontId="8" fillId="0" borderId="11" xfId="0" applyFont="1" applyBorder="1"/>
    <xf numFmtId="0" fontId="8" fillId="0" borderId="38" xfId="0" applyFont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1" xfId="0" applyFont="1" applyFill="1" applyBorder="1"/>
    <xf numFmtId="0" fontId="8" fillId="4" borderId="6" xfId="0" applyFont="1" applyFill="1" applyBorder="1"/>
    <xf numFmtId="0" fontId="8" fillId="4" borderId="44" xfId="0" applyFont="1" applyFill="1" applyBorder="1"/>
    <xf numFmtId="0" fontId="8" fillId="4" borderId="45" xfId="0" applyFont="1" applyFill="1" applyBorder="1"/>
    <xf numFmtId="0" fontId="8" fillId="4" borderId="30" xfId="0" applyFont="1" applyFill="1" applyBorder="1"/>
    <xf numFmtId="0" fontId="8" fillId="4" borderId="39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0" borderId="30" xfId="0" applyFont="1" applyBorder="1"/>
    <xf numFmtId="0" fontId="8" fillId="0" borderId="39" xfId="0" applyFont="1" applyBorder="1"/>
    <xf numFmtId="0" fontId="8" fillId="0" borderId="1" xfId="0" applyFont="1" applyBorder="1"/>
    <xf numFmtId="0" fontId="8" fillId="0" borderId="6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8" xfId="0" applyFont="1" applyBorder="1"/>
    <xf numFmtId="0" fontId="8" fillId="0" borderId="9" xfId="0" applyFont="1" applyBorder="1"/>
    <xf numFmtId="0" fontId="21" fillId="0" borderId="0" xfId="0" applyFont="1"/>
    <xf numFmtId="0" fontId="22" fillId="0" borderId="0" xfId="0" applyFont="1"/>
    <xf numFmtId="0" fontId="21" fillId="2" borderId="3" xfId="0" applyFont="1" applyFill="1" applyBorder="1"/>
    <xf numFmtId="0" fontId="21" fillId="2" borderId="1" xfId="0" applyFont="1" applyFill="1" applyBorder="1"/>
    <xf numFmtId="0" fontId="21" fillId="0" borderId="8" xfId="0" applyFont="1" applyBorder="1"/>
    <xf numFmtId="0" fontId="21" fillId="2" borderId="18" xfId="0" applyFont="1" applyFill="1" applyBorder="1"/>
    <xf numFmtId="0" fontId="21" fillId="0" borderId="1" xfId="0" applyFont="1" applyBorder="1"/>
    <xf numFmtId="0" fontId="21" fillId="2" borderId="30" xfId="0" applyFont="1" applyFill="1" applyBorder="1"/>
    <xf numFmtId="2" fontId="21" fillId="2" borderId="1" xfId="0" applyNumberFormat="1" applyFont="1" applyFill="1" applyBorder="1"/>
    <xf numFmtId="0" fontId="21" fillId="3" borderId="1" xfId="0" applyFont="1" applyFill="1" applyBorder="1"/>
    <xf numFmtId="0" fontId="15" fillId="0" borderId="46" xfId="0" applyFont="1" applyBorder="1"/>
    <xf numFmtId="0" fontId="0" fillId="0" borderId="44" xfId="0" applyBorder="1"/>
    <xf numFmtId="0" fontId="15" fillId="0" borderId="47" xfId="0" applyFont="1" applyBorder="1"/>
    <xf numFmtId="0" fontId="15" fillId="0" borderId="48" xfId="0" applyFont="1" applyBorder="1"/>
    <xf numFmtId="0" fontId="15" fillId="0" borderId="49" xfId="0" applyFont="1" applyBorder="1"/>
    <xf numFmtId="0" fontId="8" fillId="0" borderId="47" xfId="0" applyFont="1" applyBorder="1"/>
    <xf numFmtId="0" fontId="18" fillId="0" borderId="48" xfId="0" applyFont="1" applyBorder="1"/>
    <xf numFmtId="0" fontId="8" fillId="0" borderId="50" xfId="0" applyFont="1" applyBorder="1"/>
    <xf numFmtId="0" fontId="8" fillId="0" borderId="48" xfId="0" applyFont="1" applyBorder="1"/>
    <xf numFmtId="0" fontId="8" fillId="0" borderId="51" xfId="0" applyFont="1" applyBorder="1"/>
    <xf numFmtId="0" fontId="9" fillId="4" borderId="47" xfId="0" applyFont="1" applyFill="1" applyBorder="1"/>
    <xf numFmtId="0" fontId="9" fillId="4" borderId="48" xfId="0" applyFont="1" applyFill="1" applyBorder="1"/>
    <xf numFmtId="0" fontId="9" fillId="4" borderId="50" xfId="0" applyFont="1" applyFill="1" applyBorder="1"/>
    <xf numFmtId="0" fontId="14" fillId="0" borderId="47" xfId="0" applyFont="1" applyBorder="1"/>
    <xf numFmtId="0" fontId="14" fillId="0" borderId="48" xfId="0" applyFont="1" applyBorder="1"/>
    <xf numFmtId="0" fontId="14" fillId="0" borderId="50" xfId="0" applyFont="1" applyBorder="1"/>
    <xf numFmtId="0" fontId="0" fillId="0" borderId="47" xfId="0" applyBorder="1"/>
    <xf numFmtId="0" fontId="0" fillId="0" borderId="48" xfId="0" applyBorder="1"/>
    <xf numFmtId="0" fontId="6" fillId="0" borderId="50" xfId="0" applyFont="1" applyBorder="1"/>
    <xf numFmtId="0" fontId="23" fillId="0" borderId="35" xfId="0" applyFont="1" applyBorder="1"/>
    <xf numFmtId="0" fontId="8" fillId="4" borderId="35" xfId="0" applyFont="1" applyFill="1" applyBorder="1"/>
    <xf numFmtId="0" fontId="8" fillId="0" borderId="35" xfId="0" applyFont="1" applyBorder="1"/>
    <xf numFmtId="0" fontId="0" fillId="0" borderId="36" xfId="0" applyBorder="1"/>
    <xf numFmtId="1" fontId="23" fillId="0" borderId="35" xfId="0" applyNumberFormat="1" applyFont="1" applyBorder="1"/>
    <xf numFmtId="0" fontId="23" fillId="0" borderId="36" xfId="0" applyFont="1" applyBorder="1"/>
    <xf numFmtId="0" fontId="16" fillId="0" borderId="52" xfId="0" applyFont="1" applyBorder="1" applyAlignment="1">
      <alignment horizontal="center"/>
    </xf>
    <xf numFmtId="0" fontId="24" fillId="0" borderId="37" xfId="0" applyFont="1" applyBorder="1"/>
    <xf numFmtId="0" fontId="24" fillId="0" borderId="11" xfId="0" applyFont="1" applyBorder="1"/>
    <xf numFmtId="0" fontId="25" fillId="0" borderId="11" xfId="0" applyFont="1" applyBorder="1"/>
    <xf numFmtId="0" fontId="25" fillId="0" borderId="53" xfId="0" applyFont="1" applyBorder="1"/>
    <xf numFmtId="0" fontId="25" fillId="0" borderId="37" xfId="0" applyFont="1" applyBorder="1"/>
    <xf numFmtId="0" fontId="25" fillId="0" borderId="54" xfId="0" applyFont="1" applyBorder="1"/>
    <xf numFmtId="0" fontId="25" fillId="0" borderId="38" xfId="0" applyFont="1" applyBorder="1"/>
    <xf numFmtId="0" fontId="25" fillId="4" borderId="37" xfId="0" applyFont="1" applyFill="1" applyBorder="1"/>
    <xf numFmtId="0" fontId="25" fillId="4" borderId="11" xfId="0" applyFont="1" applyFill="1" applyBorder="1"/>
    <xf numFmtId="0" fontId="25" fillId="4" borderId="38" xfId="0" applyFont="1" applyFill="1" applyBorder="1"/>
    <xf numFmtId="0" fontId="23" fillId="0" borderId="43" xfId="0" applyFont="1" applyBorder="1"/>
    <xf numFmtId="0" fontId="23" fillId="0" borderId="33" xfId="0" applyFont="1" applyBorder="1"/>
    <xf numFmtId="0" fontId="23" fillId="0" borderId="10" xfId="0" applyFont="1" applyBorder="1"/>
    <xf numFmtId="0" fontId="27" fillId="0" borderId="52" xfId="0" applyFont="1" applyBorder="1" applyAlignment="1">
      <alignment horizontal="center"/>
    </xf>
    <xf numFmtId="0" fontId="23" fillId="0" borderId="37" xfId="0" applyFont="1" applyBorder="1"/>
    <xf numFmtId="0" fontId="23" fillId="0" borderId="11" xfId="0" applyFont="1" applyBorder="1"/>
    <xf numFmtId="0" fontId="15" fillId="0" borderId="1" xfId="0" applyFont="1" applyBorder="1"/>
    <xf numFmtId="0" fontId="15" fillId="0" borderId="4" xfId="0" applyFont="1" applyBorder="1"/>
    <xf numFmtId="0" fontId="23" fillId="0" borderId="54" xfId="0" applyFont="1" applyBorder="1"/>
    <xf numFmtId="0" fontId="23" fillId="0" borderId="38" xfId="0" applyFont="1" applyBorder="1"/>
    <xf numFmtId="0" fontId="15" fillId="0" borderId="34" xfId="0" applyFont="1" applyBorder="1"/>
    <xf numFmtId="0" fontId="15" fillId="0" borderId="35" xfId="0" applyFont="1" applyBorder="1"/>
    <xf numFmtId="0" fontId="2" fillId="0" borderId="1" xfId="0" applyFont="1" applyBorder="1" applyAlignment="1">
      <alignment horizontal="right"/>
    </xf>
    <xf numFmtId="0" fontId="31" fillId="0" borderId="37" xfId="0" applyFont="1" applyBorder="1"/>
    <xf numFmtId="0" fontId="31" fillId="0" borderId="3" xfId="0" applyFont="1" applyBorder="1"/>
    <xf numFmtId="0" fontId="31" fillId="0" borderId="11" xfId="0" applyFont="1" applyBorder="1"/>
    <xf numFmtId="0" fontId="31" fillId="0" borderId="1" xfId="0" applyFont="1" applyBorder="1"/>
    <xf numFmtId="0" fontId="31" fillId="0" borderId="15" xfId="0" applyFont="1" applyBorder="1"/>
    <xf numFmtId="0" fontId="31" fillId="0" borderId="6" xfId="0" applyFont="1" applyBorder="1"/>
    <xf numFmtId="0" fontId="31" fillId="0" borderId="0" xfId="0" applyFont="1"/>
    <xf numFmtId="0" fontId="31" fillId="0" borderId="38" xfId="0" applyFont="1" applyBorder="1"/>
    <xf numFmtId="0" fontId="31" fillId="0" borderId="8" xfId="0" applyFont="1" applyBorder="1"/>
    <xf numFmtId="0" fontId="31" fillId="0" borderId="9" xfId="0" applyFont="1" applyBorder="1"/>
    <xf numFmtId="0" fontId="31" fillId="0" borderId="2" xfId="0" applyFont="1" applyBorder="1"/>
    <xf numFmtId="0" fontId="31" fillId="0" borderId="4" xfId="0" applyFont="1" applyBorder="1"/>
    <xf numFmtId="0" fontId="0" fillId="0" borderId="5" xfId="0" applyBorder="1"/>
    <xf numFmtId="0" fontId="0" fillId="0" borderId="32" xfId="0" applyBorder="1"/>
    <xf numFmtId="0" fontId="0" fillId="0" borderId="15" xfId="0" applyBorder="1"/>
    <xf numFmtId="0" fontId="0" fillId="0" borderId="21" xfId="0" applyBorder="1"/>
    <xf numFmtId="0" fontId="34" fillId="0" borderId="56" xfId="0" applyFont="1" applyBorder="1" applyAlignment="1">
      <alignment horizontal="center"/>
    </xf>
    <xf numFmtId="0" fontId="0" fillId="0" borderId="57" xfId="0" applyBorder="1"/>
    <xf numFmtId="0" fontId="0" fillId="0" borderId="59" xfId="0" applyBorder="1"/>
    <xf numFmtId="0" fontId="16" fillId="0" borderId="60" xfId="0" applyFont="1" applyBorder="1" applyAlignment="1">
      <alignment horizontal="center"/>
    </xf>
    <xf numFmtId="0" fontId="15" fillId="0" borderId="15" xfId="0" applyFont="1" applyBorder="1"/>
    <xf numFmtId="0" fontId="17" fillId="0" borderId="61" xfId="0" applyFont="1" applyBorder="1" applyAlignment="1">
      <alignment horizontal="center"/>
    </xf>
    <xf numFmtId="0" fontId="0" fillId="0" borderId="62" xfId="0" applyBorder="1"/>
    <xf numFmtId="0" fontId="15" fillId="0" borderId="63" xfId="0" applyFont="1" applyBorder="1"/>
    <xf numFmtId="0" fontId="10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32" fillId="0" borderId="55" xfId="0" applyFont="1" applyBorder="1" applyAlignment="1">
      <alignment horizontal="center"/>
    </xf>
    <xf numFmtId="0" fontId="31" fillId="0" borderId="55" xfId="0" applyFont="1" applyBorder="1"/>
    <xf numFmtId="0" fontId="21" fillId="0" borderId="66" xfId="0" applyFont="1" applyBorder="1"/>
    <xf numFmtId="2" fontId="19" fillId="0" borderId="66" xfId="0" applyNumberFormat="1" applyFont="1" applyBorder="1"/>
    <xf numFmtId="0" fontId="39" fillId="0" borderId="29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42" fillId="0" borderId="55" xfId="0" applyFont="1" applyBorder="1" applyAlignment="1">
      <alignment horizontal="center"/>
    </xf>
    <xf numFmtId="0" fontId="31" fillId="0" borderId="67" xfId="0" applyFont="1" applyBorder="1"/>
    <xf numFmtId="0" fontId="31" fillId="0" borderId="44" xfId="0" applyFont="1" applyBorder="1" applyAlignment="1">
      <alignment horizontal="left"/>
    </xf>
    <xf numFmtId="0" fontId="31" fillId="0" borderId="44" xfId="0" applyFont="1" applyBorder="1"/>
    <xf numFmtId="0" fontId="31" fillId="0" borderId="45" xfId="0" applyFont="1" applyBorder="1"/>
    <xf numFmtId="0" fontId="0" fillId="0" borderId="37" xfId="0" applyBorder="1"/>
    <xf numFmtId="0" fontId="0" fillId="0" borderId="11" xfId="0" applyBorder="1"/>
    <xf numFmtId="0" fontId="2" fillId="0" borderId="6" xfId="0" applyFont="1" applyBorder="1" applyAlignment="1">
      <alignment horizontal="right"/>
    </xf>
    <xf numFmtId="0" fontId="31" fillId="0" borderId="10" xfId="0" applyFont="1" applyBorder="1" applyAlignment="1">
      <alignment horizontal="left"/>
    </xf>
    <xf numFmtId="0" fontId="21" fillId="0" borderId="15" xfId="0" applyFont="1" applyBorder="1"/>
    <xf numFmtId="0" fontId="0" fillId="0" borderId="50" xfId="0" applyBorder="1"/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2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71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0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4" xfId="0" applyBorder="1"/>
    <xf numFmtId="0" fontId="0" fillId="0" borderId="16" xfId="0" applyBorder="1" applyAlignment="1">
      <alignment horizontal="left"/>
    </xf>
    <xf numFmtId="0" fontId="0" fillId="0" borderId="53" xfId="0" applyBorder="1"/>
    <xf numFmtId="0" fontId="0" fillId="0" borderId="45" xfId="0" applyBorder="1"/>
    <xf numFmtId="0" fontId="18" fillId="0" borderId="8" xfId="0" applyFont="1" applyBorder="1" applyAlignment="1">
      <alignment vertical="center" wrapText="1"/>
    </xf>
    <xf numFmtId="0" fontId="0" fillId="0" borderId="34" xfId="0" applyBorder="1"/>
    <xf numFmtId="0" fontId="43" fillId="0" borderId="55" xfId="0" applyFont="1" applyBorder="1" applyAlignment="1">
      <alignment horizontal="center"/>
    </xf>
    <xf numFmtId="0" fontId="39" fillId="0" borderId="9" xfId="0" applyFont="1" applyBorder="1" applyAlignment="1">
      <alignment vertical="center" wrapText="1"/>
    </xf>
    <xf numFmtId="0" fontId="15" fillId="0" borderId="70" xfId="0" applyFont="1" applyBorder="1"/>
    <xf numFmtId="0" fontId="15" fillId="0" borderId="75" xfId="0" applyFont="1" applyBorder="1"/>
    <xf numFmtId="0" fontId="15" fillId="0" borderId="23" xfId="0" applyFont="1" applyBorder="1"/>
    <xf numFmtId="0" fontId="15" fillId="0" borderId="76" xfId="0" applyFont="1" applyBorder="1"/>
    <xf numFmtId="0" fontId="35" fillId="0" borderId="75" xfId="0" applyFont="1" applyBorder="1"/>
    <xf numFmtId="0" fontId="38" fillId="0" borderId="70" xfId="0" applyFont="1" applyBorder="1"/>
    <xf numFmtId="0" fontId="38" fillId="0" borderId="75" xfId="0" applyFont="1" applyBorder="1"/>
    <xf numFmtId="0" fontId="38" fillId="0" borderId="23" xfId="0" applyFont="1" applyBorder="1"/>
    <xf numFmtId="0" fontId="36" fillId="4" borderId="70" xfId="0" applyFont="1" applyFill="1" applyBorder="1"/>
    <xf numFmtId="0" fontId="36" fillId="4" borderId="75" xfId="0" applyFont="1" applyFill="1" applyBorder="1"/>
    <xf numFmtId="0" fontId="36" fillId="4" borderId="23" xfId="0" applyFont="1" applyFill="1" applyBorder="1"/>
    <xf numFmtId="0" fontId="15" fillId="0" borderId="69" xfId="0" applyFont="1" applyBorder="1"/>
    <xf numFmtId="0" fontId="36" fillId="0" borderId="77" xfId="0" applyFont="1" applyBorder="1"/>
    <xf numFmtId="0" fontId="19" fillId="0" borderId="34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44" fillId="0" borderId="35" xfId="0" applyFont="1" applyBorder="1"/>
    <xf numFmtId="0" fontId="44" fillId="0" borderId="36" xfId="0" applyFont="1" applyBorder="1"/>
    <xf numFmtId="0" fontId="2" fillId="0" borderId="0" xfId="0" applyFont="1" applyAlignment="1">
      <alignment horizontal="center"/>
    </xf>
    <xf numFmtId="0" fontId="21" fillId="0" borderId="31" xfId="0" applyFont="1" applyBorder="1"/>
    <xf numFmtId="0" fontId="21" fillId="0" borderId="78" xfId="0" applyFont="1" applyBorder="1" applyAlignment="1">
      <alignment horizontal="center"/>
    </xf>
    <xf numFmtId="0" fontId="21" fillId="0" borderId="32" xfId="0" applyFont="1" applyBorder="1"/>
    <xf numFmtId="0" fontId="21" fillId="0" borderId="21" xfId="0" applyFont="1" applyBorder="1"/>
    <xf numFmtId="0" fontId="21" fillId="0" borderId="64" xfId="0" applyFont="1" applyBorder="1"/>
    <xf numFmtId="0" fontId="21" fillId="0" borderId="71" xfId="0" applyFont="1" applyBorder="1"/>
    <xf numFmtId="0" fontId="21" fillId="0" borderId="52" xfId="0" applyFont="1" applyBorder="1" applyAlignment="1">
      <alignment horizontal="center"/>
    </xf>
    <xf numFmtId="0" fontId="21" fillId="0" borderId="79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33" fillId="0" borderId="81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3" borderId="17" xfId="0" applyFont="1" applyFill="1" applyBorder="1" applyAlignment="1">
      <alignment horizontal="right"/>
    </xf>
    <xf numFmtId="0" fontId="0" fillId="2" borderId="19" xfId="0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5" fillId="0" borderId="3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9" xfId="0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31" fillId="0" borderId="64" xfId="0" applyFont="1" applyBorder="1" applyAlignment="1">
      <alignment horizontal="center"/>
    </xf>
    <xf numFmtId="0" fontId="31" fillId="0" borderId="65" xfId="0" applyFont="1" applyBorder="1" applyAlignment="1">
      <alignment horizontal="center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6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19" fillId="0" borderId="66" xfId="0" applyFont="1" applyBorder="1" applyAlignment="1">
      <alignment horizontal="center"/>
    </xf>
    <xf numFmtId="0" fontId="28" fillId="0" borderId="24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7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80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554934</xdr:colOff>
      <xdr:row>11</xdr:row>
      <xdr:rowOff>144780</xdr:rowOff>
    </xdr:from>
    <xdr:to>
      <xdr:col>10</xdr:col>
      <xdr:colOff>305023</xdr:colOff>
      <xdr:row>16</xdr:row>
      <xdr:rowOff>97328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0389DD49-DB52-4D2F-8010-2D7DB3CD9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977" y="2331389"/>
          <a:ext cx="3734024" cy="921613"/>
        </a:xfrm>
        <a:prstGeom prst="rect">
          <a:avLst/>
        </a:prstGeom>
      </xdr:spPr>
    </xdr:pic>
    <xdr:clientData/>
  </xdr:twoCellAnchor>
  <xdr:twoCellAnchor editAs="oneCell">
    <xdr:from>
      <xdr:col>6</xdr:col>
      <xdr:colOff>605791</xdr:colOff>
      <xdr:row>16</xdr:row>
      <xdr:rowOff>72390</xdr:rowOff>
    </xdr:from>
    <xdr:to>
      <xdr:col>10</xdr:col>
      <xdr:colOff>299013</xdr:colOff>
      <xdr:row>33</xdr:row>
      <xdr:rowOff>177858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D8CF358C-FB3C-4313-8B3D-7E027B550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2731" y="3074670"/>
          <a:ext cx="3747827" cy="3572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16</xdr:row>
      <xdr:rowOff>99060</xdr:rowOff>
    </xdr:from>
    <xdr:to>
      <xdr:col>5</xdr:col>
      <xdr:colOff>586740</xdr:colOff>
      <xdr:row>16</xdr:row>
      <xdr:rowOff>121920</xdr:rowOff>
    </xdr:to>
    <xdr:cxnSp macro="">
      <xdr:nvCxnSpPr>
        <xdr:cNvPr id="3" name="Ευθύγραμμο βέλος σύνδεσης 2">
          <a:extLst>
            <a:ext uri="{FF2B5EF4-FFF2-40B4-BE49-F238E27FC236}">
              <a16:creationId xmlns:a16="http://schemas.microsoft.com/office/drawing/2014/main" id="{3D691CB7-288B-4657-AC4A-98F2D48014A6}"/>
            </a:ext>
          </a:extLst>
        </xdr:cNvPr>
        <xdr:cNvCxnSpPr/>
      </xdr:nvCxnSpPr>
      <xdr:spPr>
        <a:xfrm flipV="1">
          <a:off x="3528060" y="3078480"/>
          <a:ext cx="3429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6638-80F8-4CB2-BEE7-EA1E36B81B07}">
  <dimension ref="A1:R29"/>
  <sheetViews>
    <sheetView topLeftCell="A8" zoomScale="115" zoomScaleNormal="115" workbookViewId="0">
      <selection activeCell="C17" sqref="C17"/>
    </sheetView>
  </sheetViews>
  <sheetFormatPr defaultRowHeight="14.4" x14ac:dyDescent="0.3"/>
  <cols>
    <col min="1" max="1" width="18.44140625" customWidth="1"/>
    <col min="2" max="2" width="12.44140625" customWidth="1"/>
    <col min="3" max="3" width="21.33203125" customWidth="1"/>
    <col min="4" max="4" width="18.33203125" customWidth="1"/>
    <col min="6" max="6" width="10.109375" customWidth="1"/>
    <col min="7" max="7" width="16.6640625" customWidth="1"/>
    <col min="8" max="8" width="14.109375" customWidth="1"/>
    <col min="9" max="9" width="16.5546875" customWidth="1"/>
    <col min="10" max="10" width="12.33203125" customWidth="1"/>
    <col min="12" max="12" width="12.5546875" customWidth="1"/>
    <col min="14" max="14" width="11.5546875" customWidth="1"/>
    <col min="15" max="15" width="11.33203125" customWidth="1"/>
    <col min="18" max="18" width="14.6640625" customWidth="1"/>
  </cols>
  <sheetData>
    <row r="1" spans="1:18" ht="18.600000000000001" thickBot="1" x14ac:dyDescent="0.4">
      <c r="A1" s="241" t="s">
        <v>106</v>
      </c>
      <c r="B1" s="241"/>
      <c r="C1" s="241"/>
      <c r="E1" s="245" t="s">
        <v>121</v>
      </c>
      <c r="F1" s="246"/>
      <c r="G1" s="15"/>
      <c r="I1" s="259" t="s">
        <v>124</v>
      </c>
      <c r="J1" s="260"/>
      <c r="K1" s="263"/>
      <c r="L1" s="264"/>
    </row>
    <row r="2" spans="1:18" ht="15" thickBot="1" x14ac:dyDescent="0.35">
      <c r="A2" s="248" t="s">
        <v>10</v>
      </c>
      <c r="B2" s="248"/>
      <c r="C2" s="249" t="s">
        <v>30</v>
      </c>
      <c r="I2" s="261" t="s">
        <v>123</v>
      </c>
      <c r="J2" s="262"/>
      <c r="K2" s="265"/>
      <c r="L2" s="266"/>
    </row>
    <row r="3" spans="1:18" ht="15" thickBot="1" x14ac:dyDescent="0.35">
      <c r="A3" s="248"/>
      <c r="B3" s="248"/>
      <c r="C3" s="250"/>
      <c r="E3" s="30" t="s">
        <v>76</v>
      </c>
      <c r="F3" s="15"/>
    </row>
    <row r="4" spans="1:18" x14ac:dyDescent="0.3">
      <c r="A4" s="114" t="s">
        <v>122</v>
      </c>
      <c r="B4" s="257"/>
      <c r="C4" s="258"/>
    </row>
    <row r="5" spans="1:18" ht="15" thickBot="1" x14ac:dyDescent="0.35"/>
    <row r="6" spans="1:18" x14ac:dyDescent="0.3">
      <c r="A6" s="2" t="s">
        <v>2</v>
      </c>
      <c r="B6" s="3" t="s">
        <v>0</v>
      </c>
      <c r="C6" s="3" t="s">
        <v>1</v>
      </c>
      <c r="D6" s="235" t="s">
        <v>3</v>
      </c>
      <c r="E6" s="235"/>
      <c r="F6" s="236"/>
      <c r="G6" s="2" t="s">
        <v>2</v>
      </c>
      <c r="H6" s="3" t="s">
        <v>0</v>
      </c>
      <c r="I6" s="3" t="s">
        <v>1</v>
      </c>
      <c r="J6" s="235" t="s">
        <v>3</v>
      </c>
      <c r="K6" s="235"/>
      <c r="L6" s="236"/>
      <c r="M6" s="2" t="s">
        <v>2</v>
      </c>
      <c r="N6" s="3" t="s">
        <v>0</v>
      </c>
      <c r="O6" s="3" t="s">
        <v>1</v>
      </c>
      <c r="P6" s="235" t="s">
        <v>3</v>
      </c>
      <c r="Q6" s="235"/>
      <c r="R6" s="236"/>
    </row>
    <row r="7" spans="1:18" x14ac:dyDescent="0.3">
      <c r="A7" s="6">
        <v>1</v>
      </c>
      <c r="B7" s="1"/>
      <c r="C7" s="1"/>
      <c r="D7" s="237" t="str">
        <f>CONCATENATE(B7,",",C7)</f>
        <v>,</v>
      </c>
      <c r="E7" s="237"/>
      <c r="F7" s="238"/>
      <c r="G7" s="6">
        <v>5</v>
      </c>
      <c r="H7" s="1"/>
      <c r="I7" s="1"/>
      <c r="J7" s="237" t="str">
        <f>CONCATENATE(H7,",",I7)</f>
        <v>,</v>
      </c>
      <c r="K7" s="237"/>
      <c r="L7" s="238"/>
      <c r="M7" s="6">
        <v>9</v>
      </c>
      <c r="N7" s="1"/>
      <c r="O7" s="1"/>
      <c r="P7" s="237" t="str">
        <f>CONCATENATE(N7,",",O7)</f>
        <v>,</v>
      </c>
      <c r="Q7" s="237"/>
      <c r="R7" s="238"/>
    </row>
    <row r="8" spans="1:18" x14ac:dyDescent="0.3">
      <c r="A8" s="6">
        <v>2</v>
      </c>
      <c r="B8" s="1"/>
      <c r="C8" s="1"/>
      <c r="D8" s="237" t="str">
        <f t="shared" ref="D8:D10" si="0">CONCATENATE(B8,",",C8)</f>
        <v>,</v>
      </c>
      <c r="E8" s="237"/>
      <c r="F8" s="238"/>
      <c r="G8" s="6">
        <v>6</v>
      </c>
      <c r="H8" s="1"/>
      <c r="I8" s="1"/>
      <c r="J8" s="237" t="str">
        <f t="shared" ref="J8:J10" si="1">CONCATENATE(H8,",",I8)</f>
        <v>,</v>
      </c>
      <c r="K8" s="237"/>
      <c r="L8" s="238"/>
      <c r="M8" s="6">
        <v>10</v>
      </c>
      <c r="N8" s="1"/>
      <c r="O8" s="1"/>
      <c r="P8" s="237" t="str">
        <f t="shared" ref="P8:P10" si="2">CONCATENATE(N8,",",O8)</f>
        <v>,</v>
      </c>
      <c r="Q8" s="237"/>
      <c r="R8" s="238"/>
    </row>
    <row r="9" spans="1:18" x14ac:dyDescent="0.3">
      <c r="A9" s="6">
        <v>3</v>
      </c>
      <c r="B9" s="1"/>
      <c r="C9" s="1"/>
      <c r="D9" s="237" t="str">
        <f t="shared" si="0"/>
        <v>,</v>
      </c>
      <c r="E9" s="237"/>
      <c r="F9" s="238"/>
      <c r="G9" s="6">
        <v>7</v>
      </c>
      <c r="H9" s="1"/>
      <c r="I9" s="1"/>
      <c r="J9" s="237" t="str">
        <f t="shared" si="1"/>
        <v>,</v>
      </c>
      <c r="K9" s="237"/>
      <c r="L9" s="238"/>
      <c r="M9" s="6">
        <v>11</v>
      </c>
      <c r="N9" s="1"/>
      <c r="O9" s="1"/>
      <c r="P9" s="237" t="str">
        <f t="shared" si="2"/>
        <v>,</v>
      </c>
      <c r="Q9" s="237"/>
      <c r="R9" s="238"/>
    </row>
    <row r="10" spans="1:18" ht="15" thickBot="1" x14ac:dyDescent="0.35">
      <c r="A10" s="8">
        <v>4</v>
      </c>
      <c r="B10" s="11"/>
      <c r="C10" s="11"/>
      <c r="D10" s="239" t="str">
        <f t="shared" si="0"/>
        <v>,</v>
      </c>
      <c r="E10" s="239"/>
      <c r="F10" s="240"/>
      <c r="G10" s="8">
        <v>8</v>
      </c>
      <c r="H10" s="11"/>
      <c r="I10" s="11"/>
      <c r="J10" s="239" t="str">
        <f t="shared" si="1"/>
        <v>,</v>
      </c>
      <c r="K10" s="239"/>
      <c r="L10" s="240"/>
      <c r="M10" s="8">
        <v>12</v>
      </c>
      <c r="N10" s="11"/>
      <c r="O10" s="11"/>
      <c r="P10" s="239" t="str">
        <f t="shared" si="2"/>
        <v>,</v>
      </c>
      <c r="Q10" s="239"/>
      <c r="R10" s="240"/>
    </row>
    <row r="12" spans="1:18" ht="15" thickBot="1" x14ac:dyDescent="0.35"/>
    <row r="13" spans="1:18" ht="15" thickBot="1" x14ac:dyDescent="0.35">
      <c r="A13" s="242" t="s">
        <v>4</v>
      </c>
      <c r="B13" s="243"/>
      <c r="C13" s="243"/>
      <c r="D13" s="243"/>
      <c r="E13" s="243"/>
      <c r="F13" s="244"/>
    </row>
    <row r="14" spans="1:18" x14ac:dyDescent="0.3">
      <c r="A14" s="253" t="s">
        <v>5</v>
      </c>
      <c r="B14" s="254"/>
      <c r="C14" s="13">
        <v>46</v>
      </c>
      <c r="D14" s="14"/>
      <c r="E14" s="14"/>
      <c r="F14" s="5"/>
    </row>
    <row r="15" spans="1:18" x14ac:dyDescent="0.3">
      <c r="A15" s="251" t="s">
        <v>6</v>
      </c>
      <c r="B15" s="252"/>
      <c r="C15" s="1">
        <v>2.2000000000000002</v>
      </c>
      <c r="D15" s="1" t="s">
        <v>11</v>
      </c>
      <c r="E15" s="1"/>
      <c r="F15" s="7"/>
    </row>
    <row r="16" spans="1:18" x14ac:dyDescent="0.3">
      <c r="A16" s="251" t="s">
        <v>7</v>
      </c>
      <c r="B16" s="252"/>
      <c r="C16" s="9">
        <f>4600/46</f>
        <v>100</v>
      </c>
      <c r="D16" s="1" t="s">
        <v>11</v>
      </c>
      <c r="E16" s="237" t="s">
        <v>17</v>
      </c>
      <c r="F16" s="238"/>
    </row>
    <row r="17" spans="1:6" x14ac:dyDescent="0.3">
      <c r="A17" s="251" t="s">
        <v>8</v>
      </c>
      <c r="B17" s="252"/>
      <c r="C17" s="1" t="s">
        <v>30</v>
      </c>
      <c r="D17" s="1" t="s">
        <v>11</v>
      </c>
      <c r="E17" s="1"/>
      <c r="F17" s="7"/>
    </row>
    <row r="18" spans="1:6" x14ac:dyDescent="0.3">
      <c r="A18" s="255" t="s">
        <v>12</v>
      </c>
      <c r="B18" s="256"/>
      <c r="C18" s="10" t="e">
        <f>(C16/C17)+1</f>
        <v>#VALUE!</v>
      </c>
      <c r="D18" s="1"/>
      <c r="E18" s="1"/>
      <c r="F18" s="7"/>
    </row>
    <row r="19" spans="1:6" x14ac:dyDescent="0.3">
      <c r="A19" s="255" t="s">
        <v>9</v>
      </c>
      <c r="B19" s="256"/>
      <c r="C19" s="10" t="e">
        <f>C18*C14</f>
        <v>#VALUE!</v>
      </c>
      <c r="D19" s="1"/>
      <c r="E19" s="1"/>
      <c r="F19" s="7"/>
    </row>
    <row r="20" spans="1:6" x14ac:dyDescent="0.3">
      <c r="A20" s="255" t="s">
        <v>13</v>
      </c>
      <c r="B20" s="256"/>
      <c r="C20" s="10" t="e">
        <f>C19/((C14-1)*C15*C16/1000)</f>
        <v>#VALUE!</v>
      </c>
      <c r="D20" s="1" t="e">
        <f>IF(C20&lt;150,"KΑΝΟΝΙΚΗ ΦΥΤΕΥΣΗ","ΠΥΚΝΗ")</f>
        <v>#VALUE!</v>
      </c>
      <c r="E20" s="1"/>
      <c r="F20" s="7"/>
    </row>
    <row r="21" spans="1:6" x14ac:dyDescent="0.3">
      <c r="A21" s="251" t="s">
        <v>14</v>
      </c>
      <c r="B21" s="252"/>
      <c r="C21" s="12"/>
      <c r="D21" s="1" t="s">
        <v>15</v>
      </c>
      <c r="E21" s="1" t="str">
        <f>IF(C21&lt;7,"Μικρή","Μεγάλη")</f>
        <v>Μικρή</v>
      </c>
      <c r="F21" s="7" t="str">
        <f>IF((E21="Μεγάλη"),"&gt;7στρ.","&lt;7στρ.")</f>
        <v>&lt;7στρ.</v>
      </c>
    </row>
    <row r="22" spans="1:6" x14ac:dyDescent="0.3">
      <c r="A22" s="255" t="s">
        <v>16</v>
      </c>
      <c r="B22" s="256"/>
      <c r="C22" s="12">
        <f>(((C14-1)*C15+(2*1.2))*((C16+(2*1.2))))/1000</f>
        <v>10.383360000000003</v>
      </c>
      <c r="D22" s="1" t="s">
        <v>15</v>
      </c>
      <c r="E22" s="1"/>
      <c r="F22" s="7"/>
    </row>
    <row r="23" spans="1:6" ht="15" thickBot="1" x14ac:dyDescent="0.35">
      <c r="A23" s="4" t="s">
        <v>41</v>
      </c>
      <c r="B23" s="11"/>
      <c r="C23" s="11">
        <f>'ΑΝΑΛΩΣΗ ΥΛΙΚΩΝ ΣΥΝΟΛΟ'!E7/'ΣΤΟΙΧΕΙΑ ΚΤΗΜΑΤΟΣ'!C22</f>
        <v>5.7784763313609453</v>
      </c>
      <c r="D23" s="267" t="e">
        <f>IF((C20&lt;150)*AND(C23&gt;25),"ΙΚΑΝΟΠΟΙΕΙΤΑΙ","ΔΕΝ ΙΚΑΝΟΠΟΙΕΙΤΑΙ")</f>
        <v>#VALUE!</v>
      </c>
      <c r="E23" s="268"/>
      <c r="F23" s="269"/>
    </row>
    <row r="25" spans="1:6" ht="15" thickBot="1" x14ac:dyDescent="0.35">
      <c r="A25" s="247" t="s">
        <v>50</v>
      </c>
      <c r="B25" s="247"/>
      <c r="C25" s="247"/>
      <c r="D25" s="247"/>
    </row>
    <row r="26" spans="1:6" x14ac:dyDescent="0.3">
      <c r="A26" s="16"/>
      <c r="B26" s="17" t="s">
        <v>44</v>
      </c>
      <c r="C26" s="17" t="s">
        <v>45</v>
      </c>
      <c r="D26" s="18" t="s">
        <v>46</v>
      </c>
    </row>
    <row r="27" spans="1:6" x14ac:dyDescent="0.3">
      <c r="A27" s="19" t="s">
        <v>47</v>
      </c>
      <c r="B27" s="20">
        <v>1000</v>
      </c>
      <c r="C27" s="20">
        <v>1000</v>
      </c>
      <c r="D27" s="21">
        <v>1000</v>
      </c>
    </row>
    <row r="28" spans="1:6" ht="40.950000000000003" customHeight="1" x14ac:dyDescent="0.3">
      <c r="A28" s="26" t="s">
        <v>49</v>
      </c>
      <c r="B28" s="20">
        <v>27.5</v>
      </c>
      <c r="C28" s="20">
        <v>33.299999999999997</v>
      </c>
      <c r="D28" s="21">
        <v>40</v>
      </c>
    </row>
    <row r="29" spans="1:6" ht="15" thickBot="1" x14ac:dyDescent="0.35">
      <c r="A29" s="22" t="s">
        <v>48</v>
      </c>
      <c r="B29" s="23">
        <f>B27/B28</f>
        <v>36.363636363636367</v>
      </c>
      <c r="C29" s="24">
        <f>C27/C28</f>
        <v>30.030030030030034</v>
      </c>
      <c r="D29" s="25">
        <f>D27/D28</f>
        <v>25</v>
      </c>
    </row>
  </sheetData>
  <mergeCells count="37">
    <mergeCell ref="I1:J1"/>
    <mergeCell ref="I2:J2"/>
    <mergeCell ref="K1:L1"/>
    <mergeCell ref="K2:L2"/>
    <mergeCell ref="D23:F23"/>
    <mergeCell ref="E16:F16"/>
    <mergeCell ref="J6:L6"/>
    <mergeCell ref="J7:L7"/>
    <mergeCell ref="J8:L8"/>
    <mergeCell ref="J9:L9"/>
    <mergeCell ref="J10:L10"/>
    <mergeCell ref="A25:D25"/>
    <mergeCell ref="A2:B3"/>
    <mergeCell ref="C2:C3"/>
    <mergeCell ref="A21:B21"/>
    <mergeCell ref="A14:B14"/>
    <mergeCell ref="A15:B15"/>
    <mergeCell ref="A16:B16"/>
    <mergeCell ref="A22:B22"/>
    <mergeCell ref="A17:B17"/>
    <mergeCell ref="A18:B18"/>
    <mergeCell ref="A19:B19"/>
    <mergeCell ref="A20:B20"/>
    <mergeCell ref="B4:C4"/>
    <mergeCell ref="A1:C1"/>
    <mergeCell ref="D6:F6"/>
    <mergeCell ref="D7:F7"/>
    <mergeCell ref="D8:F8"/>
    <mergeCell ref="A13:F13"/>
    <mergeCell ref="D10:F10"/>
    <mergeCell ref="D9:F9"/>
    <mergeCell ref="E1:F1"/>
    <mergeCell ref="P6:R6"/>
    <mergeCell ref="P7:R7"/>
    <mergeCell ref="P8:R8"/>
    <mergeCell ref="P9:R9"/>
    <mergeCell ref="P10:R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1907-92FD-4AAF-8879-516C5B5BAD06}">
  <sheetPr>
    <pageSetUpPr fitToPage="1"/>
  </sheetPr>
  <dimension ref="A1:BN72"/>
  <sheetViews>
    <sheetView tabSelected="1" topLeftCell="F1" zoomScale="85" zoomScaleNormal="85" workbookViewId="0">
      <selection activeCell="I8" sqref="I8"/>
    </sheetView>
  </sheetViews>
  <sheetFormatPr defaultRowHeight="14.4" outlineLevelCol="1" x14ac:dyDescent="0.3"/>
  <cols>
    <col min="1" max="1" width="13.5546875" customWidth="1"/>
    <col min="2" max="2" width="11.33203125" customWidth="1"/>
    <col min="4" max="4" width="15.33203125" customWidth="1"/>
    <col min="8" max="8" width="25.109375" customWidth="1"/>
    <col min="9" max="9" width="57.6640625" customWidth="1"/>
    <col min="14" max="14" width="15.6640625" customWidth="1"/>
    <col min="15" max="15" width="16.33203125" customWidth="1"/>
    <col min="16" max="16" width="14.5546875" customWidth="1"/>
    <col min="22" max="22" width="36.44140625" customWidth="1" outlineLevel="1"/>
    <col min="23" max="23" width="37.88671875" customWidth="1" outlineLevel="1"/>
    <col min="24" max="24" width="28.109375" customWidth="1" outlineLevel="1"/>
    <col min="25" max="25" width="31.33203125" customWidth="1" outlineLevel="1"/>
    <col min="26" max="26" width="31.109375" customWidth="1" outlineLevel="1"/>
    <col min="27" max="27" width="39.88671875" customWidth="1" outlineLevel="1"/>
    <col min="28" max="28" width="20.6640625" customWidth="1" outlineLevel="1"/>
    <col min="29" max="29" width="38.109375" customWidth="1" outlineLevel="1"/>
    <col min="30" max="30" width="28.88671875" customWidth="1" outlineLevel="1"/>
    <col min="31" max="31" width="49.88671875" customWidth="1" outlineLevel="1"/>
    <col min="32" max="32" width="33.5546875" customWidth="1" outlineLevel="1"/>
    <col min="33" max="33" width="53.44140625" customWidth="1" outlineLevel="1"/>
    <col min="34" max="34" width="25.6640625" customWidth="1" outlineLevel="1"/>
    <col min="35" max="35" width="40.5546875" customWidth="1" outlineLevel="1"/>
    <col min="36" max="36" width="34.88671875" customWidth="1" outlineLevel="1"/>
    <col min="37" max="37" width="28.44140625" customWidth="1" outlineLevel="1"/>
    <col min="38" max="38" width="19.44140625" customWidth="1" outlineLevel="1"/>
    <col min="39" max="39" width="37.88671875" customWidth="1" outlineLevel="1"/>
    <col min="40" max="40" width="26.6640625" customWidth="1" outlineLevel="1"/>
    <col min="41" max="41" width="43.33203125" customWidth="1" outlineLevel="1"/>
    <col min="42" max="42" width="31.109375" customWidth="1" outlineLevel="1"/>
    <col min="43" max="43" width="54.6640625" customWidth="1" outlineLevel="1"/>
    <col min="44" max="44" width="30" customWidth="1" outlineLevel="1"/>
    <col min="45" max="45" width="57.44140625" customWidth="1" outlineLevel="1"/>
    <col min="46" max="46" width="29" customWidth="1" outlineLevel="1"/>
    <col min="47" max="47" width="31.5546875" customWidth="1" outlineLevel="1"/>
    <col min="48" max="48" width="38.44140625" customWidth="1" outlineLevel="1"/>
    <col min="49" max="49" width="35.6640625" customWidth="1" outlineLevel="1"/>
    <col min="50" max="50" width="18.6640625" customWidth="1" outlineLevel="1"/>
    <col min="51" max="51" width="18.109375" customWidth="1" outlineLevel="1"/>
    <col min="52" max="52" width="21.6640625" customWidth="1" outlineLevel="1"/>
    <col min="53" max="53" width="38.109375" customWidth="1" outlineLevel="1"/>
    <col min="54" max="54" width="22.88671875" customWidth="1" outlineLevel="1"/>
    <col min="55" max="55" width="24.44140625" customWidth="1" outlineLevel="1"/>
    <col min="56" max="56" width="22.44140625" customWidth="1" outlineLevel="1"/>
    <col min="57" max="57" width="45.88671875" customWidth="1" outlineLevel="1"/>
    <col min="58" max="66" width="9.109375" customWidth="1" outlineLevel="1"/>
  </cols>
  <sheetData>
    <row r="1" spans="2:66" ht="15" thickBot="1" x14ac:dyDescent="0.35">
      <c r="H1" s="220" t="s">
        <v>493</v>
      </c>
      <c r="I1" s="220" t="s">
        <v>494</v>
      </c>
      <c r="J1" s="220" t="s">
        <v>495</v>
      </c>
      <c r="W1" s="309" t="s">
        <v>139</v>
      </c>
      <c r="X1" s="271"/>
      <c r="Y1" s="271"/>
      <c r="Z1" s="272"/>
      <c r="AA1" s="309" t="s">
        <v>139</v>
      </c>
      <c r="AB1" s="310"/>
      <c r="AC1" s="310"/>
      <c r="AD1" s="272"/>
    </row>
    <row r="2" spans="2:66" ht="15" thickBot="1" x14ac:dyDescent="0.35">
      <c r="B2" s="312" t="s">
        <v>104</v>
      </c>
      <c r="C2" s="312"/>
      <c r="D2" s="312"/>
      <c r="E2" s="312"/>
      <c r="F2" s="312"/>
      <c r="G2" s="56"/>
      <c r="H2" s="221"/>
      <c r="I2" s="311" t="s">
        <v>43</v>
      </c>
      <c r="J2" s="311"/>
      <c r="K2" s="311"/>
      <c r="L2" s="311"/>
      <c r="M2" s="311"/>
      <c r="W2" s="2" t="s">
        <v>30</v>
      </c>
      <c r="X2" s="14" t="s">
        <v>30</v>
      </c>
      <c r="Y2" s="128" t="s">
        <v>30</v>
      </c>
      <c r="Z2" s="7" t="s">
        <v>30</v>
      </c>
      <c r="AA2" s="82" t="s">
        <v>67</v>
      </c>
      <c r="AB2" s="82" t="s">
        <v>30</v>
      </c>
      <c r="AC2" s="194" t="s">
        <v>30</v>
      </c>
      <c r="AD2" t="s">
        <v>30</v>
      </c>
    </row>
    <row r="3" spans="2:66" ht="15.6" thickTop="1" thickBot="1" x14ac:dyDescent="0.35">
      <c r="B3" s="57" t="s">
        <v>18</v>
      </c>
      <c r="C3" s="321" t="s">
        <v>73</v>
      </c>
      <c r="D3" s="321"/>
      <c r="E3" s="321"/>
      <c r="F3" s="321"/>
      <c r="G3" s="227">
        <v>1</v>
      </c>
      <c r="H3" s="210" t="s">
        <v>30</v>
      </c>
      <c r="I3" s="197" t="s">
        <v>144</v>
      </c>
      <c r="J3" s="106" t="s">
        <v>30</v>
      </c>
      <c r="K3" s="139" t="s">
        <v>68</v>
      </c>
      <c r="L3" s="109"/>
      <c r="M3" s="315" t="s">
        <v>42</v>
      </c>
      <c r="N3" s="316"/>
      <c r="O3" s="134" t="s">
        <v>138</v>
      </c>
      <c r="P3" s="133"/>
      <c r="W3" s="127" t="s">
        <v>130</v>
      </c>
      <c r="X3" s="1" t="s">
        <v>131</v>
      </c>
      <c r="Y3" s="129" t="s">
        <v>138</v>
      </c>
      <c r="Z3" s="7" t="s">
        <v>140</v>
      </c>
      <c r="AA3" s="165" t="s">
        <v>155</v>
      </c>
      <c r="AB3" s="165" t="s">
        <v>157</v>
      </c>
      <c r="AC3" s="88" t="s">
        <v>488</v>
      </c>
      <c r="AD3" t="s">
        <v>491</v>
      </c>
    </row>
    <row r="4" spans="2:66" ht="15.6" thickTop="1" thickBot="1" x14ac:dyDescent="0.35">
      <c r="B4" s="313" t="s">
        <v>19</v>
      </c>
      <c r="C4" s="314"/>
      <c r="D4" s="314"/>
      <c r="E4" s="58">
        <v>10</v>
      </c>
      <c r="F4" s="223" t="s">
        <v>20</v>
      </c>
      <c r="G4" s="222">
        <v>2</v>
      </c>
      <c r="H4" s="211" t="s">
        <v>30</v>
      </c>
      <c r="I4" s="198" t="s">
        <v>145</v>
      </c>
      <c r="J4" s="107" t="s">
        <v>30</v>
      </c>
      <c r="K4" s="140" t="s">
        <v>68</v>
      </c>
      <c r="L4" s="135"/>
      <c r="M4" s="138"/>
      <c r="N4" s="136" t="s">
        <v>130</v>
      </c>
      <c r="O4" s="229" t="s">
        <v>30</v>
      </c>
      <c r="P4" s="133"/>
      <c r="W4" s="127" t="s">
        <v>132</v>
      </c>
      <c r="X4" s="1" t="s">
        <v>137</v>
      </c>
      <c r="Y4" s="129"/>
      <c r="Z4" s="7"/>
      <c r="AD4" t="s">
        <v>401</v>
      </c>
    </row>
    <row r="5" spans="2:66" ht="15.6" thickTop="1" thickBot="1" x14ac:dyDescent="0.35">
      <c r="B5" s="305" t="s">
        <v>21</v>
      </c>
      <c r="C5" s="306"/>
      <c r="D5" s="306"/>
      <c r="E5" s="59">
        <v>20</v>
      </c>
      <c r="F5" s="164" t="s">
        <v>20</v>
      </c>
      <c r="G5" s="222">
        <v>3</v>
      </c>
      <c r="H5" s="211" t="s">
        <v>345</v>
      </c>
      <c r="I5" s="198" t="s">
        <v>146</v>
      </c>
      <c r="J5" s="107">
        <f>IF(N4="-","-",IF(O3="7X8",($E$6),"-"))</f>
        <v>30</v>
      </c>
      <c r="K5" s="140" t="s">
        <v>68</v>
      </c>
      <c r="L5" s="1"/>
      <c r="M5" s="137"/>
      <c r="N5" s="132"/>
      <c r="O5" s="231" t="s">
        <v>401</v>
      </c>
      <c r="P5" s="133"/>
      <c r="W5" s="127" t="s">
        <v>133</v>
      </c>
      <c r="X5" s="1"/>
      <c r="Y5" s="129"/>
      <c r="Z5" s="7"/>
    </row>
    <row r="6" spans="2:66" ht="15" thickBot="1" x14ac:dyDescent="0.35">
      <c r="B6" s="305" t="s">
        <v>22</v>
      </c>
      <c r="C6" s="306"/>
      <c r="D6" s="306"/>
      <c r="E6" s="59">
        <v>30</v>
      </c>
      <c r="F6" s="164" t="s">
        <v>20</v>
      </c>
      <c r="G6" s="222">
        <v>4</v>
      </c>
      <c r="H6" s="211" t="s">
        <v>30</v>
      </c>
      <c r="I6" s="198" t="s">
        <v>147</v>
      </c>
      <c r="J6" s="107" t="s">
        <v>30</v>
      </c>
      <c r="K6" s="140" t="s">
        <v>68</v>
      </c>
      <c r="L6" s="1"/>
      <c r="M6" s="1"/>
      <c r="N6" s="233" t="s">
        <v>492</v>
      </c>
      <c r="O6" s="234">
        <v>0</v>
      </c>
      <c r="W6" s="127" t="s">
        <v>134</v>
      </c>
      <c r="X6" s="1"/>
      <c r="Y6" s="129"/>
      <c r="Z6" s="7"/>
    </row>
    <row r="7" spans="2:66" ht="15" thickBot="1" x14ac:dyDescent="0.35">
      <c r="B7" s="295" t="s">
        <v>23</v>
      </c>
      <c r="C7" s="296"/>
      <c r="D7" s="296"/>
      <c r="E7" s="60">
        <f>SUM(E4:E6)</f>
        <v>60</v>
      </c>
      <c r="F7" s="224" t="s">
        <v>20</v>
      </c>
      <c r="G7" s="222">
        <v>5</v>
      </c>
      <c r="H7" s="211" t="s">
        <v>30</v>
      </c>
      <c r="I7" s="198" t="s">
        <v>148</v>
      </c>
      <c r="J7" s="107" t="s">
        <v>30</v>
      </c>
      <c r="K7" s="140" t="s">
        <v>68</v>
      </c>
      <c r="L7" s="1"/>
      <c r="M7" s="1"/>
      <c r="W7" s="127" t="s">
        <v>135</v>
      </c>
      <c r="X7" s="1"/>
      <c r="Y7" s="129"/>
      <c r="Z7" s="7"/>
    </row>
    <row r="8" spans="2:66" ht="15" thickBot="1" x14ac:dyDescent="0.35">
      <c r="B8" s="56"/>
      <c r="C8" s="56"/>
      <c r="D8" s="56"/>
      <c r="E8" s="56"/>
      <c r="F8" s="56"/>
      <c r="G8" s="222">
        <v>6</v>
      </c>
      <c r="H8" s="211" t="s">
        <v>346</v>
      </c>
      <c r="I8" s="198" t="s">
        <v>149</v>
      </c>
      <c r="J8" s="107">
        <f>IF(N4="-","-",IF(O3="7X8",($E$4+$E$5),($E$4+$E$5+$E$6)))</f>
        <v>30</v>
      </c>
      <c r="K8" s="140" t="s">
        <v>68</v>
      </c>
      <c r="L8" s="108"/>
      <c r="M8" s="1"/>
      <c r="W8" s="4" t="s">
        <v>136</v>
      </c>
      <c r="X8" s="11"/>
      <c r="Y8" s="130"/>
      <c r="Z8" s="7"/>
    </row>
    <row r="9" spans="2:66" ht="15" thickBot="1" x14ac:dyDescent="0.35">
      <c r="B9" s="307" t="s">
        <v>24</v>
      </c>
      <c r="C9" s="308"/>
      <c r="D9" s="308"/>
      <c r="E9" s="61">
        <v>15</v>
      </c>
      <c r="F9" s="225" t="s">
        <v>20</v>
      </c>
      <c r="G9" s="222">
        <v>7</v>
      </c>
      <c r="H9" s="211" t="s">
        <v>165</v>
      </c>
      <c r="I9" s="198" t="s">
        <v>118</v>
      </c>
      <c r="J9" s="107">
        <f>IF(N4="-","-",$E$9)</f>
        <v>15</v>
      </c>
      <c r="K9" s="140" t="s">
        <v>68</v>
      </c>
      <c r="L9" s="108"/>
      <c r="M9" s="1"/>
      <c r="W9" s="4" t="s">
        <v>156</v>
      </c>
      <c r="X9" s="11"/>
      <c r="Y9" s="130"/>
      <c r="Z9" s="7"/>
    </row>
    <row r="10" spans="2:66" ht="15" thickBot="1" x14ac:dyDescent="0.35">
      <c r="B10" s="56"/>
      <c r="C10" s="56"/>
      <c r="D10" s="56"/>
      <c r="E10" s="56"/>
      <c r="F10" s="56"/>
      <c r="G10" s="222">
        <v>8</v>
      </c>
      <c r="H10" s="211" t="s">
        <v>366</v>
      </c>
      <c r="I10" s="199" t="s">
        <v>119</v>
      </c>
      <c r="J10" s="111">
        <f>IF(N4="-","-",(E4+E5))</f>
        <v>30</v>
      </c>
      <c r="K10" s="141" t="s">
        <v>68</v>
      </c>
      <c r="L10" s="66"/>
      <c r="M10" s="67"/>
      <c r="W10" s="270" t="s">
        <v>139</v>
      </c>
      <c r="X10" s="271"/>
      <c r="Y10" s="271"/>
      <c r="Z10" s="272"/>
      <c r="AA10" s="270" t="s">
        <v>139</v>
      </c>
      <c r="AB10" s="271"/>
      <c r="AC10" s="271"/>
      <c r="AD10" s="282"/>
      <c r="AE10" s="270" t="s">
        <v>139</v>
      </c>
      <c r="AF10" s="271"/>
      <c r="AG10" s="271"/>
      <c r="AH10" s="282"/>
      <c r="AI10" s="270" t="s">
        <v>139</v>
      </c>
      <c r="AJ10" s="271"/>
      <c r="AK10" s="271"/>
      <c r="AL10" s="282"/>
      <c r="AM10" s="270" t="s">
        <v>139</v>
      </c>
      <c r="AN10" s="271"/>
      <c r="AO10" s="271"/>
      <c r="AP10" s="282"/>
      <c r="AQ10" s="270" t="s">
        <v>139</v>
      </c>
      <c r="AR10" s="271"/>
      <c r="AS10" s="271"/>
      <c r="AT10" s="282"/>
      <c r="AU10" s="270" t="s">
        <v>139</v>
      </c>
      <c r="AV10" s="271"/>
      <c r="AW10" s="271"/>
      <c r="AX10" s="282"/>
      <c r="AY10" s="270" t="s">
        <v>139</v>
      </c>
      <c r="AZ10" s="271"/>
      <c r="BA10" s="271"/>
      <c r="BB10" s="272"/>
      <c r="BC10" s="270" t="s">
        <v>139</v>
      </c>
      <c r="BD10" s="271"/>
      <c r="BE10" s="271"/>
      <c r="BF10" s="272"/>
      <c r="BG10" s="270" t="s">
        <v>139</v>
      </c>
      <c r="BH10" s="271"/>
      <c r="BI10" s="271"/>
      <c r="BJ10" s="272"/>
      <c r="BK10" s="270" t="s">
        <v>139</v>
      </c>
      <c r="BL10" s="271"/>
      <c r="BM10" s="271"/>
      <c r="BN10" s="272"/>
    </row>
    <row r="11" spans="2:66" ht="15" thickBot="1" x14ac:dyDescent="0.35">
      <c r="B11" s="307" t="s">
        <v>25</v>
      </c>
      <c r="C11" s="308"/>
      <c r="D11" s="308"/>
      <c r="E11" s="61">
        <v>45</v>
      </c>
      <c r="F11" s="225"/>
      <c r="G11" s="222">
        <v>9</v>
      </c>
      <c r="H11" s="211" t="s">
        <v>30</v>
      </c>
      <c r="I11" s="200" t="s">
        <v>66</v>
      </c>
      <c r="J11" s="110" t="str">
        <f>IF(AND(N4="-",$O$5="-"),"-",IF($O$5="ΣΥΡΜΑΤΟΣΧΟΙΝΟ","-",IF(AND(N4="ΑΝΕΜΟΘΡΑΥΣΤΗΣ",K11="m."),$E$17*2,IF(AND(N4="ΑΝΕΜΟΘΡΑΥΣΤΗΣ",K11="kg."),(CEILING($E$17*2/10,20)),IF(K11="m.",($E$17/$E$22+1)*(($E$11*$E$15)+$E$23)+(($E$11+1)*$E$17)+(($E$11+1)*$E$23),IF(K11="kg.",CEILING((($E$17/$E$22+1)*(($E$11*$E$15)+$E$23)+(($E$11+1)*$E$17)+(($E$11+1)*$E$23))/10,20)))))))</f>
        <v>-</v>
      </c>
      <c r="K11" s="142" t="s">
        <v>67</v>
      </c>
      <c r="L11" s="52" t="str">
        <f>IF(J11="-","-",IF(K11="kg.",J11,CEILING((J11/10),20)))</f>
        <v>-</v>
      </c>
      <c r="M11" s="53" t="s">
        <v>27</v>
      </c>
      <c r="V11" s="286" t="s">
        <v>24</v>
      </c>
      <c r="W11" s="288"/>
      <c r="X11" s="286" t="s">
        <v>175</v>
      </c>
      <c r="Y11" s="288"/>
      <c r="Z11" s="278" t="s">
        <v>188</v>
      </c>
      <c r="AA11" s="289"/>
      <c r="AB11" s="280" t="s">
        <v>486</v>
      </c>
      <c r="AC11" s="281"/>
      <c r="AD11" s="290" t="s">
        <v>286</v>
      </c>
      <c r="AE11" s="291"/>
      <c r="AF11" s="283" t="s">
        <v>191</v>
      </c>
      <c r="AG11" s="284"/>
      <c r="AH11" s="285" t="s">
        <v>306</v>
      </c>
      <c r="AI11" s="285"/>
      <c r="AJ11" s="286" t="s">
        <v>322</v>
      </c>
      <c r="AK11" s="287"/>
      <c r="AL11" s="273" t="s">
        <v>323</v>
      </c>
      <c r="AM11" s="274"/>
      <c r="AN11" s="276" t="s">
        <v>357</v>
      </c>
      <c r="AO11" s="277"/>
      <c r="AP11" s="286" t="s">
        <v>369</v>
      </c>
      <c r="AQ11" s="287"/>
      <c r="AR11" s="286" t="s">
        <v>394</v>
      </c>
      <c r="AS11" s="288"/>
      <c r="AT11" s="273" t="s">
        <v>395</v>
      </c>
      <c r="AU11" s="274"/>
      <c r="AV11" s="273" t="s">
        <v>401</v>
      </c>
      <c r="AW11" s="274"/>
      <c r="AX11" s="275" t="s">
        <v>427</v>
      </c>
      <c r="AY11" s="274"/>
      <c r="AZ11" s="276" t="s">
        <v>445</v>
      </c>
      <c r="BA11" s="277"/>
      <c r="BB11" s="278" t="s">
        <v>458</v>
      </c>
      <c r="BC11" s="279"/>
      <c r="BD11" s="280" t="s">
        <v>479</v>
      </c>
      <c r="BE11" s="281"/>
    </row>
    <row r="12" spans="2:66" x14ac:dyDescent="0.3">
      <c r="B12" s="56"/>
      <c r="C12" s="56"/>
      <c r="D12" s="56"/>
      <c r="E12" s="56"/>
      <c r="F12" s="56"/>
      <c r="G12" s="222">
        <v>10</v>
      </c>
      <c r="H12" s="211" t="s">
        <v>417</v>
      </c>
      <c r="I12" s="201" t="s">
        <v>56</v>
      </c>
      <c r="J12" s="107">
        <f>IF(AND(N4="-",$O$5="-"),"-",IF($O$5="ΑΤΣΑΛΟΣΥΡΜΑ","-",IF(AND(N4="ΑΝΕΜΟΘΡΑΥΣΤΗΣ",K12="m."),$E$17*2,IF(AND(N4="ΑΝΕΜΟΘΡΑΥΣΤΗΣ",K12="kg."),(CEILING($E$17*2/8.3,20)),IF(K12="m.",($E$17/$E$22+1)*(($E$11*$E$15)+$E$23)+(($E$11+1)*$E$17)+(($E$11+1)*$E$23),IF(K12="kg.",CEILING((($E$17/$E$22+1)*(($E$11*$E$15)+$E$23)+(($E$11+1)*$E$17)+(($E$11+1)*$E$23))/8.3,20)))))))</f>
        <v>860</v>
      </c>
      <c r="K12" s="142" t="s">
        <v>155</v>
      </c>
      <c r="L12" s="50">
        <f>IF(J12="-","-",IF(K12="kg.",J12,CEILING((J12/8.3),20)))</f>
        <v>860</v>
      </c>
      <c r="M12" s="51" t="s">
        <v>27</v>
      </c>
      <c r="V12" s="168" t="s">
        <v>162</v>
      </c>
      <c r="W12" s="169" t="s">
        <v>161</v>
      </c>
      <c r="X12" s="168" t="s">
        <v>181</v>
      </c>
      <c r="Y12" s="169" t="s">
        <v>176</v>
      </c>
      <c r="Z12" s="166" t="s">
        <v>187</v>
      </c>
      <c r="AA12" s="166" t="s">
        <v>186</v>
      </c>
      <c r="AB12" s="166" t="s">
        <v>482</v>
      </c>
      <c r="AC12" s="166" t="s">
        <v>483</v>
      </c>
      <c r="AD12" s="173" t="s">
        <v>192</v>
      </c>
      <c r="AE12" s="174" t="s">
        <v>193</v>
      </c>
      <c r="AF12" s="182" t="s">
        <v>287</v>
      </c>
      <c r="AG12" s="177" t="s">
        <v>288</v>
      </c>
      <c r="AH12" s="176" t="s">
        <v>297</v>
      </c>
      <c r="AI12" s="175" t="s">
        <v>298</v>
      </c>
      <c r="AJ12" s="168" t="s">
        <v>307</v>
      </c>
      <c r="AK12" s="172" t="s">
        <v>308</v>
      </c>
      <c r="AL12" s="168" t="s">
        <v>324</v>
      </c>
      <c r="AM12" s="169" t="s">
        <v>325</v>
      </c>
      <c r="AN12" s="168" t="s">
        <v>358</v>
      </c>
      <c r="AO12" s="169" t="s">
        <v>359</v>
      </c>
      <c r="AP12" s="168" t="s">
        <v>364</v>
      </c>
      <c r="AQ12" s="172" t="s">
        <v>365</v>
      </c>
      <c r="AR12" s="168" t="s">
        <v>372</v>
      </c>
      <c r="AS12" s="169" t="s">
        <v>373</v>
      </c>
      <c r="AT12" s="168" t="s">
        <v>396</v>
      </c>
      <c r="AU12" s="169" t="s">
        <v>395</v>
      </c>
      <c r="AV12" s="168" t="s">
        <v>402</v>
      </c>
      <c r="AW12" s="169" t="s">
        <v>403</v>
      </c>
      <c r="AX12" s="167" t="s">
        <v>428</v>
      </c>
      <c r="AY12" s="169" t="s">
        <v>429</v>
      </c>
      <c r="AZ12" s="168" t="s">
        <v>433</v>
      </c>
      <c r="BA12" s="169" t="s">
        <v>434</v>
      </c>
      <c r="BB12" s="166" t="s">
        <v>448</v>
      </c>
      <c r="BC12" s="166" t="s">
        <v>449</v>
      </c>
      <c r="BD12" s="166" t="s">
        <v>459</v>
      </c>
      <c r="BE12" s="166" t="s">
        <v>460</v>
      </c>
    </row>
    <row r="13" spans="2:66" ht="15" thickBot="1" x14ac:dyDescent="0.35">
      <c r="B13" s="56"/>
      <c r="C13" s="56"/>
      <c r="D13" s="56"/>
      <c r="E13" s="56"/>
      <c r="F13" s="56"/>
      <c r="G13" s="222">
        <v>11</v>
      </c>
      <c r="H13" s="211" t="s">
        <v>413</v>
      </c>
      <c r="I13" s="199" t="s">
        <v>69</v>
      </c>
      <c r="J13" s="111">
        <f>IF(N4="-","-",IF(K13="m.",(($E$11*2*$E$15)+2*$E$27)+($E$9*$E$26)+($E$4*$E$27),IF(K13="kg.",CEILING(((($E$11*2*$E$15)+2*$E$27)+($E$9*$E$26)+($E$4*$E$27))/3.91,20))))</f>
        <v>100</v>
      </c>
      <c r="K13" s="141" t="s">
        <v>155</v>
      </c>
      <c r="L13" s="54">
        <f>IF(J13="-","-",IF(K13="kg.",J13,CEILING((J13/3.91),20)))</f>
        <v>100</v>
      </c>
      <c r="M13" s="55" t="s">
        <v>27</v>
      </c>
      <c r="V13" s="168" t="s">
        <v>164</v>
      </c>
      <c r="W13" s="169" t="s">
        <v>163</v>
      </c>
      <c r="X13" s="168" t="s">
        <v>182</v>
      </c>
      <c r="Y13" s="169" t="s">
        <v>177</v>
      </c>
      <c r="AA13" s="186" t="s">
        <v>30</v>
      </c>
      <c r="AB13" s="166" t="s">
        <v>484</v>
      </c>
      <c r="AC13" s="166" t="s">
        <v>485</v>
      </c>
      <c r="AD13" s="168" t="s">
        <v>194</v>
      </c>
      <c r="AE13" s="169" t="s">
        <v>195</v>
      </c>
      <c r="AF13" s="183" t="s">
        <v>289</v>
      </c>
      <c r="AG13" s="178" t="s">
        <v>290</v>
      </c>
      <c r="AH13" s="167" t="s">
        <v>299</v>
      </c>
      <c r="AI13" s="172" t="s">
        <v>300</v>
      </c>
      <c r="AJ13" s="168" t="s">
        <v>309</v>
      </c>
      <c r="AK13" s="172" t="s">
        <v>310</v>
      </c>
      <c r="AL13" s="168" t="s">
        <v>326</v>
      </c>
      <c r="AM13" s="169" t="s">
        <v>327</v>
      </c>
      <c r="AN13" s="168" t="s">
        <v>360</v>
      </c>
      <c r="AO13" s="169" t="s">
        <v>361</v>
      </c>
      <c r="AP13" s="168" t="s">
        <v>366</v>
      </c>
      <c r="AQ13" s="172" t="s">
        <v>367</v>
      </c>
      <c r="AR13" s="168" t="s">
        <v>374</v>
      </c>
      <c r="AS13" s="169" t="s">
        <v>375</v>
      </c>
      <c r="AT13" s="168" t="s">
        <v>397</v>
      </c>
      <c r="AU13" s="169" t="s">
        <v>398</v>
      </c>
      <c r="AV13" s="168" t="s">
        <v>404</v>
      </c>
      <c r="AW13" s="169" t="s">
        <v>405</v>
      </c>
      <c r="AX13" s="167" t="s">
        <v>430</v>
      </c>
      <c r="AY13" s="169" t="s">
        <v>431</v>
      </c>
      <c r="AZ13" s="168" t="s">
        <v>435</v>
      </c>
      <c r="BA13" s="169" t="s">
        <v>436</v>
      </c>
      <c r="BB13" s="166" t="s">
        <v>450</v>
      </c>
      <c r="BC13" s="166" t="s">
        <v>451</v>
      </c>
      <c r="BD13" s="166" t="s">
        <v>461</v>
      </c>
      <c r="BE13" s="166" t="s">
        <v>462</v>
      </c>
    </row>
    <row r="14" spans="2:66" ht="15" thickBot="1" x14ac:dyDescent="0.35">
      <c r="B14" s="57" t="s">
        <v>26</v>
      </c>
      <c r="C14" s="56"/>
      <c r="D14" s="62"/>
      <c r="E14" s="62"/>
      <c r="F14" s="164"/>
      <c r="G14" s="222">
        <v>12</v>
      </c>
      <c r="H14" s="211" t="s">
        <v>432</v>
      </c>
      <c r="I14" s="197" t="s">
        <v>102</v>
      </c>
      <c r="J14" s="106">
        <f>IF(N4="-","-",CEILING((5*$E$4+2*$E$5+2*2*$E$11),50))</f>
        <v>300</v>
      </c>
      <c r="K14" s="139" t="s">
        <v>68</v>
      </c>
      <c r="L14" s="52"/>
      <c r="M14" s="53"/>
      <c r="V14" s="168" t="s">
        <v>166</v>
      </c>
      <c r="W14" s="169" t="s">
        <v>165</v>
      </c>
      <c r="X14" s="168" t="s">
        <v>183</v>
      </c>
      <c r="Y14" s="169" t="s">
        <v>178</v>
      </c>
      <c r="AB14" s="186" t="s">
        <v>30</v>
      </c>
      <c r="AD14" s="168" t="s">
        <v>196</v>
      </c>
      <c r="AE14" s="169" t="s">
        <v>197</v>
      </c>
      <c r="AF14" s="183" t="s">
        <v>291</v>
      </c>
      <c r="AG14" s="178" t="s">
        <v>292</v>
      </c>
      <c r="AH14" s="167" t="s">
        <v>301</v>
      </c>
      <c r="AI14" s="172" t="s">
        <v>300</v>
      </c>
      <c r="AJ14" s="168" t="s">
        <v>311</v>
      </c>
      <c r="AK14" s="172" t="s">
        <v>312</v>
      </c>
      <c r="AL14" s="168" t="s">
        <v>328</v>
      </c>
      <c r="AM14" s="169" t="s">
        <v>327</v>
      </c>
      <c r="AN14" s="170" t="s">
        <v>362</v>
      </c>
      <c r="AO14" s="171" t="s">
        <v>363</v>
      </c>
      <c r="AP14" s="168" t="s">
        <v>368</v>
      </c>
      <c r="AQ14" s="172" t="s">
        <v>367</v>
      </c>
      <c r="AR14" s="168" t="s">
        <v>376</v>
      </c>
      <c r="AS14" s="169" t="s">
        <v>377</v>
      </c>
      <c r="AT14" s="168" t="s">
        <v>399</v>
      </c>
      <c r="AU14" s="169" t="s">
        <v>400</v>
      </c>
      <c r="AV14" s="168" t="s">
        <v>406</v>
      </c>
      <c r="AW14" s="169" t="s">
        <v>407</v>
      </c>
      <c r="AX14" s="181" t="s">
        <v>432</v>
      </c>
      <c r="AY14" s="171" t="s">
        <v>429</v>
      </c>
      <c r="AZ14" s="168" t="s">
        <v>437</v>
      </c>
      <c r="BA14" s="169" t="s">
        <v>438</v>
      </c>
      <c r="BB14" s="166" t="s">
        <v>452</v>
      </c>
      <c r="BC14" s="166" t="s">
        <v>453</v>
      </c>
      <c r="BD14" s="166" t="s">
        <v>463</v>
      </c>
      <c r="BE14" s="166" t="s">
        <v>464</v>
      </c>
    </row>
    <row r="15" spans="2:66" ht="15" thickBot="1" x14ac:dyDescent="0.35">
      <c r="B15" s="306" t="s">
        <v>28</v>
      </c>
      <c r="C15" s="306"/>
      <c r="D15" s="317"/>
      <c r="E15" s="63">
        <v>2.2000000000000002</v>
      </c>
      <c r="F15" s="226" t="s">
        <v>11</v>
      </c>
      <c r="G15" s="222">
        <v>13</v>
      </c>
      <c r="H15" s="211" t="s">
        <v>30</v>
      </c>
      <c r="I15" s="198" t="s">
        <v>57</v>
      </c>
      <c r="J15" s="107" t="s">
        <v>30</v>
      </c>
      <c r="K15" s="140" t="s">
        <v>68</v>
      </c>
      <c r="L15" s="50"/>
      <c r="M15" s="51"/>
      <c r="V15" s="168" t="s">
        <v>168</v>
      </c>
      <c r="W15" s="169" t="s">
        <v>167</v>
      </c>
      <c r="X15" s="168" t="s">
        <v>184</v>
      </c>
      <c r="Y15" s="169" t="s">
        <v>179</v>
      </c>
      <c r="AD15" s="168" t="s">
        <v>198</v>
      </c>
      <c r="AE15" s="169" t="s">
        <v>199</v>
      </c>
      <c r="AF15" s="183" t="s">
        <v>293</v>
      </c>
      <c r="AG15" s="178" t="s">
        <v>294</v>
      </c>
      <c r="AH15" s="167" t="s">
        <v>302</v>
      </c>
      <c r="AI15" s="172" t="s">
        <v>303</v>
      </c>
      <c r="AJ15" s="168" t="s">
        <v>313</v>
      </c>
      <c r="AK15" s="172" t="s">
        <v>314</v>
      </c>
      <c r="AL15" s="168" t="s">
        <v>329</v>
      </c>
      <c r="AM15" s="169" t="s">
        <v>327</v>
      </c>
      <c r="AN15" s="184" t="s">
        <v>30</v>
      </c>
      <c r="AP15" s="170" t="s">
        <v>370</v>
      </c>
      <c r="AQ15" s="180" t="s">
        <v>371</v>
      </c>
      <c r="AR15" s="168" t="s">
        <v>378</v>
      </c>
      <c r="AS15" s="169" t="s">
        <v>379</v>
      </c>
      <c r="AT15" s="170" t="s">
        <v>425</v>
      </c>
      <c r="AU15" s="171" t="s">
        <v>426</v>
      </c>
      <c r="AV15" s="168" t="s">
        <v>408</v>
      </c>
      <c r="AW15" s="169" t="s">
        <v>407</v>
      </c>
      <c r="AX15" s="187" t="s">
        <v>30</v>
      </c>
      <c r="AZ15" s="168" t="s">
        <v>439</v>
      </c>
      <c r="BA15" s="169" t="s">
        <v>440</v>
      </c>
      <c r="BB15" s="166" t="s">
        <v>454</v>
      </c>
      <c r="BC15" s="166" t="s">
        <v>455</v>
      </c>
      <c r="BD15" s="1" t="s">
        <v>465</v>
      </c>
      <c r="BE15" s="166" t="s">
        <v>466</v>
      </c>
    </row>
    <row r="16" spans="2:66" ht="15" thickBot="1" x14ac:dyDescent="0.35">
      <c r="B16" s="306" t="s">
        <v>29</v>
      </c>
      <c r="C16" s="306"/>
      <c r="D16" s="306"/>
      <c r="E16" s="62">
        <f>(IF(N4="V5",E15+0.8,IF(N4="CLASSIC",E15*1.08,IF(N4="TRAMPOLINE",E15*1.05,IF(N4="PLAIN PLASTIC",((SQRT(((E15/2)-0.31)^2+0.85^2))),IF(N4="PLASTIC",((SQRT(((E15/2)-0.06)^2+0.85^2))),IF(N4="PROTECTA",E15+0.8,"-")))))))</f>
        <v>2.3760000000000003</v>
      </c>
      <c r="F16" s="164" t="s">
        <v>11</v>
      </c>
      <c r="G16" s="222">
        <v>14</v>
      </c>
      <c r="H16" s="211" t="s">
        <v>439</v>
      </c>
      <c r="I16" s="198" t="s">
        <v>58</v>
      </c>
      <c r="J16" s="107">
        <f>IF(N4="-","-",IF(N4="ΑΝΕΜΟΘΡΑΥΣΤΗΣ",$E$5*2+2*$E$4,(IF(AND($O$4="KIWI-A",$O$39="MONO"),"-",IF(AND($O$4="KIWI-B",$O$39="MONO"),$E$5,IF(AND($O$4="KIWI-A",$O$39="-"),$E$5,IF(AND($O$4="KIWI-B",$O$39="-"),$E$5,IF(O4="-",$E$5,IF(N4="plain plastic","-",IF(N4="plastic","-","-"))))))))))</f>
        <v>20</v>
      </c>
      <c r="K16" s="140" t="s">
        <v>68</v>
      </c>
      <c r="L16" s="50"/>
      <c r="M16" s="51"/>
      <c r="V16" s="168" t="s">
        <v>170</v>
      </c>
      <c r="W16" s="169" t="s">
        <v>169</v>
      </c>
      <c r="X16" s="170" t="s">
        <v>185</v>
      </c>
      <c r="Y16" s="171" t="s">
        <v>180</v>
      </c>
      <c r="AD16" s="168" t="s">
        <v>200</v>
      </c>
      <c r="AE16" s="169" t="s">
        <v>201</v>
      </c>
      <c r="AF16" s="183" t="s">
        <v>295</v>
      </c>
      <c r="AG16" s="179" t="s">
        <v>296</v>
      </c>
      <c r="AH16" s="181" t="s">
        <v>304</v>
      </c>
      <c r="AI16" s="180" t="s">
        <v>305</v>
      </c>
      <c r="AJ16" s="168" t="s">
        <v>315</v>
      </c>
      <c r="AK16" s="172" t="s">
        <v>316</v>
      </c>
      <c r="AL16" s="168" t="s">
        <v>330</v>
      </c>
      <c r="AM16" s="169" t="s">
        <v>327</v>
      </c>
      <c r="AP16" s="184" t="s">
        <v>30</v>
      </c>
      <c r="AR16" s="168" t="s">
        <v>380</v>
      </c>
      <c r="AS16" s="169" t="s">
        <v>381</v>
      </c>
      <c r="AT16" s="184" t="s">
        <v>30</v>
      </c>
      <c r="AV16" s="168" t="s">
        <v>409</v>
      </c>
      <c r="AW16" s="169" t="s">
        <v>410</v>
      </c>
      <c r="AZ16" s="168" t="s">
        <v>441</v>
      </c>
      <c r="BA16" s="169" t="s">
        <v>442</v>
      </c>
      <c r="BB16" s="166" t="s">
        <v>456</v>
      </c>
      <c r="BC16" s="166" t="s">
        <v>457</v>
      </c>
      <c r="BD16" s="1" t="s">
        <v>467</v>
      </c>
      <c r="BE16" s="166" t="s">
        <v>468</v>
      </c>
    </row>
    <row r="17" spans="2:57" ht="15" thickBot="1" x14ac:dyDescent="0.35">
      <c r="B17" s="306" t="s">
        <v>7</v>
      </c>
      <c r="C17" s="306"/>
      <c r="D17" s="306"/>
      <c r="E17" s="64">
        <f>'ΣΤΟΙΧΕΙΑ ΚΤΗΜΑΤΟΣ'!C16</f>
        <v>100</v>
      </c>
      <c r="F17" s="164" t="s">
        <v>11</v>
      </c>
      <c r="G17" s="222">
        <v>15</v>
      </c>
      <c r="H17" s="211" t="s">
        <v>437</v>
      </c>
      <c r="I17" s="198" t="s">
        <v>59</v>
      </c>
      <c r="J17" s="107">
        <f>IF(N4="-","-",(IF(AND($O$4="KIWI-A",$O$39="MONO"),$E$4+$E$5,IF(AND($O$4="KIWI-B",$O$39="MONO"),$E$4,IF(AND($O$4="KIWI-A",$O$39="-"),$E$4,IF(AND($O$4="KIWI-B",$O$39="-"),$E$4,IF(O4="-",$E$4,IF(N4="plain plastic",$E$5+$E$4,IF(N4="plastic",$E$5+$E$4,"-")))))))))</f>
        <v>10</v>
      </c>
      <c r="K17" s="140" t="s">
        <v>68</v>
      </c>
      <c r="L17" s="50"/>
      <c r="M17" s="51"/>
      <c r="V17" s="168" t="s">
        <v>172</v>
      </c>
      <c r="W17" s="169" t="s">
        <v>171</v>
      </c>
      <c r="Y17" s="185" t="s">
        <v>30</v>
      </c>
      <c r="AD17" s="168" t="s">
        <v>202</v>
      </c>
      <c r="AE17" s="169" t="s">
        <v>203</v>
      </c>
      <c r="AF17" s="170" t="s">
        <v>423</v>
      </c>
      <c r="AG17" s="171" t="s">
        <v>424</v>
      </c>
      <c r="AH17" s="187" t="s">
        <v>30</v>
      </c>
      <c r="AJ17" s="168" t="s">
        <v>317</v>
      </c>
      <c r="AK17" s="172" t="s">
        <v>318</v>
      </c>
      <c r="AL17" s="168" t="s">
        <v>331</v>
      </c>
      <c r="AM17" s="169" t="s">
        <v>332</v>
      </c>
      <c r="AR17" s="168" t="s">
        <v>382</v>
      </c>
      <c r="AS17" s="169" t="s">
        <v>383</v>
      </c>
      <c r="AV17" s="168" t="s">
        <v>411</v>
      </c>
      <c r="AW17" s="169" t="s">
        <v>412</v>
      </c>
      <c r="AZ17" s="170" t="s">
        <v>443</v>
      </c>
      <c r="BA17" s="171" t="s">
        <v>444</v>
      </c>
      <c r="BB17" s="188" t="s">
        <v>30</v>
      </c>
      <c r="BD17" s="1" t="s">
        <v>469</v>
      </c>
      <c r="BE17" s="166" t="s">
        <v>470</v>
      </c>
    </row>
    <row r="18" spans="2:57" ht="14.4" customHeight="1" thickBot="1" x14ac:dyDescent="0.35">
      <c r="B18" s="318" t="s">
        <v>31</v>
      </c>
      <c r="C18" s="319"/>
      <c r="D18" s="320"/>
      <c r="E18" s="62">
        <f>IF(E16="-","-",IF(N4="PLAIN PLASTIC",2*(E11+1)*(E17+10)+$E$20,IF(N4="PLASTIC",2*(E11+1)*(E17+10)+$E$20,(E11+1)*(E17+10)+$E$20)))</f>
        <v>5160</v>
      </c>
      <c r="F18" s="164" t="s">
        <v>11</v>
      </c>
      <c r="G18" s="222">
        <v>16</v>
      </c>
      <c r="H18" s="211" t="s">
        <v>313</v>
      </c>
      <c r="I18" s="198" t="s">
        <v>150</v>
      </c>
      <c r="J18" s="107">
        <f>IF(J5="-","-",J5)</f>
        <v>30</v>
      </c>
      <c r="K18" s="140" t="s">
        <v>68</v>
      </c>
      <c r="L18" s="50"/>
      <c r="M18" s="51"/>
      <c r="V18" s="170" t="s">
        <v>174</v>
      </c>
      <c r="W18" s="171" t="s">
        <v>173</v>
      </c>
      <c r="AD18" s="168" t="s">
        <v>204</v>
      </c>
      <c r="AE18" s="169" t="s">
        <v>205</v>
      </c>
      <c r="AF18" s="166" t="s">
        <v>189</v>
      </c>
      <c r="AG18" s="172" t="s">
        <v>190</v>
      </c>
      <c r="AJ18" s="168" t="s">
        <v>319</v>
      </c>
      <c r="AK18" s="172" t="s">
        <v>320</v>
      </c>
      <c r="AL18" s="168" t="s">
        <v>333</v>
      </c>
      <c r="AM18" s="169" t="s">
        <v>334</v>
      </c>
      <c r="AR18" s="168" t="s">
        <v>384</v>
      </c>
      <c r="AS18" s="169" t="s">
        <v>385</v>
      </c>
      <c r="AV18" s="168" t="s">
        <v>413</v>
      </c>
      <c r="AW18" s="169" t="s">
        <v>414</v>
      </c>
      <c r="AZ18" s="184" t="s">
        <v>30</v>
      </c>
      <c r="BD18" s="1" t="s">
        <v>471</v>
      </c>
      <c r="BE18" s="166" t="s">
        <v>472</v>
      </c>
    </row>
    <row r="19" spans="2:57" ht="15" thickBot="1" x14ac:dyDescent="0.35">
      <c r="B19" s="306" t="s">
        <v>32</v>
      </c>
      <c r="C19" s="306"/>
      <c r="D19" s="306"/>
      <c r="E19" s="65">
        <f>IF(E16="-","-",CEILING(E16,0.1))</f>
        <v>2.4000000000000004</v>
      </c>
      <c r="F19" s="164" t="s">
        <v>11</v>
      </c>
      <c r="G19" s="222">
        <v>17</v>
      </c>
      <c r="H19" s="211" t="s">
        <v>315</v>
      </c>
      <c r="I19" s="198" t="s">
        <v>151</v>
      </c>
      <c r="J19" s="111">
        <f>IF(N4="-","-",J8)</f>
        <v>30</v>
      </c>
      <c r="K19" s="141" t="s">
        <v>68</v>
      </c>
      <c r="L19" s="54"/>
      <c r="M19" s="55"/>
      <c r="W19" s="185" t="s">
        <v>30</v>
      </c>
      <c r="AD19" s="168" t="s">
        <v>206</v>
      </c>
      <c r="AE19" s="169" t="s">
        <v>207</v>
      </c>
      <c r="AF19" s="190" t="s">
        <v>30</v>
      </c>
      <c r="AJ19" s="170" t="s">
        <v>321</v>
      </c>
      <c r="AK19" s="180" t="s">
        <v>320</v>
      </c>
      <c r="AL19" s="168" t="s">
        <v>335</v>
      </c>
      <c r="AM19" s="169" t="s">
        <v>336</v>
      </c>
      <c r="AR19" s="168" t="s">
        <v>386</v>
      </c>
      <c r="AS19" s="169" t="s">
        <v>387</v>
      </c>
      <c r="AV19" s="168" t="s">
        <v>415</v>
      </c>
      <c r="AW19" s="169" t="s">
        <v>416</v>
      </c>
      <c r="BD19" s="1" t="s">
        <v>473</v>
      </c>
      <c r="BE19" s="166" t="s">
        <v>474</v>
      </c>
    </row>
    <row r="20" spans="2:57" ht="16.2" x14ac:dyDescent="0.3">
      <c r="B20" s="306" t="s">
        <v>105</v>
      </c>
      <c r="C20" s="306"/>
      <c r="D20" s="306"/>
      <c r="E20" s="59">
        <v>100</v>
      </c>
      <c r="F20" s="164" t="s">
        <v>11</v>
      </c>
      <c r="G20" s="222">
        <v>18</v>
      </c>
      <c r="H20" s="211" t="s">
        <v>280</v>
      </c>
      <c r="I20" s="197" t="s">
        <v>62</v>
      </c>
      <c r="J20" s="110">
        <f>IF(N4="-","-",IF(N4="PLAIN PLASTIC","-",CEILING(($E$19*$E$18),100)))</f>
        <v>12400</v>
      </c>
      <c r="K20" s="142" t="s">
        <v>96</v>
      </c>
      <c r="L20" s="48"/>
      <c r="M20" s="49"/>
      <c r="AD20" s="168" t="s">
        <v>208</v>
      </c>
      <c r="AE20" s="169" t="s">
        <v>209</v>
      </c>
      <c r="AJ20" s="184" t="s">
        <v>30</v>
      </c>
      <c r="AL20" s="168" t="s">
        <v>337</v>
      </c>
      <c r="AM20" s="169" t="s">
        <v>327</v>
      </c>
      <c r="AR20" s="168" t="s">
        <v>388</v>
      </c>
      <c r="AS20" s="169" t="s">
        <v>389</v>
      </c>
      <c r="AV20" s="168" t="s">
        <v>417</v>
      </c>
      <c r="AW20" s="169" t="s">
        <v>418</v>
      </c>
      <c r="BD20" s="1" t="s">
        <v>475</v>
      </c>
      <c r="BE20" s="166" t="s">
        <v>476</v>
      </c>
    </row>
    <row r="21" spans="2:57" x14ac:dyDescent="0.3">
      <c r="B21" s="57" t="s">
        <v>33</v>
      </c>
      <c r="C21" s="319" t="s">
        <v>34</v>
      </c>
      <c r="D21" s="319"/>
      <c r="E21" s="319"/>
      <c r="F21" s="319"/>
      <c r="G21" s="222">
        <v>19</v>
      </c>
      <c r="H21" s="211" t="s">
        <v>388</v>
      </c>
      <c r="I21" s="198" t="s">
        <v>63</v>
      </c>
      <c r="J21" s="107">
        <f>IF(N4="-","-",IF(N4="PLAIN PLASTIC","-",CEILING($E$18,200)))</f>
        <v>5200</v>
      </c>
      <c r="K21" s="140" t="s">
        <v>68</v>
      </c>
      <c r="L21" s="50"/>
      <c r="M21" s="51"/>
      <c r="AD21" s="168" t="s">
        <v>210</v>
      </c>
      <c r="AE21" s="169" t="s">
        <v>211</v>
      </c>
      <c r="AL21" s="168" t="s">
        <v>338</v>
      </c>
      <c r="AM21" s="169" t="s">
        <v>339</v>
      </c>
      <c r="AR21" s="168" t="s">
        <v>390</v>
      </c>
      <c r="AS21" s="169" t="s">
        <v>391</v>
      </c>
      <c r="AV21" s="168" t="s">
        <v>419</v>
      </c>
      <c r="AW21" s="169" t="s">
        <v>420</v>
      </c>
      <c r="BD21" s="166" t="s">
        <v>477</v>
      </c>
      <c r="BE21" s="166" t="s">
        <v>478</v>
      </c>
    </row>
    <row r="22" spans="2:57" ht="15" thickBot="1" x14ac:dyDescent="0.35">
      <c r="B22" s="306" t="s">
        <v>35</v>
      </c>
      <c r="C22" s="306"/>
      <c r="D22" s="306"/>
      <c r="E22" s="59">
        <v>6</v>
      </c>
      <c r="F22" s="164" t="s">
        <v>11</v>
      </c>
      <c r="G22" s="222">
        <v>20</v>
      </c>
      <c r="H22" s="211" t="s">
        <v>386</v>
      </c>
      <c r="I22" s="198" t="s">
        <v>103</v>
      </c>
      <c r="J22" s="107">
        <f>IF(N4="-","-",IF(N4="PLAIN PLASTIC","-",(IF(N4="TRAMPOLINE","-",CEILING($E$11*$E$17/2.5,200)))))</f>
        <v>1800</v>
      </c>
      <c r="K22" s="140" t="s">
        <v>68</v>
      </c>
      <c r="L22" s="50"/>
      <c r="M22" s="51"/>
      <c r="AD22" s="168" t="s">
        <v>212</v>
      </c>
      <c r="AE22" s="169" t="s">
        <v>213</v>
      </c>
      <c r="AL22" s="168" t="s">
        <v>340</v>
      </c>
      <c r="AM22" s="169" t="s">
        <v>339</v>
      </c>
      <c r="AR22" s="170" t="s">
        <v>392</v>
      </c>
      <c r="AS22" s="171" t="s">
        <v>393</v>
      </c>
      <c r="AV22" s="170" t="s">
        <v>421</v>
      </c>
      <c r="AW22" s="171" t="s">
        <v>422</v>
      </c>
      <c r="BD22" s="189" t="s">
        <v>30</v>
      </c>
    </row>
    <row r="23" spans="2:57" x14ac:dyDescent="0.3">
      <c r="B23" s="306" t="s">
        <v>36</v>
      </c>
      <c r="C23" s="306"/>
      <c r="D23" s="306"/>
      <c r="E23" s="59">
        <v>10</v>
      </c>
      <c r="F23" s="164" t="s">
        <v>11</v>
      </c>
      <c r="G23" s="222">
        <v>21</v>
      </c>
      <c r="H23" s="211" t="s">
        <v>287</v>
      </c>
      <c r="I23" s="198" t="s">
        <v>64</v>
      </c>
      <c r="J23" s="107">
        <f>IF(N4="-","-",IF(N4="PLAIN PLASTIC","-",IF(N4="PROTECTA",CEILING((($E$17*($E$11+1))/1.5),25),IF(N4="TRAMPOLINE",CEILING((($E$17*($E$11+1))/1.5),25),CEILING((($E$17/$E22)*($E$11+1)*3),25)))))</f>
        <v>2300</v>
      </c>
      <c r="K23" s="140" t="s">
        <v>68</v>
      </c>
      <c r="L23" s="50"/>
      <c r="M23" s="51"/>
      <c r="AD23" s="168" t="s">
        <v>214</v>
      </c>
      <c r="AE23" s="169" t="s">
        <v>215</v>
      </c>
      <c r="AL23" s="168" t="s">
        <v>341</v>
      </c>
      <c r="AM23" s="169" t="s">
        <v>342</v>
      </c>
      <c r="AR23" s="166" t="s">
        <v>446</v>
      </c>
      <c r="AS23" s="166" t="s">
        <v>447</v>
      </c>
      <c r="AV23" s="184" t="s">
        <v>30</v>
      </c>
    </row>
    <row r="24" spans="2:57" ht="15" thickBot="1" x14ac:dyDescent="0.35">
      <c r="B24" s="56"/>
      <c r="C24" s="56"/>
      <c r="D24" s="56"/>
      <c r="E24" s="56"/>
      <c r="F24" s="56"/>
      <c r="G24" s="222">
        <v>22</v>
      </c>
      <c r="H24" s="212" t="s">
        <v>186</v>
      </c>
      <c r="I24" s="199" t="s">
        <v>65</v>
      </c>
      <c r="J24" s="111">
        <f>IF(N4="-","-",IF(N4="ΑΝΕΜΟΘΡΑΥΣΤΗΣ","-",IF(N4="PLAIN PLASTIC","-",2*($E$11+1))))</f>
        <v>92</v>
      </c>
      <c r="K24" s="141" t="s">
        <v>68</v>
      </c>
      <c r="L24" s="54"/>
      <c r="M24" s="55"/>
      <c r="AD24" s="168" t="s">
        <v>216</v>
      </c>
      <c r="AE24" s="169" t="s">
        <v>217</v>
      </c>
      <c r="AL24" s="168" t="s">
        <v>343</v>
      </c>
      <c r="AM24" s="169" t="s">
        <v>342</v>
      </c>
      <c r="AR24" s="166" t="s">
        <v>480</v>
      </c>
      <c r="AS24" s="166" t="s">
        <v>481</v>
      </c>
    </row>
    <row r="25" spans="2:57" ht="15" customHeight="1" x14ac:dyDescent="0.3">
      <c r="B25" s="57" t="s">
        <v>37</v>
      </c>
      <c r="C25" s="322" t="s">
        <v>38</v>
      </c>
      <c r="D25" s="322"/>
      <c r="E25" s="322"/>
      <c r="F25" s="322"/>
      <c r="G25" s="222">
        <v>23</v>
      </c>
      <c r="H25" s="210" t="s">
        <v>30</v>
      </c>
      <c r="I25" s="202" t="s">
        <v>99</v>
      </c>
      <c r="J25" s="35" t="str">
        <f>IF(N4="V5",CEILING(($E$17*($E$11)*2/3),100),IF(N4="TRAMPOLINE",CEILING(($E$11*$E$17*2/3),100),IF(N4="PROTECTA",CEILING(($E$17*($E$11+1)*3/$E$22)*2,100),"-")))</f>
        <v>-</v>
      </c>
      <c r="K25" s="139" t="s">
        <v>68</v>
      </c>
      <c r="L25" s="326" t="s">
        <v>143</v>
      </c>
      <c r="M25" s="327"/>
      <c r="AD25" s="168" t="s">
        <v>218</v>
      </c>
      <c r="AE25" s="169" t="s">
        <v>219</v>
      </c>
      <c r="AL25" s="168" t="s">
        <v>344</v>
      </c>
      <c r="AM25" s="169" t="s">
        <v>342</v>
      </c>
      <c r="AR25" s="187" t="s">
        <v>30</v>
      </c>
    </row>
    <row r="26" spans="2:57" ht="15.75" customHeight="1" thickBot="1" x14ac:dyDescent="0.35">
      <c r="B26" s="306" t="s">
        <v>39</v>
      </c>
      <c r="C26" s="306"/>
      <c r="D26" s="306"/>
      <c r="E26" s="59">
        <v>5</v>
      </c>
      <c r="F26" s="164" t="s">
        <v>11</v>
      </c>
      <c r="G26" s="222">
        <v>24</v>
      </c>
      <c r="H26" s="211" t="s">
        <v>30</v>
      </c>
      <c r="I26" s="203" t="s">
        <v>100</v>
      </c>
      <c r="J26" s="36" t="str">
        <f>IF((N4="V5"),CEILING(($E$17*($E$11)*2/3),100),IF(N4="TRAMPOLINE",CEILING((($E$11*$E$17*4/3)),100),IF((N4="PROTECTA"),CEILING(($E$17*($E$11)*3/$E$22)*4,100),"-")))</f>
        <v>-</v>
      </c>
      <c r="K26" s="140" t="s">
        <v>68</v>
      </c>
      <c r="L26" s="328"/>
      <c r="M26" s="329"/>
      <c r="AD26" s="168" t="s">
        <v>220</v>
      </c>
      <c r="AE26" s="169" t="s">
        <v>221</v>
      </c>
      <c r="AL26" s="168" t="s">
        <v>345</v>
      </c>
      <c r="AM26" s="169" t="s">
        <v>342</v>
      </c>
    </row>
    <row r="27" spans="2:57" ht="18.75" customHeight="1" thickBot="1" x14ac:dyDescent="0.35">
      <c r="B27" s="306" t="s">
        <v>40</v>
      </c>
      <c r="C27" s="306"/>
      <c r="D27" s="306"/>
      <c r="E27" s="59">
        <v>4</v>
      </c>
      <c r="F27" s="164" t="s">
        <v>11</v>
      </c>
      <c r="G27" s="222">
        <v>25</v>
      </c>
      <c r="H27" s="213" t="s">
        <v>30</v>
      </c>
      <c r="I27" s="204" t="s">
        <v>101</v>
      </c>
      <c r="J27" s="37" t="str">
        <f>IF((N4="V5"),CEILING(($E$17*($E$11)*1/3),100),IF((N4="TRAMPOLINE"),CEILING((($E$17*($E$11))*2/3),100),IF(N4="PROTECTA",CEILING(($E$17*($E$11+1)*3/$E$22)*2,100),"-")))</f>
        <v>-</v>
      </c>
      <c r="K27" s="141" t="s">
        <v>68</v>
      </c>
      <c r="L27" s="154" t="str">
        <f>IF((N4="V5"),0.7*$J$27,IF((N4="TRAMPOLINE"),($E$15/2)*0.8*$J$27,IF(N4="PROTECTA",($E$15/2)*0.8*$J$27,"-")))</f>
        <v>-</v>
      </c>
      <c r="M27" s="153" t="s">
        <v>67</v>
      </c>
      <c r="AD27" s="168" t="s">
        <v>222</v>
      </c>
      <c r="AE27" s="169" t="s">
        <v>223</v>
      </c>
      <c r="AL27" s="168" t="s">
        <v>346</v>
      </c>
      <c r="AM27" s="169" t="s">
        <v>347</v>
      </c>
    </row>
    <row r="28" spans="2:57" ht="15.75" customHeight="1" x14ac:dyDescent="0.3">
      <c r="B28" s="62" t="s">
        <v>72</v>
      </c>
      <c r="C28" s="62"/>
      <c r="D28" s="62"/>
      <c r="E28" s="64" t="s">
        <v>30</v>
      </c>
      <c r="F28" s="164" t="s">
        <v>11</v>
      </c>
      <c r="G28" s="222">
        <v>26</v>
      </c>
      <c r="H28" s="210" t="s">
        <v>30</v>
      </c>
      <c r="I28" s="205" t="s">
        <v>120</v>
      </c>
      <c r="J28" s="32" t="str">
        <f>IF(E28="-","-",IF(K28="m.",E28,IF(K28="kg.",CEILING(E28/8.3,20))))</f>
        <v>-</v>
      </c>
      <c r="K28" s="143" t="s">
        <v>67</v>
      </c>
      <c r="L28" s="38" t="str">
        <f>IF(J28="-","-",IF(K28="kg.",J28,CEILING((J28/8.3),20)))</f>
        <v>-</v>
      </c>
      <c r="M28" s="39" t="s">
        <v>27</v>
      </c>
      <c r="AD28" s="168" t="s">
        <v>224</v>
      </c>
      <c r="AE28" s="169" t="s">
        <v>225</v>
      </c>
      <c r="AL28" s="168" t="s">
        <v>348</v>
      </c>
      <c r="AM28" s="169" t="s">
        <v>349</v>
      </c>
    </row>
    <row r="29" spans="2:57" x14ac:dyDescent="0.3">
      <c r="B29" s="325"/>
      <c r="C29" s="325"/>
      <c r="D29" s="325"/>
      <c r="E29" s="152"/>
      <c r="F29" s="151"/>
      <c r="G29" s="222">
        <v>27</v>
      </c>
      <c r="H29" s="211" t="s">
        <v>30</v>
      </c>
      <c r="I29" s="206" t="s">
        <v>88</v>
      </c>
      <c r="J29" s="33" t="str">
        <f>IF(AND(N4="PLASTIC",K29="m."),$E$11*E17+E11,IF(AND(N4="plastic",K29="kg."),CEILING(($E$11*E17+E11)/9.81,20),IF(AND(N4="PLAIN PLASTIC",K29="m."),$E$11*E17+E11,IF(AND(N4="plain plastic",K29="kg."),CEILING(($E$11*E17+E11)/9.81,20),"-"))))</f>
        <v>-</v>
      </c>
      <c r="K29" s="144" t="s">
        <v>67</v>
      </c>
      <c r="L29" s="40" t="str">
        <f>IF(J29="-","-",IF(K29="kg.",J29,CEILING((J29/10),20)))</f>
        <v>-</v>
      </c>
      <c r="M29" s="41" t="s">
        <v>27</v>
      </c>
      <c r="AD29" s="168" t="s">
        <v>226</v>
      </c>
      <c r="AE29" s="169" t="s">
        <v>227</v>
      </c>
      <c r="AL29" s="168" t="s">
        <v>350</v>
      </c>
      <c r="AM29" s="169" t="s">
        <v>351</v>
      </c>
    </row>
    <row r="30" spans="2:57" ht="15" thickBot="1" x14ac:dyDescent="0.35">
      <c r="B30" s="57" t="s">
        <v>74</v>
      </c>
      <c r="C30" s="321" t="s">
        <v>75</v>
      </c>
      <c r="D30" s="321"/>
      <c r="E30" s="321"/>
      <c r="F30" s="321"/>
      <c r="G30" s="222">
        <v>28</v>
      </c>
      <c r="H30" s="211" t="s">
        <v>30</v>
      </c>
      <c r="I30" s="206" t="s">
        <v>89</v>
      </c>
      <c r="J30" s="33" t="str">
        <f>IF(N4="PLAIN PLASTIC",E6,IF(N4="PLASTIC",E6,"-"))</f>
        <v>-</v>
      </c>
      <c r="K30" s="144" t="s">
        <v>68</v>
      </c>
      <c r="L30" s="42"/>
      <c r="M30" s="43"/>
      <c r="AD30" s="168" t="s">
        <v>228</v>
      </c>
      <c r="AE30" s="169" t="s">
        <v>229</v>
      </c>
      <c r="AL30" s="168" t="s">
        <v>352</v>
      </c>
      <c r="AM30" s="169" t="s">
        <v>353</v>
      </c>
    </row>
    <row r="31" spans="2:57" ht="15" customHeight="1" x14ac:dyDescent="0.3">
      <c r="B31" s="313" t="s">
        <v>19</v>
      </c>
      <c r="C31" s="314"/>
      <c r="D31" s="314"/>
      <c r="E31" s="58">
        <v>12</v>
      </c>
      <c r="F31" s="223" t="s">
        <v>20</v>
      </c>
      <c r="G31" s="222">
        <v>29</v>
      </c>
      <c r="H31" s="214" t="s">
        <v>30</v>
      </c>
      <c r="I31" s="206" t="s">
        <v>90</v>
      </c>
      <c r="J31" s="33" t="str">
        <f>IF(N4="PLAIN PLASTIC",E6,IF(N4="PLASTIC",E6,"-"))</f>
        <v>-</v>
      </c>
      <c r="K31" s="144" t="s">
        <v>68</v>
      </c>
      <c r="L31" s="299" t="s">
        <v>91</v>
      </c>
      <c r="M31" s="300"/>
      <c r="AD31" s="168" t="s">
        <v>230</v>
      </c>
      <c r="AE31" s="169" t="s">
        <v>231</v>
      </c>
      <c r="AL31" s="168" t="s">
        <v>354</v>
      </c>
      <c r="AM31" s="169" t="s">
        <v>342</v>
      </c>
    </row>
    <row r="32" spans="2:57" ht="15" thickBot="1" x14ac:dyDescent="0.35">
      <c r="B32" s="305" t="s">
        <v>21</v>
      </c>
      <c r="C32" s="306"/>
      <c r="D32" s="306"/>
      <c r="E32" s="59">
        <v>12</v>
      </c>
      <c r="F32" s="164" t="s">
        <v>20</v>
      </c>
      <c r="G32" s="222">
        <v>30</v>
      </c>
      <c r="H32" s="211" t="s">
        <v>30</v>
      </c>
      <c r="I32" s="206" t="s">
        <v>92</v>
      </c>
      <c r="J32" s="33" t="str">
        <f>IF(N4="PLASTIC",CEILING(4*E17*(1+E11),100),IF(N4="PLAIN PLASTIC",CEILING(4*E17*(1+E11),100),"-"))</f>
        <v>-</v>
      </c>
      <c r="K32" s="144" t="s">
        <v>68</v>
      </c>
      <c r="L32" s="301"/>
      <c r="M32" s="302"/>
      <c r="AD32" s="168" t="s">
        <v>232</v>
      </c>
      <c r="AE32" s="169" t="s">
        <v>233</v>
      </c>
      <c r="AL32" s="170" t="s">
        <v>355</v>
      </c>
      <c r="AM32" s="171" t="s">
        <v>356</v>
      </c>
    </row>
    <row r="33" spans="1:38" ht="14.4" customHeight="1" thickBot="1" x14ac:dyDescent="0.35">
      <c r="B33" s="305" t="s">
        <v>22</v>
      </c>
      <c r="C33" s="306"/>
      <c r="D33" s="306"/>
      <c r="E33" s="59">
        <v>12</v>
      </c>
      <c r="F33" s="164" t="s">
        <v>20</v>
      </c>
      <c r="G33" s="222">
        <v>31</v>
      </c>
      <c r="H33" s="211" t="s">
        <v>30</v>
      </c>
      <c r="I33" s="206" t="s">
        <v>93</v>
      </c>
      <c r="J33" s="33" t="str">
        <f>IF(N4="PLASTIC",CEILING(5*E17*(1+E11),100),IF(N4="PLAIN PLASTIC",CEILING(5*E17*(1+E11),100),"-"))</f>
        <v>-</v>
      </c>
      <c r="K33" s="144" t="s">
        <v>68</v>
      </c>
      <c r="L33" s="303"/>
      <c r="M33" s="304"/>
      <c r="AD33" s="168" t="s">
        <v>234</v>
      </c>
      <c r="AE33" s="169" t="s">
        <v>235</v>
      </c>
      <c r="AL33" s="184" t="s">
        <v>30</v>
      </c>
    </row>
    <row r="34" spans="1:38" ht="15" thickBot="1" x14ac:dyDescent="0.35">
      <c r="B34" s="295" t="s">
        <v>23</v>
      </c>
      <c r="C34" s="296"/>
      <c r="D34" s="296"/>
      <c r="E34" s="60">
        <f>SUM(E31:E33)</f>
        <v>36</v>
      </c>
      <c r="F34" s="224" t="s">
        <v>20</v>
      </c>
      <c r="G34" s="222">
        <v>32</v>
      </c>
      <c r="H34" s="211" t="s">
        <v>30</v>
      </c>
      <c r="I34" s="206" t="s">
        <v>94</v>
      </c>
      <c r="J34" s="33" t="str">
        <f>IF(N4="PLASTIC",CEILING(E18*1.2/2,200),IF(N4="PLAIN PLASTIC",CEILING(E18*1.2/2,200),"-"))</f>
        <v>-</v>
      </c>
      <c r="K34" s="144" t="s">
        <v>67</v>
      </c>
      <c r="L34" s="44"/>
      <c r="M34" s="45"/>
      <c r="AD34" s="168" t="s">
        <v>236</v>
      </c>
      <c r="AE34" s="169" t="s">
        <v>237</v>
      </c>
    </row>
    <row r="35" spans="1:38" ht="16.8" thickBot="1" x14ac:dyDescent="0.35">
      <c r="B35" s="56"/>
      <c r="C35" s="56"/>
      <c r="D35" s="56"/>
      <c r="E35" s="56"/>
      <c r="F35" s="56"/>
      <c r="G35" s="222">
        <v>33</v>
      </c>
      <c r="H35" s="211" t="s">
        <v>30</v>
      </c>
      <c r="I35" s="206" t="s">
        <v>141</v>
      </c>
      <c r="J35" s="33" t="str">
        <f>IF(N4="PLASTIC",CEILING(E19*E18,100),IF(N4="PLAIN PLASTIC",CEILING(E19*E18,100),"-"))</f>
        <v>-</v>
      </c>
      <c r="K35" s="144" t="s">
        <v>96</v>
      </c>
      <c r="L35" s="40"/>
      <c r="M35" s="41"/>
      <c r="AD35" s="168" t="s">
        <v>238</v>
      </c>
      <c r="AE35" s="169" t="s">
        <v>239</v>
      </c>
    </row>
    <row r="36" spans="1:38" ht="17.25" customHeight="1" thickBot="1" x14ac:dyDescent="0.35">
      <c r="B36" s="307" t="s">
        <v>24</v>
      </c>
      <c r="C36" s="308"/>
      <c r="D36" s="308"/>
      <c r="E36" s="61">
        <v>100</v>
      </c>
      <c r="F36" s="225" t="s">
        <v>20</v>
      </c>
      <c r="G36" s="222">
        <v>34</v>
      </c>
      <c r="H36" s="211" t="s">
        <v>30</v>
      </c>
      <c r="I36" s="206" t="s">
        <v>142</v>
      </c>
      <c r="J36" s="33" t="str">
        <f>IF(N4="PLAIN PLASTIC",CEILING(E18*0.5,100),IF(N4="PLASTIC",CEILING(E18*0.5,100),"-"))</f>
        <v>-</v>
      </c>
      <c r="K36" s="144" t="s">
        <v>67</v>
      </c>
      <c r="L36" s="40"/>
      <c r="M36" s="41"/>
      <c r="AD36" s="168" t="s">
        <v>240</v>
      </c>
      <c r="AE36" s="169" t="s">
        <v>241</v>
      </c>
    </row>
    <row r="37" spans="1:38" x14ac:dyDescent="0.3">
      <c r="A37" s="27" t="s">
        <v>77</v>
      </c>
      <c r="B37" s="292" t="s">
        <v>106</v>
      </c>
      <c r="C37" s="293"/>
      <c r="D37" s="294"/>
      <c r="E37" s="56"/>
      <c r="F37" s="56"/>
      <c r="G37" s="222">
        <v>35</v>
      </c>
      <c r="H37" s="211" t="s">
        <v>30</v>
      </c>
      <c r="I37" s="206" t="s">
        <v>98</v>
      </c>
      <c r="J37" s="33" t="str">
        <f>IF(N4="PLASTIC",CEILING(E11*E17/1.2,200),IF(N4="PLAIN PLASTIC",CEILING(E11*E17/1.2,200),"-"))</f>
        <v>-</v>
      </c>
      <c r="K37" s="144" t="s">
        <v>68</v>
      </c>
      <c r="L37" s="40"/>
      <c r="M37" s="41"/>
      <c r="AD37" s="168" t="s">
        <v>242</v>
      </c>
      <c r="AE37" s="169" t="s">
        <v>241</v>
      </c>
    </row>
    <row r="38" spans="1:38" ht="15" thickBot="1" x14ac:dyDescent="0.35">
      <c r="A38" s="28" t="s">
        <v>78</v>
      </c>
      <c r="B38" s="333" t="s">
        <v>107</v>
      </c>
      <c r="C38" s="334"/>
      <c r="D38" s="335"/>
      <c r="E38" s="56"/>
      <c r="F38" s="56"/>
      <c r="G38" s="222">
        <v>36</v>
      </c>
      <c r="H38" s="213" t="s">
        <v>30</v>
      </c>
      <c r="I38" s="207" t="s">
        <v>71</v>
      </c>
      <c r="J38" s="34" t="str">
        <f>IF(N4="PLASTIC",E5,IF(N4="PLAIN PLASTIC",E5,"-"))</f>
        <v>-</v>
      </c>
      <c r="K38" s="145" t="s">
        <v>68</v>
      </c>
      <c r="L38" s="46"/>
      <c r="M38" s="47"/>
      <c r="AD38" s="168" t="s">
        <v>243</v>
      </c>
      <c r="AE38" s="169" t="s">
        <v>244</v>
      </c>
    </row>
    <row r="39" spans="1:38" ht="15.6" thickTop="1" thickBot="1" x14ac:dyDescent="0.35">
      <c r="A39" s="29" t="s">
        <v>79</v>
      </c>
      <c r="B39" s="331" t="s">
        <v>30</v>
      </c>
      <c r="C39" s="321"/>
      <c r="D39" s="332"/>
      <c r="E39" s="56"/>
      <c r="F39" s="56"/>
      <c r="G39" s="222">
        <v>37</v>
      </c>
      <c r="H39" s="210" t="s">
        <v>30</v>
      </c>
      <c r="I39" s="197" t="s">
        <v>152</v>
      </c>
      <c r="J39" s="115" t="str">
        <f>IF(AND($O$4="KIWI-A",$O$39="MONO"),"-",IF(AND($O$4="KIWI-B",$O$39="MONO"),"-",IF(AND($O$4="KIWI-A",O39="-"),$E$33,IF(AND($O$4="KIWI-B",$O$39="-"),$E$33+$E$32,"-"))))</f>
        <v>-</v>
      </c>
      <c r="K39" s="146" t="s">
        <v>68</v>
      </c>
      <c r="M39" s="297" t="s">
        <v>80</v>
      </c>
      <c r="N39" s="298"/>
      <c r="O39" s="131" t="s">
        <v>30</v>
      </c>
      <c r="AD39" s="168" t="s">
        <v>245</v>
      </c>
      <c r="AE39" s="169" t="s">
        <v>246</v>
      </c>
    </row>
    <row r="40" spans="1:38" ht="15.6" thickTop="1" thickBot="1" x14ac:dyDescent="0.35">
      <c r="B40" s="56"/>
      <c r="C40" s="56"/>
      <c r="D40" s="56"/>
      <c r="E40" s="56"/>
      <c r="F40" s="56"/>
      <c r="G40" s="222">
        <v>38</v>
      </c>
      <c r="H40" s="211" t="s">
        <v>30</v>
      </c>
      <c r="I40" s="198" t="s">
        <v>117</v>
      </c>
      <c r="J40" s="117" t="str">
        <f>IF(AND($O$4="KIWI-A",$O$39="MONO"),"-",IF(AND($O$4="KIWI-B",$O$39="MONO"),"-",IF(AND($O$4="KIWI-A",O39="-"),$E$33,IF(AND($O$4="KIWI-B",$O$39="-"),$E$33+$E$32,"-"))))</f>
        <v>-</v>
      </c>
      <c r="K40" s="147" t="s">
        <v>68</v>
      </c>
      <c r="L40" s="119"/>
      <c r="M40" s="150"/>
      <c r="N40" s="149" t="str">
        <f>IF(O40="KIWI-A","ΚΡΕΒΑΤΙΝΑ",IF(O40="KIWI-B","ΠΕΡΓΚΟΛΑ","-"))</f>
        <v>-</v>
      </c>
      <c r="O40" s="230" t="str">
        <f>O4</f>
        <v>-</v>
      </c>
      <c r="AD40" s="168" t="s">
        <v>247</v>
      </c>
      <c r="AE40" s="169" t="s">
        <v>246</v>
      </c>
    </row>
    <row r="41" spans="1:38" ht="15" thickBot="1" x14ac:dyDescent="0.35">
      <c r="B41" s="56"/>
      <c r="C41" s="56"/>
      <c r="D41" s="56"/>
      <c r="E41" s="56"/>
      <c r="F41" s="56"/>
      <c r="G41" s="222">
        <v>39</v>
      </c>
      <c r="H41" s="211"/>
      <c r="I41" s="198" t="s">
        <v>153</v>
      </c>
      <c r="J41" s="117" t="str">
        <f>IF(($O$4="KIWI-A"),CEILING(2*$E$11*$E$15,10),"-")</f>
        <v>-</v>
      </c>
      <c r="K41" s="147" t="s">
        <v>67</v>
      </c>
      <c r="L41" s="118"/>
      <c r="M41" s="120"/>
      <c r="N41" s="121"/>
      <c r="O41" s="232" t="s">
        <v>30</v>
      </c>
      <c r="AD41" s="168" t="s">
        <v>248</v>
      </c>
      <c r="AE41" s="169" t="s">
        <v>249</v>
      </c>
    </row>
    <row r="42" spans="1:38" x14ac:dyDescent="0.3">
      <c r="G42" s="222">
        <v>40</v>
      </c>
      <c r="H42" s="214"/>
      <c r="I42" s="198" t="s">
        <v>154</v>
      </c>
      <c r="J42" s="117" t="str">
        <f>IF(($O$4="KIWI-A"),CEILING(($J$41-1),10),"-")</f>
        <v>-</v>
      </c>
      <c r="K42" s="147" t="s">
        <v>67</v>
      </c>
      <c r="L42" s="118"/>
      <c r="M42" s="120"/>
      <c r="N42" s="121"/>
      <c r="O42" s="121"/>
      <c r="AD42" s="168" t="s">
        <v>250</v>
      </c>
      <c r="AE42" s="169" t="s">
        <v>251</v>
      </c>
    </row>
    <row r="43" spans="1:38" x14ac:dyDescent="0.3">
      <c r="G43" s="222">
        <v>41</v>
      </c>
      <c r="H43" s="214"/>
      <c r="I43" s="198" t="s">
        <v>126</v>
      </c>
      <c r="J43" s="117" t="str">
        <f>IF(O40="KIWI-A",CEILING(E4/2,5),"-")</f>
        <v>-</v>
      </c>
      <c r="K43" s="147" t="s">
        <v>68</v>
      </c>
      <c r="L43" s="118"/>
      <c r="M43" s="120"/>
      <c r="N43" s="121"/>
      <c r="O43" s="121"/>
      <c r="AD43" s="168" t="s">
        <v>252</v>
      </c>
      <c r="AE43" s="169" t="s">
        <v>253</v>
      </c>
    </row>
    <row r="44" spans="1:38" x14ac:dyDescent="0.3">
      <c r="G44" s="222">
        <v>42</v>
      </c>
      <c r="H44" s="214"/>
      <c r="I44" s="198" t="s">
        <v>86</v>
      </c>
      <c r="J44" s="117" t="str">
        <f>IF(O4="KIWI-A","-",IF(O4="KIWI-B",E31,"-"))</f>
        <v>-</v>
      </c>
      <c r="K44" s="147" t="s">
        <v>68</v>
      </c>
      <c r="L44" s="118"/>
      <c r="M44" s="120"/>
      <c r="N44" s="121"/>
      <c r="O44" s="121"/>
      <c r="AD44" s="168" t="s">
        <v>254</v>
      </c>
      <c r="AE44" s="169" t="s">
        <v>255</v>
      </c>
    </row>
    <row r="45" spans="1:38" x14ac:dyDescent="0.3">
      <c r="G45" s="222">
        <v>43</v>
      </c>
      <c r="H45" s="214"/>
      <c r="I45" s="198" t="s">
        <v>87</v>
      </c>
      <c r="J45" s="117" t="str">
        <f>IF(O4="KIWI-A","-",IF(O4="KIWI-B",$E$34-$E$31,"-"))</f>
        <v>-</v>
      </c>
      <c r="K45" s="147" t="s">
        <v>68</v>
      </c>
      <c r="L45" s="118"/>
      <c r="M45" s="120"/>
      <c r="N45" s="121"/>
      <c r="O45" s="121"/>
      <c r="AD45" s="168" t="s">
        <v>256</v>
      </c>
      <c r="AE45" s="169" t="s">
        <v>257</v>
      </c>
    </row>
    <row r="46" spans="1:38" x14ac:dyDescent="0.3">
      <c r="G46" s="222">
        <v>44</v>
      </c>
      <c r="H46" s="211" t="s">
        <v>30</v>
      </c>
      <c r="I46" s="198" t="s">
        <v>118</v>
      </c>
      <c r="J46" s="117" t="str">
        <f>IF(O4="KIWI-A",$E$36,IF(O4="KIWI-B",$E$36,"-"))</f>
        <v>-</v>
      </c>
      <c r="K46" s="147" t="s">
        <v>68</v>
      </c>
      <c r="L46" s="118"/>
      <c r="M46" s="120"/>
      <c r="N46" s="121"/>
      <c r="O46" s="121"/>
      <c r="AD46" s="168" t="s">
        <v>258</v>
      </c>
      <c r="AE46" s="169" t="s">
        <v>259</v>
      </c>
    </row>
    <row r="47" spans="1:38" x14ac:dyDescent="0.3">
      <c r="G47" s="222">
        <v>45</v>
      </c>
      <c r="H47" s="211" t="s">
        <v>30</v>
      </c>
      <c r="I47" s="198" t="s">
        <v>119</v>
      </c>
      <c r="J47" s="117" t="str">
        <f>IF(O4="KIWI-A",($E$31+$E$32),IF(O4="KIWI-B",($E$31),"-"))</f>
        <v>-</v>
      </c>
      <c r="K47" s="147" t="s">
        <v>68</v>
      </c>
      <c r="L47" s="118"/>
      <c r="M47" s="120"/>
      <c r="N47" s="121"/>
      <c r="O47" s="121"/>
      <c r="AD47" s="168" t="s">
        <v>260</v>
      </c>
      <c r="AE47" s="169" t="s">
        <v>261</v>
      </c>
    </row>
    <row r="48" spans="1:38" x14ac:dyDescent="0.3">
      <c r="G48" s="222">
        <v>46</v>
      </c>
      <c r="H48" s="211" t="s">
        <v>30</v>
      </c>
      <c r="I48" s="198" t="s">
        <v>66</v>
      </c>
      <c r="J48" s="117" t="str">
        <f>IF(AND($O$4="KIWI-A",K48="m."),(($E$17/$E$22+1)*(($E$11*$E$15)+$E$23)+(($E$11+1)*$E$17)+(($E$11+1)*$E$23)),IF(AND(O4="KIWI-A",K48="kg."),CEILING((($E$17/$E$22+1)*(($E$11*$E$15)+$E$23)+(($E$11+1)*$E$17)+(($E$11+1)*$E$23))/10,20),IF($O$4="KIWI-B","-","-")))</f>
        <v>-</v>
      </c>
      <c r="K48" s="147" t="s">
        <v>67</v>
      </c>
      <c r="L48" s="118" t="str">
        <f>IF(J48="-","-",IF(K48="kg.",J48,CEILING((J48/10),20)))</f>
        <v>-</v>
      </c>
      <c r="M48" s="120" t="s">
        <v>27</v>
      </c>
      <c r="N48" s="121"/>
      <c r="O48" s="121"/>
      <c r="AD48" s="168" t="s">
        <v>262</v>
      </c>
      <c r="AE48" s="169" t="s">
        <v>263</v>
      </c>
    </row>
    <row r="49" spans="7:31" x14ac:dyDescent="0.3">
      <c r="G49" s="222">
        <v>47</v>
      </c>
      <c r="H49" s="211" t="s">
        <v>30</v>
      </c>
      <c r="I49" s="198" t="s">
        <v>115</v>
      </c>
      <c r="J49" s="117" t="str">
        <f>IF(AND(O4="KIWI-A",K49="m."),(($E$17/$E$22+1)*(($E$11*$E$15)+$E$23)+(($E$11+1)*$E$17)+(($E$11+1)*$E$23)),IF(AND(O4="KIWI-B",K49="m."),(($E$17/$E$22+1)*(($E$11*$E$15)+$E$23)),IF(AND(O4="KIWI-A",K49="kg."),CEILING((($E$17/$E$22+1)*(($E$11*$E$15)+$E$23)+(($E$11+1)*$E$17)+(($E$11+1)*$E$23))/3.91,20),IF(AND(O4="KIWI-B",K49="kg."),CEILING((($E$17/$E$22+1)*(($E$11*$E$15)+$E$23))/3.91,20),"-"))))</f>
        <v>-</v>
      </c>
      <c r="K49" s="147" t="s">
        <v>67</v>
      </c>
      <c r="L49" s="118" t="str">
        <f>IF(J49="-","-",IF(K49="kg.",J49,CEILING((J49/3.91),20)))</f>
        <v>-</v>
      </c>
      <c r="M49" s="120" t="s">
        <v>27</v>
      </c>
      <c r="N49" s="121"/>
      <c r="O49" s="121"/>
      <c r="AD49" s="168" t="s">
        <v>264</v>
      </c>
      <c r="AE49" s="169" t="s">
        <v>265</v>
      </c>
    </row>
    <row r="50" spans="7:31" x14ac:dyDescent="0.3">
      <c r="G50" s="222">
        <v>48</v>
      </c>
      <c r="H50" s="211" t="s">
        <v>30</v>
      </c>
      <c r="I50" s="198" t="s">
        <v>84</v>
      </c>
      <c r="J50" s="117" t="str">
        <f>IF(AND(OR(O4="KIWI-A",O4="KIWI-B"),K50="m."),5*$E$11*$E$17+2*$E$17,IF(AND(OR(O4="KIWI-A",O4="KIWI-B"),K50="kg."),CEILING((5*$E$11*$E$17+2*$E$17)/33,20),"-"))</f>
        <v>-</v>
      </c>
      <c r="K50" s="147" t="s">
        <v>67</v>
      </c>
      <c r="L50" s="118" t="str">
        <f>IF(J50="-","-",IF(K50="kg.",J50,CEILING((J50/33),20)))</f>
        <v>-</v>
      </c>
      <c r="M50" s="120" t="s">
        <v>27</v>
      </c>
      <c r="N50" s="121"/>
      <c r="O50" s="121"/>
      <c r="AD50" s="168" t="s">
        <v>266</v>
      </c>
      <c r="AE50" s="169" t="s">
        <v>267</v>
      </c>
    </row>
    <row r="51" spans="7:31" x14ac:dyDescent="0.3">
      <c r="G51" s="222">
        <v>49</v>
      </c>
      <c r="H51" s="211" t="s">
        <v>30</v>
      </c>
      <c r="I51" s="198" t="s">
        <v>69</v>
      </c>
      <c r="J51" s="117" t="str">
        <f>IF(AND(O4="KIWI-A",K51="m."),(($E$11*2*$E$15)+6)+($E$9*4),IF(AND(O4="KIWI-B",K51="m."),($E$36*4),IF(AND(O4="KIWI-A",K51="kg."),CEILING(((($E$11*2*$E$15)+6)+($E$9*4))/3.91,20),IF(AND(O4="KIWI-B",K51="kg."),CEILING(($E$36*4)/3.91,20),"-"))))</f>
        <v>-</v>
      </c>
      <c r="K51" s="147" t="s">
        <v>67</v>
      </c>
      <c r="L51" s="118" t="str">
        <f>IF(J51="-","-",IF(K51="kg.",J51,CEILING((J51/3.91),20)))</f>
        <v>-</v>
      </c>
      <c r="M51" s="120" t="s">
        <v>27</v>
      </c>
      <c r="N51" s="121"/>
      <c r="O51" s="121"/>
      <c r="AD51" s="168" t="s">
        <v>268</v>
      </c>
      <c r="AE51" s="169" t="s">
        <v>269</v>
      </c>
    </row>
    <row r="52" spans="7:31" ht="15" thickBot="1" x14ac:dyDescent="0.35">
      <c r="G52" s="222">
        <v>50</v>
      </c>
      <c r="H52" s="212" t="s">
        <v>30</v>
      </c>
      <c r="I52" s="199" t="s">
        <v>128</v>
      </c>
      <c r="J52" s="122" t="str">
        <f>IF(O40="KIWI-A",6*($E$11),"-")</f>
        <v>-</v>
      </c>
      <c r="K52" s="148" t="s">
        <v>68</v>
      </c>
      <c r="L52" s="123"/>
      <c r="M52" s="124"/>
      <c r="N52" s="121"/>
      <c r="O52" s="121"/>
      <c r="AD52" s="168" t="s">
        <v>270</v>
      </c>
      <c r="AE52" s="169" t="s">
        <v>271</v>
      </c>
    </row>
    <row r="53" spans="7:31" x14ac:dyDescent="0.3">
      <c r="G53" s="222">
        <v>51</v>
      </c>
      <c r="H53" s="210" t="s">
        <v>30</v>
      </c>
      <c r="I53" s="208" t="s">
        <v>102</v>
      </c>
      <c r="J53" s="125" t="str">
        <f>IF(O40="KIWI-A",CEILING((J60),50),"-")</f>
        <v>-</v>
      </c>
      <c r="K53" s="146" t="s">
        <v>68</v>
      </c>
      <c r="L53" s="116"/>
      <c r="M53" s="126"/>
      <c r="N53" s="121"/>
      <c r="O53" s="121"/>
      <c r="AD53" s="168" t="s">
        <v>272</v>
      </c>
      <c r="AE53" s="169" t="s">
        <v>273</v>
      </c>
    </row>
    <row r="54" spans="7:31" x14ac:dyDescent="0.3">
      <c r="G54" s="222">
        <v>52</v>
      </c>
      <c r="H54" s="211" t="s">
        <v>30</v>
      </c>
      <c r="I54" s="198" t="s">
        <v>129</v>
      </c>
      <c r="J54" s="117" t="str">
        <f>IF(O40="KIWI-A",6*($E$11+1),IF(O40="KIWI-B",4*(E11+1),"-"))</f>
        <v>-</v>
      </c>
      <c r="K54" s="147" t="s">
        <v>68</v>
      </c>
      <c r="L54" s="118"/>
      <c r="M54" s="120"/>
      <c r="N54" s="121"/>
      <c r="O54" s="121"/>
      <c r="AD54" s="168" t="s">
        <v>274</v>
      </c>
      <c r="AE54" s="169" t="s">
        <v>275</v>
      </c>
    </row>
    <row r="55" spans="7:31" x14ac:dyDescent="0.3">
      <c r="G55" s="222">
        <v>53</v>
      </c>
      <c r="H55" s="211" t="s">
        <v>30</v>
      </c>
      <c r="I55" s="198" t="s">
        <v>127</v>
      </c>
      <c r="J55" s="117" t="str">
        <f>IF(O40="KIWI-A",6*$E$11,"-")</f>
        <v>-</v>
      </c>
      <c r="K55" s="147" t="s">
        <v>68</v>
      </c>
      <c r="L55" s="118"/>
      <c r="M55" s="120"/>
      <c r="N55" s="121"/>
      <c r="O55" s="121"/>
      <c r="AD55" s="168" t="s">
        <v>276</v>
      </c>
      <c r="AE55" s="169" t="s">
        <v>277</v>
      </c>
    </row>
    <row r="56" spans="7:31" x14ac:dyDescent="0.3">
      <c r="G56" s="222">
        <v>54</v>
      </c>
      <c r="H56" s="211" t="s">
        <v>30</v>
      </c>
      <c r="I56" s="198" t="s">
        <v>125</v>
      </c>
      <c r="J56" s="117" t="str">
        <f>IF(O40="KIWI-A","-", IF(O4="KIWI-B",$E$31,"-"))</f>
        <v>-</v>
      </c>
      <c r="K56" s="147" t="s">
        <v>68</v>
      </c>
      <c r="L56" s="118"/>
      <c r="M56" s="120"/>
      <c r="N56" s="121"/>
      <c r="O56" s="121"/>
      <c r="AD56" s="168" t="s">
        <v>278</v>
      </c>
      <c r="AE56" s="169" t="s">
        <v>279</v>
      </c>
    </row>
    <row r="57" spans="7:31" x14ac:dyDescent="0.3">
      <c r="G57" s="222">
        <v>55</v>
      </c>
      <c r="H57" s="211" t="s">
        <v>30</v>
      </c>
      <c r="I57" s="198" t="s">
        <v>58</v>
      </c>
      <c r="J57" s="117" t="s">
        <v>30</v>
      </c>
      <c r="K57" s="147" t="s">
        <v>68</v>
      </c>
      <c r="L57" s="118"/>
      <c r="M57" s="120"/>
      <c r="N57" s="121"/>
      <c r="O57" s="121"/>
      <c r="AD57" s="168" t="s">
        <v>280</v>
      </c>
      <c r="AE57" s="169" t="s">
        <v>281</v>
      </c>
    </row>
    <row r="58" spans="7:31" x14ac:dyDescent="0.3">
      <c r="G58" s="222">
        <v>56</v>
      </c>
      <c r="H58" s="211" t="s">
        <v>30</v>
      </c>
      <c r="I58" s="198" t="s">
        <v>150</v>
      </c>
      <c r="J58" s="117" t="str">
        <f>IF(J39="-","-",J39)</f>
        <v>-</v>
      </c>
      <c r="K58" s="147" t="s">
        <v>68</v>
      </c>
      <c r="L58" s="118"/>
      <c r="M58" s="120"/>
      <c r="N58" s="121"/>
      <c r="O58" s="121"/>
      <c r="AD58" s="168" t="s">
        <v>282</v>
      </c>
      <c r="AE58" s="169" t="s">
        <v>283</v>
      </c>
    </row>
    <row r="59" spans="7:31" x14ac:dyDescent="0.3">
      <c r="G59" s="222">
        <v>57</v>
      </c>
      <c r="H59" s="211" t="s">
        <v>30</v>
      </c>
      <c r="I59" s="198" t="s">
        <v>151</v>
      </c>
      <c r="J59" s="117" t="str">
        <f>IF(J40="-","-",J40)</f>
        <v>-</v>
      </c>
      <c r="K59" s="147" t="s">
        <v>68</v>
      </c>
      <c r="L59" s="118"/>
      <c r="M59" s="120"/>
      <c r="N59" s="121"/>
      <c r="O59" s="121"/>
      <c r="AD59" s="168" t="s">
        <v>284</v>
      </c>
      <c r="AE59" s="169" t="s">
        <v>285</v>
      </c>
    </row>
    <row r="60" spans="7:31" ht="15" thickBot="1" x14ac:dyDescent="0.35">
      <c r="G60" s="222">
        <v>58</v>
      </c>
      <c r="H60" s="214" t="s">
        <v>30</v>
      </c>
      <c r="I60" s="209" t="s">
        <v>116</v>
      </c>
      <c r="J60" s="156" t="str">
        <f>IF(AND($O$4="KIWI-A",$O$39="MONO"),$E$5+E$6+$J$43*4,IF(AND($O$4="KIWI-B",$O$39="MONO"),$E$7,IF(AND($O$4="KIWI-A",$O$39="-"),$E$5+$E$32+$E$33+E$6+$J$43*4,IF(AND($O$4="KIWI-B",$O$39="-"),$E$33+$E$32+$E$6+$E$5,"-"))))</f>
        <v>-</v>
      </c>
      <c r="K60" s="157" t="s">
        <v>68</v>
      </c>
      <c r="L60" s="158"/>
      <c r="M60" s="159"/>
      <c r="AD60" s="168" t="s">
        <v>280</v>
      </c>
      <c r="AE60" s="169" t="s">
        <v>281</v>
      </c>
    </row>
    <row r="61" spans="7:31" ht="16.8" thickBot="1" x14ac:dyDescent="0.35">
      <c r="G61" s="222">
        <v>59</v>
      </c>
      <c r="H61" s="211" t="s">
        <v>30</v>
      </c>
      <c r="I61" s="197" t="s">
        <v>158</v>
      </c>
      <c r="J61" s="160" t="str">
        <f>IF($O$62="-","-",IF($O$62="ΠΑΓΕΤΟΣ",CEILING($N$62*2*$E$17*($E$11+1),100)))</f>
        <v>-</v>
      </c>
      <c r="K61" s="139" t="s">
        <v>96</v>
      </c>
      <c r="L61" s="14"/>
      <c r="M61" s="5"/>
      <c r="N61" s="330" t="s">
        <v>159</v>
      </c>
      <c r="O61" s="324"/>
      <c r="AD61" s="168" t="s">
        <v>282</v>
      </c>
      <c r="AE61" s="169" t="s">
        <v>283</v>
      </c>
    </row>
    <row r="62" spans="7:31" ht="15" thickBot="1" x14ac:dyDescent="0.35">
      <c r="G62" s="222">
        <v>60</v>
      </c>
      <c r="H62" s="211" t="s">
        <v>30</v>
      </c>
      <c r="I62" s="198" t="s">
        <v>63</v>
      </c>
      <c r="J62" s="161" t="str">
        <f>IF($O$62="-","-",IF($O$62="ΠΑΓΕΤΟΣ",CEILING($E$18,200)))</f>
        <v>-</v>
      </c>
      <c r="K62" s="147" t="s">
        <v>68</v>
      </c>
      <c r="L62" s="1"/>
      <c r="M62" s="162" t="s">
        <v>160</v>
      </c>
      <c r="N62" s="163">
        <v>4</v>
      </c>
      <c r="O62" s="155" t="s">
        <v>30</v>
      </c>
      <c r="AD62" s="170" t="s">
        <v>284</v>
      </c>
      <c r="AE62" s="171" t="s">
        <v>285</v>
      </c>
    </row>
    <row r="63" spans="7:31" x14ac:dyDescent="0.3">
      <c r="G63" s="222">
        <v>61</v>
      </c>
      <c r="H63" s="211" t="s">
        <v>30</v>
      </c>
      <c r="I63" s="198" t="s">
        <v>64</v>
      </c>
      <c r="J63" s="161" t="str">
        <f>IF($O$62="-","-",IF($O$62="ΠΑΓΕΤΟΣ",CEILING((($E$17/$E22)*($E$11+1)*3),25)))</f>
        <v>-</v>
      </c>
      <c r="K63" s="147" t="s">
        <v>68</v>
      </c>
      <c r="L63" s="1"/>
      <c r="M63" s="7"/>
      <c r="AD63" s="184" t="s">
        <v>30</v>
      </c>
    </row>
    <row r="64" spans="7:31" x14ac:dyDescent="0.3">
      <c r="G64" s="222">
        <v>62</v>
      </c>
      <c r="H64" s="211" t="s">
        <v>30</v>
      </c>
      <c r="I64" s="198" t="s">
        <v>102</v>
      </c>
      <c r="J64" s="161" t="str">
        <f>IF($O$62="-","-",IF($O$62="ΠΑΓΕΤΟΣ",2*J65))</f>
        <v>-</v>
      </c>
      <c r="K64" s="147" t="s">
        <v>68</v>
      </c>
      <c r="L64" s="1"/>
      <c r="M64" s="7"/>
    </row>
    <row r="65" spans="7:15" ht="15" thickBot="1" x14ac:dyDescent="0.35">
      <c r="G65" s="222">
        <v>63</v>
      </c>
      <c r="H65" s="212" t="s">
        <v>30</v>
      </c>
      <c r="I65" s="209" t="s">
        <v>116</v>
      </c>
      <c r="J65" s="191" t="str">
        <f>IF($O$62="-","-",IF($O$62="ΠΑΓΕΤΟΣ",$E$7+$E$34))</f>
        <v>-</v>
      </c>
      <c r="K65" s="157" t="s">
        <v>68</v>
      </c>
      <c r="L65" s="67"/>
      <c r="M65" s="192"/>
    </row>
    <row r="66" spans="7:15" ht="16.8" thickBot="1" x14ac:dyDescent="0.35">
      <c r="G66" s="222">
        <v>64</v>
      </c>
      <c r="H66" s="215" t="s">
        <v>30</v>
      </c>
      <c r="I66" s="112" t="s">
        <v>62</v>
      </c>
      <c r="J66" s="160" t="str">
        <f>IF($O$67="-","-",IF($O$67="ΑΜΠΕΛΙ",CEILING($N$67*2*$E$17*($E$11+1),100)))</f>
        <v>-</v>
      </c>
      <c r="K66" s="139" t="s">
        <v>96</v>
      </c>
      <c r="L66" s="14"/>
      <c r="M66" s="5"/>
      <c r="N66" s="323" t="s">
        <v>487</v>
      </c>
      <c r="O66" s="324"/>
    </row>
    <row r="67" spans="7:15" ht="15" thickBot="1" x14ac:dyDescent="0.35">
      <c r="G67" s="222">
        <v>65</v>
      </c>
      <c r="H67" s="216" t="s">
        <v>30</v>
      </c>
      <c r="I67" s="113" t="s">
        <v>489</v>
      </c>
      <c r="J67" s="161" t="str">
        <f>IF($O$67="-","-",IF($O$67="ΑΜΠΕΛΙ",CEILING(($E$17*($E$11+1))/2,200),"-"))</f>
        <v>-</v>
      </c>
      <c r="K67" s="147" t="s">
        <v>68</v>
      </c>
      <c r="L67" s="1"/>
      <c r="M67" s="162" t="s">
        <v>160</v>
      </c>
      <c r="N67" s="163">
        <v>1.3</v>
      </c>
      <c r="O67" s="195" t="s">
        <v>30</v>
      </c>
    </row>
    <row r="68" spans="7:15" x14ac:dyDescent="0.3">
      <c r="G68" s="222">
        <v>66</v>
      </c>
      <c r="H68" s="216" t="s">
        <v>30</v>
      </c>
      <c r="I68" s="113" t="s">
        <v>103</v>
      </c>
      <c r="J68" s="161" t="str">
        <f>IF($O$67="-","-",IF($O$67="ΑΜΠΕΛΙ",CEILING(($E$17*($E$11+1))/2.5,200),"-"))</f>
        <v>-</v>
      </c>
      <c r="K68" s="147" t="s">
        <v>68</v>
      </c>
      <c r="L68" s="1"/>
      <c r="M68" s="7"/>
    </row>
    <row r="69" spans="7:15" x14ac:dyDescent="0.3">
      <c r="G69" s="222">
        <v>67</v>
      </c>
      <c r="H69" s="216" t="s">
        <v>30</v>
      </c>
      <c r="I69" s="113" t="s">
        <v>490</v>
      </c>
      <c r="J69" s="161" t="str">
        <f>IF($O$67="-","-",IF($O$67="ΑΜΠΕΛΙ",CEILING(($E$17*($E$11+1))/2,200),"-"))</f>
        <v>-</v>
      </c>
      <c r="K69" s="147" t="s">
        <v>68</v>
      </c>
      <c r="L69" s="1"/>
      <c r="M69" s="7"/>
    </row>
    <row r="70" spans="7:15" x14ac:dyDescent="0.3">
      <c r="G70" s="222">
        <v>68</v>
      </c>
      <c r="H70" s="216" t="s">
        <v>30</v>
      </c>
      <c r="I70" s="218" t="s">
        <v>99</v>
      </c>
      <c r="J70" s="36" t="str">
        <f>IF($O$67="-","-",IF($O$67="ΑΜΠΕΛΙ",$J$71,"-"))</f>
        <v>-</v>
      </c>
      <c r="K70" s="147" t="s">
        <v>68</v>
      </c>
      <c r="L70" s="1"/>
      <c r="M70" s="7"/>
    </row>
    <row r="71" spans="7:15" x14ac:dyDescent="0.3">
      <c r="G71" s="222">
        <v>69</v>
      </c>
      <c r="H71" s="216" t="s">
        <v>30</v>
      </c>
      <c r="I71" s="218" t="s">
        <v>100</v>
      </c>
      <c r="J71" s="36" t="str">
        <f>IF($O$67="-","-",IF($O$67="ΑΜΠΕΛΙ",$J$72*2,"-"))</f>
        <v>-</v>
      </c>
      <c r="K71" s="147" t="s">
        <v>68</v>
      </c>
      <c r="L71" s="1"/>
      <c r="M71" s="7"/>
    </row>
    <row r="72" spans="7:15" ht="15" thickBot="1" x14ac:dyDescent="0.35">
      <c r="G72" s="228">
        <v>70</v>
      </c>
      <c r="H72" s="217" t="s">
        <v>30</v>
      </c>
      <c r="I72" s="219" t="s">
        <v>101</v>
      </c>
      <c r="J72" s="37" t="str">
        <f>IF($O$67="-","-",IF($O$67="ΑΜΠΕΛΙ",CEILING(3*2*($E$11+1),100)))</f>
        <v>-</v>
      </c>
      <c r="K72" s="141" t="s">
        <v>68</v>
      </c>
      <c r="L72" s="193" t="str">
        <f>IF($O$67="-","-",IF($O$67="ΑΜΠΕΛΙ",$J$72*0.4*2))</f>
        <v>-</v>
      </c>
      <c r="M72" s="196" t="s">
        <v>67</v>
      </c>
    </row>
  </sheetData>
  <dataConsolidate/>
  <mergeCells count="68">
    <mergeCell ref="C21:F21"/>
    <mergeCell ref="C30:F30"/>
    <mergeCell ref="C3:F3"/>
    <mergeCell ref="C25:F25"/>
    <mergeCell ref="N66:O66"/>
    <mergeCell ref="B20:D20"/>
    <mergeCell ref="B26:D26"/>
    <mergeCell ref="B27:D27"/>
    <mergeCell ref="B31:D31"/>
    <mergeCell ref="B29:D29"/>
    <mergeCell ref="L25:M26"/>
    <mergeCell ref="B22:D22"/>
    <mergeCell ref="B23:D23"/>
    <mergeCell ref="N61:O61"/>
    <mergeCell ref="B39:D39"/>
    <mergeCell ref="B38:D38"/>
    <mergeCell ref="B18:D18"/>
    <mergeCell ref="B19:D19"/>
    <mergeCell ref="W10:Z10"/>
    <mergeCell ref="B17:D17"/>
    <mergeCell ref="X11:Y11"/>
    <mergeCell ref="V11:W11"/>
    <mergeCell ref="B7:D7"/>
    <mergeCell ref="B15:D15"/>
    <mergeCell ref="B9:D9"/>
    <mergeCell ref="B11:D11"/>
    <mergeCell ref="B16:D16"/>
    <mergeCell ref="AA1:AD1"/>
    <mergeCell ref="B6:D6"/>
    <mergeCell ref="I2:M2"/>
    <mergeCell ref="B2:F2"/>
    <mergeCell ref="B4:D4"/>
    <mergeCell ref="B5:D5"/>
    <mergeCell ref="M3:N3"/>
    <mergeCell ref="W1:Z1"/>
    <mergeCell ref="B37:D37"/>
    <mergeCell ref="B34:D34"/>
    <mergeCell ref="M39:N39"/>
    <mergeCell ref="L31:M33"/>
    <mergeCell ref="B32:D32"/>
    <mergeCell ref="B36:D36"/>
    <mergeCell ref="B33:D33"/>
    <mergeCell ref="AA10:AD10"/>
    <mergeCell ref="AE10:AH10"/>
    <mergeCell ref="Z11:AA11"/>
    <mergeCell ref="AB11:AC11"/>
    <mergeCell ref="AD11:AE11"/>
    <mergeCell ref="AI10:AL10"/>
    <mergeCell ref="AM10:AP10"/>
    <mergeCell ref="AQ10:AT10"/>
    <mergeCell ref="AU10:AX10"/>
    <mergeCell ref="AF11:AG11"/>
    <mergeCell ref="AH11:AI11"/>
    <mergeCell ref="AJ11:AK11"/>
    <mergeCell ref="AL11:AM11"/>
    <mergeCell ref="AN11:AO11"/>
    <mergeCell ref="AP11:AQ11"/>
    <mergeCell ref="AR11:AS11"/>
    <mergeCell ref="AT11:AU11"/>
    <mergeCell ref="AY10:BB10"/>
    <mergeCell ref="BC10:BF10"/>
    <mergeCell ref="BG10:BJ10"/>
    <mergeCell ref="BK10:BN10"/>
    <mergeCell ref="AV11:AW11"/>
    <mergeCell ref="AX11:AY11"/>
    <mergeCell ref="AZ11:BA11"/>
    <mergeCell ref="BB11:BC11"/>
    <mergeCell ref="BD11:BE11"/>
  </mergeCells>
  <dataValidations count="25">
    <dataValidation type="list" errorStyle="warning" allowBlank="1" showInputMessage="1" showErrorMessage="1" errorTitle="ΛΑΘΟΣ ΕΙΣΑΓΩΓΗ" sqref="N4" xr:uid="{55E80FF4-2152-451F-B8F2-4E6824FC5665}">
      <formula1>$W$2:$W$8</formula1>
    </dataValidation>
    <dataValidation type="list" allowBlank="1" showInputMessage="1" showErrorMessage="1" sqref="O3" xr:uid="{C0B24DD8-2B4E-4FFE-B199-A3F6BFDE0F21}">
      <formula1>$Y$2:$Y$3</formula1>
    </dataValidation>
    <dataValidation type="list" allowBlank="1" showInputMessage="1" showErrorMessage="1" sqref="O4" xr:uid="{A1E34EB5-B904-4B8E-8410-971577C2D086}">
      <formula1>$X$2:$X$4</formula1>
    </dataValidation>
    <dataValidation type="list" errorStyle="warning" allowBlank="1" showInputMessage="1" showErrorMessage="1" sqref="O39" xr:uid="{54941F39-DFE2-4B4D-8BA5-5F26A0C9EDA0}">
      <formula1>$Z$2:$Z$3</formula1>
    </dataValidation>
    <dataValidation type="list" allowBlank="1" showInputMessage="1" showErrorMessage="1" sqref="K11:K13 K48:K51 K28:K29" xr:uid="{8BB8AFC2-7582-4B13-B4A2-3E591370F823}">
      <formula1>$AA$2:$AA$3</formula1>
    </dataValidation>
    <dataValidation type="list" allowBlank="1" showInputMessage="1" showErrorMessage="1" sqref="O62" xr:uid="{2138EA72-9106-4DB9-B27A-6258267B6333}">
      <formula1>$AB$2:$AB$3</formula1>
    </dataValidation>
    <dataValidation type="list" allowBlank="1" showInputMessage="1" showErrorMessage="1" sqref="H3:H8 H39:H40" xr:uid="{FF35C6B7-E8EB-4697-810F-F20EFF040DAA}">
      <formula1>$AL$12:$AL$33</formula1>
    </dataValidation>
    <dataValidation type="list" allowBlank="1" showInputMessage="1" showErrorMessage="1" sqref="H9 H46" xr:uid="{F0C76DB2-2073-4628-8468-860DE5CAC553}">
      <formula1>$W$12:$W$19</formula1>
    </dataValidation>
    <dataValidation type="list" allowBlank="1" showInputMessage="1" showErrorMessage="1" sqref="H10 H47" xr:uid="{BBA7B04D-0A9F-4120-97F6-633ED0761C3E}">
      <formula1>$AP$12:$AP$16</formula1>
    </dataValidation>
    <dataValidation type="list" allowBlank="1" showInputMessage="1" showErrorMessage="1" sqref="H11 H50 H48 H29" xr:uid="{5973F8E9-722D-4302-8179-F01639F5C759}">
      <formula1>$Y$12:$Y$17</formula1>
    </dataValidation>
    <dataValidation type="list" allowBlank="1" showInputMessage="1" showErrorMessage="1" sqref="H12:H13 H28 H49 H51" xr:uid="{F482FD60-285F-4BFF-B5A1-87749490C1DF}">
      <formula1>$AV$12:$AV$23</formula1>
    </dataValidation>
    <dataValidation type="list" allowBlank="1" showInputMessage="1" showErrorMessage="1" sqref="H14 H30 H53 H64" xr:uid="{1CAEE762-1BF2-4ABE-9D41-F9B436C870F6}">
      <formula1>$AX$12:$AX$15</formula1>
    </dataValidation>
    <dataValidation type="list" allowBlank="1" showInputMessage="1" showErrorMessage="1" sqref="H52 H24" xr:uid="{73F4C03C-3675-4391-B39D-9CF78F3255CF}">
      <formula1>$AA$12:$AA$13</formula1>
    </dataValidation>
    <dataValidation type="list" allowBlank="1" showInputMessage="1" showErrorMessage="1" sqref="H15:H17 H54:H57" xr:uid="{4F680BD9-93AE-4036-9752-D8189B361F5F}">
      <formula1>$AZ$12:$AZ$18</formula1>
    </dataValidation>
    <dataValidation type="list" allowBlank="1" showInputMessage="1" showErrorMessage="1" sqref="H18:H19 H58:H59" xr:uid="{6E53FF9D-913C-44F1-93D7-1D42469AD8EC}">
      <formula1>$AJ$12:$AJ$20</formula1>
    </dataValidation>
    <dataValidation type="list" allowBlank="1" showInputMessage="1" showErrorMessage="1" sqref="H20 H61 H66" xr:uid="{C827F5C0-615B-4335-898A-1AF8DB2DA1B3}">
      <formula1>$AD$12:$AD$63</formula1>
    </dataValidation>
    <dataValidation type="list" allowBlank="1" showInputMessage="1" showErrorMessage="1" sqref="H21:H22 H25:H26 H37 H33 H62 H67:H68 H70:H71" xr:uid="{15720241-9789-417D-A6BF-DA70512E4C29}">
      <formula1>$AR$12:$AR$25</formula1>
    </dataValidation>
    <dataValidation type="list" allowBlank="1" showInputMessage="1" showErrorMessage="1" sqref="H23 H63 H36 H69" xr:uid="{3CF0B1AE-FB5A-4B45-A72D-505638B1F4F5}">
      <formula1>$AF$12:$AF$19</formula1>
    </dataValidation>
    <dataValidation type="list" allowBlank="1" showInputMessage="1" showErrorMessage="1" sqref="H65 H60 H31" xr:uid="{3CDF4A13-5922-48A2-8979-4F8865AF5479}">
      <formula1>$AH$12:$AH$17</formula1>
    </dataValidation>
    <dataValidation type="list" allowBlank="1" showInputMessage="1" showErrorMessage="1" sqref="H27 H34 H72" xr:uid="{F65CDF0C-0EEB-4D90-B21C-386591F65B26}">
      <formula1>$AN$12:$AN$15</formula1>
    </dataValidation>
    <dataValidation type="list" allowBlank="1" showInputMessage="1" showErrorMessage="1" sqref="H38" xr:uid="{5894606F-D140-498B-A2AE-17E68AD47597}">
      <formula1>$AB$12:$AB$14</formula1>
    </dataValidation>
    <dataValidation type="list" allowBlank="1" showInputMessage="1" showErrorMessage="1" sqref="H32" xr:uid="{9F7C9BA8-2AAF-49E0-9984-5738D7F1CD78}">
      <formula1>$AT$12:$AT$16</formula1>
    </dataValidation>
    <dataValidation type="list" allowBlank="1" showInputMessage="1" showErrorMessage="1" sqref="H35" xr:uid="{24373764-F8A3-41CE-9804-5F1E1701BA59}">
      <formula1>$BD$12:$BD$22</formula1>
    </dataValidation>
    <dataValidation type="list" allowBlank="1" showInputMessage="1" showErrorMessage="1" sqref="O67" xr:uid="{B59701B6-926B-4EC4-BF45-53879DD51372}">
      <formula1>$AC$2:$AC$3</formula1>
    </dataValidation>
    <dataValidation type="list" allowBlank="1" showInputMessage="1" showErrorMessage="1" sqref="O5 O41" xr:uid="{85E27DA9-FD04-49C1-8A5B-82F6C123C5E5}">
      <formula1>$AD$2:$AD$4</formula1>
    </dataValidation>
  </dataValidations>
  <pageMargins left="0.7" right="0.7" top="0.75" bottom="0.75" header="0.3" footer="0.3"/>
  <pageSetup paperSize="8" scale="46" fitToWidth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2075-2A12-4467-8EC5-D16C9EE56B02}">
  <sheetPr>
    <pageSetUpPr fitToPage="1"/>
  </sheetPr>
  <dimension ref="D2:J52"/>
  <sheetViews>
    <sheetView workbookViewId="0">
      <selection activeCell="C9" sqref="C9"/>
    </sheetView>
  </sheetViews>
  <sheetFormatPr defaultRowHeight="14.4" x14ac:dyDescent="0.3"/>
  <cols>
    <col min="4" max="4" width="56.6640625" customWidth="1"/>
  </cols>
  <sheetData>
    <row r="2" spans="4:10" ht="15" thickBot="1" x14ac:dyDescent="0.35"/>
    <row r="3" spans="4:10" ht="15" thickBot="1" x14ac:dyDescent="0.35">
      <c r="E3" s="91" t="s">
        <v>108</v>
      </c>
      <c r="F3" s="105" t="s">
        <v>109</v>
      </c>
      <c r="G3" s="105" t="s">
        <v>110</v>
      </c>
      <c r="H3" s="105" t="s">
        <v>111</v>
      </c>
      <c r="I3" s="105" t="s">
        <v>112</v>
      </c>
    </row>
    <row r="4" spans="4:10" x14ac:dyDescent="0.3">
      <c r="D4" s="68" t="s">
        <v>51</v>
      </c>
      <c r="E4" s="85" t="s">
        <v>30</v>
      </c>
      <c r="F4" s="31"/>
      <c r="G4" s="31"/>
      <c r="H4" s="31"/>
      <c r="I4" s="31"/>
      <c r="J4" s="92" t="s">
        <v>68</v>
      </c>
    </row>
    <row r="5" spans="4:10" x14ac:dyDescent="0.3">
      <c r="D5" s="69" t="s">
        <v>52</v>
      </c>
      <c r="E5" s="85" t="s">
        <v>30</v>
      </c>
      <c r="F5" s="31"/>
      <c r="G5" s="31"/>
      <c r="H5" s="31"/>
      <c r="I5" s="31"/>
      <c r="J5" s="93" t="s">
        <v>68</v>
      </c>
    </row>
    <row r="6" spans="4:10" x14ac:dyDescent="0.3">
      <c r="D6" s="69" t="s">
        <v>53</v>
      </c>
      <c r="E6" s="85">
        <f>'ΑΝΑΛΩΣΗ ΥΛΙΚΩΝ ΣΥΝΟΛΟ'!J8</f>
        <v>30</v>
      </c>
      <c r="F6" s="85">
        <v>52</v>
      </c>
      <c r="G6" s="85">
        <v>79</v>
      </c>
      <c r="H6" s="85">
        <f>24+52</f>
        <v>76</v>
      </c>
      <c r="I6" s="85">
        <v>89</v>
      </c>
      <c r="J6" s="94" t="s">
        <v>68</v>
      </c>
    </row>
    <row r="7" spans="4:10" x14ac:dyDescent="0.3">
      <c r="D7" s="69" t="s">
        <v>54</v>
      </c>
      <c r="E7" s="85">
        <f>'ΑΝΑΛΩΣΗ ΥΛΙΚΩΝ ΣΥΝΟΛΟ'!J9</f>
        <v>15</v>
      </c>
      <c r="F7" s="85">
        <v>15</v>
      </c>
      <c r="G7" s="85">
        <v>35</v>
      </c>
      <c r="H7" s="85">
        <v>26</v>
      </c>
      <c r="I7" s="85">
        <v>20</v>
      </c>
      <c r="J7" s="94" t="s">
        <v>68</v>
      </c>
    </row>
    <row r="8" spans="4:10" ht="15" thickBot="1" x14ac:dyDescent="0.35">
      <c r="D8" s="70" t="s">
        <v>55</v>
      </c>
      <c r="E8" s="85">
        <f>'ΑΝΑΛΩΣΗ ΥΛΙΚΩΝ ΣΥΝΟΛΟ'!J10</f>
        <v>30</v>
      </c>
      <c r="F8" s="85">
        <v>14</v>
      </c>
      <c r="G8" s="85">
        <v>31</v>
      </c>
      <c r="H8" s="85">
        <v>24</v>
      </c>
      <c r="I8" s="85">
        <v>19</v>
      </c>
      <c r="J8" s="95" t="s">
        <v>68</v>
      </c>
    </row>
    <row r="9" spans="4:10" x14ac:dyDescent="0.3">
      <c r="D9" s="71" t="s">
        <v>66</v>
      </c>
      <c r="E9" s="85" t="str">
        <f>'ΑΝΑΛΩΣΗ ΥΛΙΚΩΝ ΣΥΝΟΛΟ'!J11</f>
        <v>-</v>
      </c>
      <c r="F9" s="85"/>
      <c r="G9" s="85"/>
      <c r="H9" s="85"/>
      <c r="I9" s="85"/>
      <c r="J9" s="96" t="s">
        <v>27</v>
      </c>
    </row>
    <row r="10" spans="4:10" x14ac:dyDescent="0.3">
      <c r="D10" s="72" t="s">
        <v>56</v>
      </c>
      <c r="E10" s="85">
        <f>'ΑΝΑΛΩΣΗ ΥΛΙΚΩΝ ΣΥΝΟΛΟ'!L12</f>
        <v>860</v>
      </c>
      <c r="F10" s="89">
        <f>$E$10*F52/$E$52</f>
        <v>217.59036144578315</v>
      </c>
      <c r="G10" s="89">
        <f t="shared" ref="G10:I10" si="0">$E$10*G52/$E$52</f>
        <v>196.86746987951807</v>
      </c>
      <c r="H10" s="89">
        <f t="shared" si="0"/>
        <v>217.59036144578315</v>
      </c>
      <c r="I10" s="89">
        <f t="shared" si="0"/>
        <v>227.95180722891567</v>
      </c>
      <c r="J10" s="97" t="s">
        <v>27</v>
      </c>
    </row>
    <row r="11" spans="4:10" ht="15" thickBot="1" x14ac:dyDescent="0.35">
      <c r="D11" s="73" t="s">
        <v>69</v>
      </c>
      <c r="E11" s="85">
        <f>'ΑΝΑΛΩΣΗ ΥΛΙΚΩΝ ΣΥΝΟΛΟ'!L13</f>
        <v>100</v>
      </c>
      <c r="F11" s="89">
        <f>$E$11*F52/$E$52</f>
        <v>25.301204819277107</v>
      </c>
      <c r="G11" s="89">
        <f t="shared" ref="G11:I11" si="1">$E$11*G52/$E$52</f>
        <v>22.891566265060241</v>
      </c>
      <c r="H11" s="89">
        <f t="shared" si="1"/>
        <v>25.301204819277107</v>
      </c>
      <c r="I11" s="89">
        <f t="shared" si="1"/>
        <v>26.506024096385541</v>
      </c>
      <c r="J11" s="98" t="s">
        <v>27</v>
      </c>
    </row>
    <row r="12" spans="4:10" x14ac:dyDescent="0.3">
      <c r="D12" s="71" t="s">
        <v>102</v>
      </c>
      <c r="E12" s="85">
        <f>'ΑΝΑΛΩΣΗ ΥΛΙΚΩΝ ΣΥΝΟΛΟ'!J14</f>
        <v>300</v>
      </c>
      <c r="F12" s="89">
        <f>(F$52*E12/$E$52)</f>
        <v>75.903614457831324</v>
      </c>
      <c r="G12" s="89">
        <f>(G$52*E12/$E$52)</f>
        <v>68.674698795180717</v>
      </c>
      <c r="H12" s="89">
        <f>(H$52*E12/$E$52)</f>
        <v>75.903614457831324</v>
      </c>
      <c r="I12" s="89">
        <f>(I$52*E12/$E$52)</f>
        <v>79.518072289156621</v>
      </c>
      <c r="J12" s="96" t="s">
        <v>68</v>
      </c>
    </row>
    <row r="13" spans="4:10" x14ac:dyDescent="0.3">
      <c r="D13" s="74" t="s">
        <v>57</v>
      </c>
      <c r="E13" s="85" t="str">
        <f>'ΑΝΑΛΩΣΗ ΥΛΙΚΩΝ ΣΥΝΟΛΟ'!J15</f>
        <v>-</v>
      </c>
      <c r="F13" s="89"/>
      <c r="G13" s="89"/>
      <c r="H13" s="89"/>
      <c r="I13" s="89"/>
      <c r="J13" s="94" t="s">
        <v>68</v>
      </c>
    </row>
    <row r="14" spans="4:10" x14ac:dyDescent="0.3">
      <c r="D14" s="74" t="s">
        <v>58</v>
      </c>
      <c r="E14" s="85">
        <f>'ΑΝΑΛΩΣΗ ΥΛΙΚΩΝ ΣΥΝΟΛΟ'!J16</f>
        <v>20</v>
      </c>
      <c r="F14" s="89">
        <f>3</f>
        <v>3</v>
      </c>
      <c r="G14" s="89">
        <v>11</v>
      </c>
      <c r="H14" s="89">
        <v>10</v>
      </c>
      <c r="I14" s="89">
        <v>8</v>
      </c>
      <c r="J14" s="94" t="s">
        <v>68</v>
      </c>
    </row>
    <row r="15" spans="4:10" x14ac:dyDescent="0.3">
      <c r="D15" s="74" t="s">
        <v>59</v>
      </c>
      <c r="E15" s="85">
        <f>'ΑΝΑΛΩΣΗ ΥΛΙΚΩΝ ΣΥΝΟΛΟ'!J17</f>
        <v>10</v>
      </c>
      <c r="F15" s="89">
        <v>11</v>
      </c>
      <c r="G15" s="89">
        <v>20</v>
      </c>
      <c r="H15" s="89">
        <v>14</v>
      </c>
      <c r="I15" s="89">
        <v>11</v>
      </c>
      <c r="J15" s="94" t="s">
        <v>68</v>
      </c>
    </row>
    <row r="16" spans="4:10" x14ac:dyDescent="0.3">
      <c r="D16" s="74" t="s">
        <v>60</v>
      </c>
      <c r="E16" s="85">
        <f>'ΑΝΑΛΩΣΗ ΥΛΙΚΩΝ ΣΥΝΟΛΟ'!J18</f>
        <v>30</v>
      </c>
      <c r="F16" s="89"/>
      <c r="G16" s="89"/>
      <c r="H16" s="89"/>
      <c r="I16" s="89"/>
      <c r="J16" s="94" t="s">
        <v>68</v>
      </c>
    </row>
    <row r="17" spans="4:10" ht="15" thickBot="1" x14ac:dyDescent="0.35">
      <c r="D17" s="73" t="s">
        <v>61</v>
      </c>
      <c r="E17" s="85">
        <f>'ΑΝΑΛΩΣΗ ΥΛΙΚΩΝ ΣΥΝΟΛΟ'!J19</f>
        <v>30</v>
      </c>
      <c r="F17" s="89">
        <f>F6</f>
        <v>52</v>
      </c>
      <c r="G17" s="89">
        <f>G6</f>
        <v>79</v>
      </c>
      <c r="H17" s="89">
        <f t="shared" ref="H17:I17" si="2">H6</f>
        <v>76</v>
      </c>
      <c r="I17" s="89">
        <f t="shared" si="2"/>
        <v>89</v>
      </c>
      <c r="J17" s="98" t="s">
        <v>68</v>
      </c>
    </row>
    <row r="18" spans="4:10" ht="16.2" x14ac:dyDescent="0.3">
      <c r="D18" s="75" t="s">
        <v>62</v>
      </c>
      <c r="E18" s="85">
        <f>'ΑΝΑΛΩΣΗ ΥΛΙΚΩΝ ΣΥΝΟΛΟ'!J20</f>
        <v>12400</v>
      </c>
      <c r="F18" s="89">
        <f>(F$52*E18/$E$52)</f>
        <v>3137.3493975903616</v>
      </c>
      <c r="G18" s="89">
        <f>($G$52*E18/$E$52)</f>
        <v>2838.5542168674697</v>
      </c>
      <c r="H18" s="89">
        <f>($H$52*E18/$E$52)</f>
        <v>3137.3493975903616</v>
      </c>
      <c r="I18" s="89">
        <f>($I$52*E18/$E$52)</f>
        <v>3286.7469879518071</v>
      </c>
      <c r="J18" s="97" t="s">
        <v>114</v>
      </c>
    </row>
    <row r="19" spans="4:10" x14ac:dyDescent="0.3">
      <c r="D19" s="74" t="s">
        <v>63</v>
      </c>
      <c r="E19" s="85">
        <f>'ΑΝΑΛΩΣΗ ΥΛΙΚΩΝ ΣΥΝΟΛΟ'!J21</f>
        <v>5200</v>
      </c>
      <c r="F19" s="89">
        <f t="shared" ref="F19:F22" si="3">(F$52*E19/$E$52)</f>
        <v>1315.6626506024097</v>
      </c>
      <c r="G19" s="89">
        <f t="shared" ref="G19:G22" si="4">($G$52*E19/$E$52)</f>
        <v>1190.3614457831325</v>
      </c>
      <c r="H19" s="89">
        <f t="shared" ref="H19:H22" si="5">($H$52*E19/$E$52)</f>
        <v>1315.6626506024097</v>
      </c>
      <c r="I19" s="89">
        <f t="shared" ref="I19:I22" si="6">($I$52*E19/$E$52)</f>
        <v>1378.3132530120481</v>
      </c>
      <c r="J19" s="94" t="s">
        <v>68</v>
      </c>
    </row>
    <row r="20" spans="4:10" x14ac:dyDescent="0.3">
      <c r="D20" s="74" t="s">
        <v>103</v>
      </c>
      <c r="E20" s="85">
        <f>'ΑΝΑΛΩΣΗ ΥΛΙΚΩΝ ΣΥΝΟΛΟ'!J22</f>
        <v>1800</v>
      </c>
      <c r="F20" s="89">
        <f t="shared" si="3"/>
        <v>455.42168674698797</v>
      </c>
      <c r="G20" s="89">
        <f t="shared" si="4"/>
        <v>412.04819277108436</v>
      </c>
      <c r="H20" s="89">
        <f t="shared" si="5"/>
        <v>455.42168674698797</v>
      </c>
      <c r="I20" s="89">
        <f t="shared" si="6"/>
        <v>477.10843373493975</v>
      </c>
      <c r="J20" s="94" t="s">
        <v>68</v>
      </c>
    </row>
    <row r="21" spans="4:10" x14ac:dyDescent="0.3">
      <c r="D21" s="74" t="s">
        <v>64</v>
      </c>
      <c r="E21" s="85">
        <f>'ΑΝΑΛΩΣΗ ΥΛΙΚΩΝ ΣΥΝΟΛΟ'!J23</f>
        <v>2300</v>
      </c>
      <c r="F21" s="89">
        <f t="shared" si="3"/>
        <v>581.92771084337346</v>
      </c>
      <c r="G21" s="89">
        <f t="shared" si="4"/>
        <v>526.50602409638554</v>
      </c>
      <c r="H21" s="89">
        <f t="shared" si="5"/>
        <v>581.92771084337346</v>
      </c>
      <c r="I21" s="89">
        <f t="shared" si="6"/>
        <v>609.63855421686742</v>
      </c>
      <c r="J21" s="94" t="s">
        <v>68</v>
      </c>
    </row>
    <row r="22" spans="4:10" ht="15" thickBot="1" x14ac:dyDescent="0.35">
      <c r="D22" s="73" t="s">
        <v>65</v>
      </c>
      <c r="E22" s="85">
        <f>'ΑΝΑΛΩΣΗ ΥΛΙΚΩΝ ΣΥΝΟΛΟ'!J24</f>
        <v>92</v>
      </c>
      <c r="F22" s="89">
        <f t="shared" si="3"/>
        <v>23.277108433734941</v>
      </c>
      <c r="G22" s="89">
        <f t="shared" si="4"/>
        <v>21.060240963855421</v>
      </c>
      <c r="H22" s="89">
        <f t="shared" si="5"/>
        <v>23.277108433734941</v>
      </c>
      <c r="I22" s="89">
        <f t="shared" si="6"/>
        <v>24.3855421686747</v>
      </c>
      <c r="J22" s="98" t="s">
        <v>68</v>
      </c>
    </row>
    <row r="23" spans="4:10" x14ac:dyDescent="0.3">
      <c r="D23" s="76" t="s">
        <v>70</v>
      </c>
      <c r="E23" s="86" t="str">
        <f>'ΑΝΑΛΩΣΗ ΥΛΙΚΩΝ ΣΥΝΟΛΟ'!J28</f>
        <v>-</v>
      </c>
      <c r="F23" s="85" t="str">
        <f t="shared" ref="F23:F29" si="7">IF(E23="-","-",(F$52*E23/$E$52))</f>
        <v>-</v>
      </c>
      <c r="G23" s="85" t="str">
        <f>IF(E23="-","-",(G$52*E23/$E$52))</f>
        <v>-</v>
      </c>
      <c r="H23" s="85" t="str">
        <f>IF(E23="-","-",(H$52*E23/$E$52))</f>
        <v>-</v>
      </c>
      <c r="I23" s="85" t="str">
        <f>IF(E23="-","-",(I$52*E23/$E$52))</f>
        <v>-</v>
      </c>
      <c r="J23" s="99" t="s">
        <v>67</v>
      </c>
    </row>
    <row r="24" spans="4:10" x14ac:dyDescent="0.3">
      <c r="D24" s="77" t="s">
        <v>88</v>
      </c>
      <c r="E24" s="86" t="str">
        <f>'ΑΝΑΛΩΣΗ ΥΛΙΚΩΝ ΣΥΝΟΛΟ'!J29</f>
        <v>-</v>
      </c>
      <c r="F24" s="85" t="str">
        <f t="shared" si="7"/>
        <v>-</v>
      </c>
      <c r="G24" s="85" t="str">
        <f t="shared" ref="G24:G50" si="8">IF(E24="-","-",(G$52*E24/$E$52))</f>
        <v>-</v>
      </c>
      <c r="H24" s="85" t="str">
        <f t="shared" ref="H24:H50" si="9">IF(E24="-","-",(H$52*E24/$E$52))</f>
        <v>-</v>
      </c>
      <c r="I24" s="85" t="str">
        <f t="shared" ref="I24:I50" si="10">IF(E24="-","-",(I$52*E24/$E$52))</f>
        <v>-</v>
      </c>
      <c r="J24" s="100" t="s">
        <v>67</v>
      </c>
    </row>
    <row r="25" spans="4:10" x14ac:dyDescent="0.3">
      <c r="D25" s="77" t="s">
        <v>89</v>
      </c>
      <c r="E25" s="86" t="str">
        <f>'ΑΝΑΛΩΣΗ ΥΛΙΚΩΝ ΣΥΝΟΛΟ'!J30</f>
        <v>-</v>
      </c>
      <c r="F25" s="85" t="str">
        <f t="shared" si="7"/>
        <v>-</v>
      </c>
      <c r="G25" s="85" t="str">
        <f t="shared" si="8"/>
        <v>-</v>
      </c>
      <c r="H25" s="85" t="str">
        <f t="shared" si="9"/>
        <v>-</v>
      </c>
      <c r="I25" s="85" t="str">
        <f t="shared" si="10"/>
        <v>-</v>
      </c>
      <c r="J25" s="100" t="s">
        <v>68</v>
      </c>
    </row>
    <row r="26" spans="4:10" x14ac:dyDescent="0.3">
      <c r="D26" s="77" t="s">
        <v>90</v>
      </c>
      <c r="E26" s="86" t="str">
        <f>'ΑΝΑΛΩΣΗ ΥΛΙΚΩΝ ΣΥΝΟΛΟ'!J31</f>
        <v>-</v>
      </c>
      <c r="F26" s="85" t="str">
        <f t="shared" si="7"/>
        <v>-</v>
      </c>
      <c r="G26" s="85" t="str">
        <f t="shared" si="8"/>
        <v>-</v>
      </c>
      <c r="H26" s="85" t="str">
        <f t="shared" si="9"/>
        <v>-</v>
      </c>
      <c r="I26" s="85" t="str">
        <f t="shared" si="10"/>
        <v>-</v>
      </c>
      <c r="J26" s="100" t="s">
        <v>68</v>
      </c>
    </row>
    <row r="27" spans="4:10" x14ac:dyDescent="0.3">
      <c r="D27" s="77" t="s">
        <v>92</v>
      </c>
      <c r="E27" s="86" t="str">
        <f>'ΑΝΑΛΩΣΗ ΥΛΙΚΩΝ ΣΥΝΟΛΟ'!J32</f>
        <v>-</v>
      </c>
      <c r="F27" s="85" t="str">
        <f t="shared" si="7"/>
        <v>-</v>
      </c>
      <c r="G27" s="85" t="str">
        <f t="shared" si="8"/>
        <v>-</v>
      </c>
      <c r="H27" s="85" t="str">
        <f t="shared" si="9"/>
        <v>-</v>
      </c>
      <c r="I27" s="85" t="str">
        <f t="shared" si="10"/>
        <v>-</v>
      </c>
      <c r="J27" s="100" t="s">
        <v>68</v>
      </c>
    </row>
    <row r="28" spans="4:10" x14ac:dyDescent="0.3">
      <c r="D28" s="77" t="s">
        <v>93</v>
      </c>
      <c r="E28" s="86" t="str">
        <f>'ΑΝΑΛΩΣΗ ΥΛΙΚΩΝ ΣΥΝΟΛΟ'!J33</f>
        <v>-</v>
      </c>
      <c r="F28" s="85" t="str">
        <f t="shared" si="7"/>
        <v>-</v>
      </c>
      <c r="G28" s="85" t="str">
        <f t="shared" si="8"/>
        <v>-</v>
      </c>
      <c r="H28" s="85" t="str">
        <f t="shared" si="9"/>
        <v>-</v>
      </c>
      <c r="I28" s="85" t="str">
        <f t="shared" si="10"/>
        <v>-</v>
      </c>
      <c r="J28" s="100" t="s">
        <v>68</v>
      </c>
    </row>
    <row r="29" spans="4:10" x14ac:dyDescent="0.3">
      <c r="D29" s="77" t="s">
        <v>94</v>
      </c>
      <c r="E29" s="86" t="str">
        <f>'ΑΝΑΛΩΣΗ ΥΛΙΚΩΝ ΣΥΝΟΛΟ'!J34</f>
        <v>-</v>
      </c>
      <c r="F29" s="85" t="str">
        <f t="shared" si="7"/>
        <v>-</v>
      </c>
      <c r="G29" s="85" t="str">
        <f t="shared" si="8"/>
        <v>-</v>
      </c>
      <c r="H29" s="85" t="str">
        <f t="shared" si="9"/>
        <v>-</v>
      </c>
      <c r="I29" s="85" t="str">
        <f t="shared" si="10"/>
        <v>-</v>
      </c>
      <c r="J29" s="100" t="s">
        <v>67</v>
      </c>
    </row>
    <row r="30" spans="4:10" ht="16.2" x14ac:dyDescent="0.3">
      <c r="D30" s="77" t="s">
        <v>95</v>
      </c>
      <c r="E30" s="86" t="str">
        <f>'ΑΝΑΛΩΣΗ ΥΛΙΚΩΝ ΣΥΝΟΛΟ'!J35</f>
        <v>-</v>
      </c>
      <c r="F30" s="85" t="str">
        <f>IF(E30="-","-",F$52*E30/$E$52)</f>
        <v>-</v>
      </c>
      <c r="G30" s="85" t="str">
        <f t="shared" si="8"/>
        <v>-</v>
      </c>
      <c r="H30" s="85" t="str">
        <f t="shared" si="9"/>
        <v>-</v>
      </c>
      <c r="I30" s="85" t="str">
        <f t="shared" si="10"/>
        <v>-</v>
      </c>
      <c r="J30" s="100" t="s">
        <v>114</v>
      </c>
    </row>
    <row r="31" spans="4:10" ht="16.2" x14ac:dyDescent="0.3">
      <c r="D31" s="77" t="s">
        <v>97</v>
      </c>
      <c r="E31" s="86" t="str">
        <f>'ΑΝΑΛΩΣΗ ΥΛΙΚΩΝ ΣΥΝΟΛΟ'!J36</f>
        <v>-</v>
      </c>
      <c r="F31" s="85" t="str">
        <f>IF(E31="-","-",F$52*E31/$E$52)</f>
        <v>-</v>
      </c>
      <c r="G31" s="85" t="str">
        <f t="shared" si="8"/>
        <v>-</v>
      </c>
      <c r="H31" s="85" t="str">
        <f t="shared" si="9"/>
        <v>-</v>
      </c>
      <c r="I31" s="85" t="str">
        <f t="shared" si="10"/>
        <v>-</v>
      </c>
      <c r="J31" s="100" t="s">
        <v>67</v>
      </c>
    </row>
    <row r="32" spans="4:10" x14ac:dyDescent="0.3">
      <c r="D32" s="77" t="s">
        <v>98</v>
      </c>
      <c r="E32" s="86" t="str">
        <f>'ΑΝΑΛΩΣΗ ΥΛΙΚΩΝ ΣΥΝΟΛΟ'!J37</f>
        <v>-</v>
      </c>
      <c r="F32" s="85" t="str">
        <f>IF(E32="-","-",F$52*E32/$E$52)</f>
        <v>-</v>
      </c>
      <c r="G32" s="85" t="str">
        <f t="shared" si="8"/>
        <v>-</v>
      </c>
      <c r="H32" s="85" t="str">
        <f t="shared" si="9"/>
        <v>-</v>
      </c>
      <c r="I32" s="85" t="str">
        <f t="shared" si="10"/>
        <v>-</v>
      </c>
      <c r="J32" s="100" t="s">
        <v>68</v>
      </c>
    </row>
    <row r="33" spans="4:10" ht="15" thickBot="1" x14ac:dyDescent="0.35">
      <c r="D33" s="78" t="s">
        <v>71</v>
      </c>
      <c r="E33" s="86" t="str">
        <f>'ΑΝΑΛΩΣΗ ΥΛΙΚΩΝ ΣΥΝΟΛΟ'!J38</f>
        <v>-</v>
      </c>
      <c r="F33" s="85" t="str">
        <f t="shared" ref="F33:F50" si="11">IF(E33="-","-",F$52*E33/$E$52)</f>
        <v>-</v>
      </c>
      <c r="G33" s="85" t="str">
        <f t="shared" si="8"/>
        <v>-</v>
      </c>
      <c r="H33" s="85" t="str">
        <f t="shared" si="9"/>
        <v>-</v>
      </c>
      <c r="I33" s="85" t="str">
        <f t="shared" si="10"/>
        <v>-</v>
      </c>
      <c r="J33" s="101" t="s">
        <v>68</v>
      </c>
    </row>
    <row r="34" spans="4:10" x14ac:dyDescent="0.3">
      <c r="D34" s="79" t="s">
        <v>99</v>
      </c>
      <c r="E34" s="87" t="str">
        <f>'ΑΝΑΛΩΣΗ ΥΛΙΚΩΝ ΣΥΝΟΛΟ'!J25</f>
        <v>-</v>
      </c>
      <c r="F34" s="85" t="str">
        <f t="shared" si="11"/>
        <v>-</v>
      </c>
      <c r="G34" s="85" t="str">
        <f t="shared" si="8"/>
        <v>-</v>
      </c>
      <c r="H34" s="85" t="str">
        <f t="shared" si="9"/>
        <v>-</v>
      </c>
      <c r="I34" s="85" t="str">
        <f t="shared" si="10"/>
        <v>-</v>
      </c>
      <c r="J34" s="96" t="s">
        <v>68</v>
      </c>
    </row>
    <row r="35" spans="4:10" x14ac:dyDescent="0.3">
      <c r="D35" s="80" t="s">
        <v>100</v>
      </c>
      <c r="E35" s="87" t="str">
        <f>'ΑΝΑΛΩΣΗ ΥΛΙΚΩΝ ΣΥΝΟΛΟ'!J26</f>
        <v>-</v>
      </c>
      <c r="F35" s="85" t="str">
        <f t="shared" si="11"/>
        <v>-</v>
      </c>
      <c r="G35" s="85" t="str">
        <f t="shared" si="8"/>
        <v>-</v>
      </c>
      <c r="H35" s="85" t="str">
        <f t="shared" si="9"/>
        <v>-</v>
      </c>
      <c r="I35" s="85" t="str">
        <f t="shared" si="10"/>
        <v>-</v>
      </c>
      <c r="J35" s="94" t="s">
        <v>68</v>
      </c>
    </row>
    <row r="36" spans="4:10" ht="15" thickBot="1" x14ac:dyDescent="0.35">
      <c r="D36" s="81" t="s">
        <v>101</v>
      </c>
      <c r="E36" s="87" t="str">
        <f>'ΑΝΑΛΩΣΗ ΥΛΙΚΩΝ ΣΥΝΟΛΟ'!J27</f>
        <v>-</v>
      </c>
      <c r="F36" s="85" t="str">
        <f t="shared" si="11"/>
        <v>-</v>
      </c>
      <c r="G36" s="85" t="str">
        <f t="shared" si="8"/>
        <v>-</v>
      </c>
      <c r="H36" s="85" t="str">
        <f t="shared" si="9"/>
        <v>-</v>
      </c>
      <c r="I36" s="85" t="str">
        <f t="shared" si="10"/>
        <v>-</v>
      </c>
      <c r="J36" s="98" t="s">
        <v>68</v>
      </c>
    </row>
    <row r="37" spans="4:10" x14ac:dyDescent="0.3">
      <c r="D37" s="82" t="s">
        <v>81</v>
      </c>
      <c r="E37" s="31" t="str">
        <f>'ΑΝΑΛΩΣΗ ΥΛΙΚΩΝ ΣΥΝΟΛΟ'!J39</f>
        <v>-</v>
      </c>
      <c r="F37" s="85" t="str">
        <f t="shared" si="11"/>
        <v>-</v>
      </c>
      <c r="G37" s="85" t="str">
        <f t="shared" si="8"/>
        <v>-</v>
      </c>
      <c r="H37" s="85" t="str">
        <f t="shared" si="9"/>
        <v>-</v>
      </c>
      <c r="I37" s="85" t="str">
        <f t="shared" si="10"/>
        <v>-</v>
      </c>
      <c r="J37" s="96" t="s">
        <v>68</v>
      </c>
    </row>
    <row r="38" spans="4:10" x14ac:dyDescent="0.3">
      <c r="D38" s="83" t="s">
        <v>82</v>
      </c>
      <c r="E38" s="31" t="str">
        <f>'ΑΝΑΛΩΣΗ ΥΛΙΚΩΝ ΣΥΝΟΛΟ'!J40</f>
        <v>-</v>
      </c>
      <c r="F38" s="85" t="str">
        <f t="shared" si="11"/>
        <v>-</v>
      </c>
      <c r="G38" s="85" t="str">
        <f t="shared" si="8"/>
        <v>-</v>
      </c>
      <c r="H38" s="85" t="str">
        <f t="shared" si="9"/>
        <v>-</v>
      </c>
      <c r="I38" s="85" t="str">
        <f t="shared" si="10"/>
        <v>-</v>
      </c>
      <c r="J38" s="94" t="s">
        <v>68</v>
      </c>
    </row>
    <row r="39" spans="4:10" x14ac:dyDescent="0.3">
      <c r="D39" s="83" t="s">
        <v>86</v>
      </c>
      <c r="E39" s="31" t="str">
        <f>'ΑΝΑΛΩΣΗ ΥΛΙΚΩΝ ΣΥΝΟΛΟ'!J44</f>
        <v>-</v>
      </c>
      <c r="F39" s="85" t="str">
        <f t="shared" si="11"/>
        <v>-</v>
      </c>
      <c r="G39" s="85" t="str">
        <f t="shared" si="8"/>
        <v>-</v>
      </c>
      <c r="H39" s="85" t="str">
        <f t="shared" si="9"/>
        <v>-</v>
      </c>
      <c r="I39" s="85" t="str">
        <f t="shared" si="10"/>
        <v>-</v>
      </c>
      <c r="J39" s="94" t="s">
        <v>68</v>
      </c>
    </row>
    <row r="40" spans="4:10" x14ac:dyDescent="0.3">
      <c r="D40" s="83" t="s">
        <v>87</v>
      </c>
      <c r="E40" s="31" t="str">
        <f>'ΑΝΑΛΩΣΗ ΥΛΙΚΩΝ ΣΥΝΟΛΟ'!J45</f>
        <v>-</v>
      </c>
      <c r="F40" s="85" t="str">
        <f t="shared" si="11"/>
        <v>-</v>
      </c>
      <c r="G40" s="85" t="str">
        <f t="shared" si="8"/>
        <v>-</v>
      </c>
      <c r="H40" s="85" t="str">
        <f t="shared" si="9"/>
        <v>-</v>
      </c>
      <c r="I40" s="85" t="str">
        <f t="shared" si="10"/>
        <v>-</v>
      </c>
      <c r="J40" s="94" t="s">
        <v>68</v>
      </c>
    </row>
    <row r="41" spans="4:10" x14ac:dyDescent="0.3">
      <c r="D41" s="83" t="s">
        <v>54</v>
      </c>
      <c r="E41" s="31" t="str">
        <f>'ΑΝΑΛΩΣΗ ΥΛΙΚΩΝ ΣΥΝΟΛΟ'!J46</f>
        <v>-</v>
      </c>
      <c r="F41" s="85" t="str">
        <f t="shared" si="11"/>
        <v>-</v>
      </c>
      <c r="G41" s="85" t="str">
        <f t="shared" si="8"/>
        <v>-</v>
      </c>
      <c r="H41" s="85" t="str">
        <f t="shared" si="9"/>
        <v>-</v>
      </c>
      <c r="I41" s="85" t="str">
        <f t="shared" si="10"/>
        <v>-</v>
      </c>
      <c r="J41" s="94" t="s">
        <v>68</v>
      </c>
    </row>
    <row r="42" spans="4:10" x14ac:dyDescent="0.3">
      <c r="D42" s="83" t="s">
        <v>55</v>
      </c>
      <c r="E42" s="31" t="str">
        <f>'ΑΝΑΛΩΣΗ ΥΛΙΚΩΝ ΣΥΝΟΛΟ'!J47</f>
        <v>-</v>
      </c>
      <c r="F42" s="85" t="str">
        <f t="shared" si="11"/>
        <v>-</v>
      </c>
      <c r="G42" s="85" t="str">
        <f t="shared" si="8"/>
        <v>-</v>
      </c>
      <c r="H42" s="85" t="str">
        <f t="shared" si="9"/>
        <v>-</v>
      </c>
      <c r="I42" s="85" t="str">
        <f t="shared" si="10"/>
        <v>-</v>
      </c>
      <c r="J42" s="94" t="s">
        <v>68</v>
      </c>
    </row>
    <row r="43" spans="4:10" x14ac:dyDescent="0.3">
      <c r="D43" s="83" t="s">
        <v>66</v>
      </c>
      <c r="E43" s="31" t="str">
        <f>'ΑΝΑΛΩΣΗ ΥΛΙΚΩΝ ΣΥΝΟΛΟ'!J48</f>
        <v>-</v>
      </c>
      <c r="F43" s="85" t="str">
        <f t="shared" si="11"/>
        <v>-</v>
      </c>
      <c r="G43" s="85" t="str">
        <f t="shared" si="8"/>
        <v>-</v>
      </c>
      <c r="H43" s="85" t="str">
        <f t="shared" si="9"/>
        <v>-</v>
      </c>
      <c r="I43" s="85" t="str">
        <f t="shared" si="10"/>
        <v>-</v>
      </c>
      <c r="J43" s="94" t="s">
        <v>27</v>
      </c>
    </row>
    <row r="44" spans="4:10" x14ac:dyDescent="0.3">
      <c r="D44" s="83" t="s">
        <v>84</v>
      </c>
      <c r="E44" s="31" t="str">
        <f>'ΑΝΑΛΩΣΗ ΥΛΙΚΩΝ ΣΥΝΟΛΟ'!J49</f>
        <v>-</v>
      </c>
      <c r="F44" s="85" t="str">
        <f t="shared" si="11"/>
        <v>-</v>
      </c>
      <c r="G44" s="85" t="str">
        <f t="shared" si="8"/>
        <v>-</v>
      </c>
      <c r="H44" s="85" t="str">
        <f t="shared" si="9"/>
        <v>-</v>
      </c>
      <c r="I44" s="85" t="str">
        <f t="shared" si="10"/>
        <v>-</v>
      </c>
      <c r="J44" s="94" t="s">
        <v>27</v>
      </c>
    </row>
    <row r="45" spans="4:10" x14ac:dyDescent="0.3">
      <c r="D45" s="83" t="s">
        <v>69</v>
      </c>
      <c r="E45" s="31" t="str">
        <f>'ΑΝΑΛΩΣΗ ΥΛΙΚΩΝ ΣΥΝΟΛΟ'!J50</f>
        <v>-</v>
      </c>
      <c r="F45" s="85" t="str">
        <f t="shared" si="11"/>
        <v>-</v>
      </c>
      <c r="G45" s="85" t="str">
        <f t="shared" si="8"/>
        <v>-</v>
      </c>
      <c r="H45" s="85" t="str">
        <f t="shared" si="9"/>
        <v>-</v>
      </c>
      <c r="I45" s="85" t="str">
        <f t="shared" si="10"/>
        <v>-</v>
      </c>
      <c r="J45" s="94" t="s">
        <v>27</v>
      </c>
    </row>
    <row r="46" spans="4:10" x14ac:dyDescent="0.3">
      <c r="D46" s="83" t="s">
        <v>57</v>
      </c>
      <c r="E46" s="31" t="str">
        <f>'ΑΝΑΛΩΣΗ ΥΛΙΚΩΝ ΣΥΝΟΛΟ'!J53</f>
        <v>-</v>
      </c>
      <c r="F46" s="85" t="str">
        <f t="shared" si="11"/>
        <v>-</v>
      </c>
      <c r="G46" s="85" t="str">
        <f t="shared" si="8"/>
        <v>-</v>
      </c>
      <c r="H46" s="85" t="str">
        <f t="shared" si="9"/>
        <v>-</v>
      </c>
      <c r="I46" s="85" t="str">
        <f t="shared" si="10"/>
        <v>-</v>
      </c>
      <c r="J46" s="94" t="s">
        <v>68</v>
      </c>
    </row>
    <row r="47" spans="4:10" x14ac:dyDescent="0.3">
      <c r="D47" s="83" t="s">
        <v>58</v>
      </c>
      <c r="E47" s="31" t="str">
        <f>'ΑΝΑΛΩΣΗ ΥΛΙΚΩΝ ΣΥΝΟΛΟ'!J53</f>
        <v>-</v>
      </c>
      <c r="F47" s="85" t="str">
        <f t="shared" si="11"/>
        <v>-</v>
      </c>
      <c r="G47" s="85" t="str">
        <f t="shared" si="8"/>
        <v>-</v>
      </c>
      <c r="H47" s="85" t="str">
        <f t="shared" si="9"/>
        <v>-</v>
      </c>
      <c r="I47" s="85" t="str">
        <f t="shared" si="10"/>
        <v>-</v>
      </c>
      <c r="J47" s="94" t="s">
        <v>68</v>
      </c>
    </row>
    <row r="48" spans="4:10" x14ac:dyDescent="0.3">
      <c r="D48" s="83" t="s">
        <v>60</v>
      </c>
      <c r="E48" s="31" t="str">
        <f>'ΑΝΑΛΩΣΗ ΥΛΙΚΩΝ ΣΥΝΟΛΟ'!J54</f>
        <v>-</v>
      </c>
      <c r="F48" s="85" t="str">
        <f t="shared" si="11"/>
        <v>-</v>
      </c>
      <c r="G48" s="85" t="str">
        <f t="shared" si="8"/>
        <v>-</v>
      </c>
      <c r="H48" s="85" t="str">
        <f t="shared" si="9"/>
        <v>-</v>
      </c>
      <c r="I48" s="85" t="str">
        <f t="shared" si="10"/>
        <v>-</v>
      </c>
      <c r="J48" s="94" t="s">
        <v>68</v>
      </c>
    </row>
    <row r="49" spans="4:10" x14ac:dyDescent="0.3">
      <c r="D49" s="83" t="s">
        <v>83</v>
      </c>
      <c r="E49" s="31" t="str">
        <f>'ΑΝΑΛΩΣΗ ΥΛΙΚΩΝ ΣΥΝΟΛΟ'!J56</f>
        <v>-</v>
      </c>
      <c r="F49" s="85" t="str">
        <f t="shared" si="11"/>
        <v>-</v>
      </c>
      <c r="G49" s="85" t="str">
        <f t="shared" si="8"/>
        <v>-</v>
      </c>
      <c r="H49" s="85" t="str">
        <f t="shared" si="9"/>
        <v>-</v>
      </c>
      <c r="I49" s="85" t="str">
        <f t="shared" si="10"/>
        <v>-</v>
      </c>
      <c r="J49" s="94" t="s">
        <v>68</v>
      </c>
    </row>
    <row r="50" spans="4:10" ht="15" thickBot="1" x14ac:dyDescent="0.35">
      <c r="D50" s="84" t="s">
        <v>85</v>
      </c>
      <c r="E50" s="88" t="str">
        <f>'ΑΝΑΛΩΣΗ ΥΛΙΚΩΝ ΣΥΝΟΛΟ'!J57</f>
        <v>-</v>
      </c>
      <c r="F50" s="90" t="str">
        <f t="shared" si="11"/>
        <v>-</v>
      </c>
      <c r="G50" s="90" t="str">
        <f t="shared" si="8"/>
        <v>-</v>
      </c>
      <c r="H50" s="90" t="str">
        <f t="shared" si="9"/>
        <v>-</v>
      </c>
      <c r="I50" s="90" t="str">
        <f t="shared" si="10"/>
        <v>-</v>
      </c>
      <c r="J50" s="98" t="s">
        <v>68</v>
      </c>
    </row>
    <row r="51" spans="4:10" ht="15" thickBot="1" x14ac:dyDescent="0.35"/>
    <row r="52" spans="4:10" ht="15" thickBot="1" x14ac:dyDescent="0.35">
      <c r="D52" s="102" t="s">
        <v>113</v>
      </c>
      <c r="E52" s="103">
        <v>8300</v>
      </c>
      <c r="F52" s="103">
        <v>2100</v>
      </c>
      <c r="G52" s="103">
        <v>1900</v>
      </c>
      <c r="H52" s="103">
        <v>2100</v>
      </c>
      <c r="I52" s="104">
        <v>2200</v>
      </c>
    </row>
  </sheetData>
  <pageMargins left="0.25" right="0.25" top="0.75" bottom="0.75" header="0.3" footer="0.3"/>
  <pageSetup paperSize="9" scale="63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ΣΤΟΙΧΕΙΑ ΚΤΗΜΑΤΟΣ</vt:lpstr>
      <vt:lpstr>ΑΝΑΛΩΣΗ ΥΛΙΚΩΝ ΣΥΝΟΛΟ</vt:lpstr>
      <vt:lpstr>ΑΝΑΛΩΣΗ ΥΛΙΚΩΝ ΕΠΙΜΕΡΟΥΣ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Theodosiadis</dc:creator>
  <cp:lastModifiedBy>Konstantinos Sampris</cp:lastModifiedBy>
  <cp:lastPrinted>2025-05-29T07:12:59Z</cp:lastPrinted>
  <dcterms:created xsi:type="dcterms:W3CDTF">2023-07-31T10:32:23Z</dcterms:created>
  <dcterms:modified xsi:type="dcterms:W3CDTF">2025-09-19T16:59:15Z</dcterms:modified>
</cp:coreProperties>
</file>