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tBox. " sheetId="1" r:id="rId1"/>
  </sheets>
  <definedNames>
    <definedName name="arrow_part_data">'HotBox. '!$H$5:$L$27</definedName>
    <definedName name="BoardQty">'HotBox. '!$G$1</definedName>
    <definedName name="digikey_part_data">'HotBox. '!$M$5:$Q$27</definedName>
    <definedName name="farnell_part_data">'HotBox. '!$R$5:$V$27</definedName>
    <definedName name="global_part_data">'HotBox. '!$A$5:$G$27</definedName>
    <definedName name="lcsc_part_data">'HotBox. '!$W$5:$AA$27</definedName>
    <definedName name="mouser_part_data">'HotBox. '!$AB$5:$AF$27</definedName>
    <definedName name="newark_part_data">'HotBox. '!$AG$5:$AK$27</definedName>
    <definedName name="PURCHASE_DESCRIPTION">'HotBox. '!$G$30</definedName>
    <definedName name="rs_part_data">'HotBox. '!$AL$5:$AP$27</definedName>
    <definedName name="tme_part_data">'HotBox. '!$AQ$5:$AU$27</definedName>
    <definedName name="TotalCost">'HotBox. '!$G$3</definedName>
    <definedName name="USD_GBP">'HotBox. '!$C$30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F3" authorId="0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L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Q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V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A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F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K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P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U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6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6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6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D6" authorId="0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E6" authorId="0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F6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G6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H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I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J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K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L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M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N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O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P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Q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R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S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T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U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V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W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X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Y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Z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A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B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C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D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E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F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G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H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I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J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K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L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M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N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O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P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Q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R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S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T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U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O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$12.77     $12.77</t>
        </r>
      </text>
    </comment>
    <comment ref="T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£10.66     £10.66
     5  £10.45     £52.25</t>
        </r>
      </text>
    </comment>
    <comment ref="AD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$12.51     $12.51
     5  $12.51     $62.55</t>
        </r>
      </text>
    </comment>
    <comment ref="AG7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I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$14.40     $14.40</t>
        </r>
      </text>
    </comment>
    <comment ref="AN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£9.54      £9.54</t>
        </r>
      </text>
    </comment>
    <comment ref="O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$0.81      $0.81
    10   $0.61      $6.13
    50   $0.51     $25.46
   100   $0.44     $43.85
   500   $0.34    $169.74
  1000   $0.29    $292.33
  2500   $0.27    $683.68
  5000   $0.26  $1,296.65</t>
        </r>
      </text>
    </comment>
    <comment ref="AD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$0.82      $0.82
    10   $0.62      $6.22
    25   $0.58     $14.45
   100   $0.44     $44.40
   250   $0.42    $104.75
   500   $0.34    $172.00</t>
        </r>
      </text>
    </comment>
    <comment ref="O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$0.07      $0.73
    50   $0.04      $1.98
   100   $0.03      $3.23
   500   $0.02     $11.55
  1000   $0.02     $18.15
  4000   $0.02     $60.72
  8000   $0.01    $110.88</t>
        </r>
      </text>
    </comment>
    <comment ref="AD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$0.04      $0.40
   100   $0.03      $3.30
   500   $0.03     $15.00
  1000   $0.03     $29.00
  2000   $0.03     $58.00</t>
        </r>
      </text>
    </comment>
    <comment ref="AG9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I9" authorId="0">
      <text>
        <r>
          <rPr>
            <sz val="8"/>
            <color indexed="81"/>
            <rFont val="Tahoma"/>
            <family val="2"/>
          </rPr>
          <t>Qty/Price Breaks (USD):
  Qty  -  Unit$  -  Ext$
================
 24000   $0.25  $6,024.00
 30000   $0.21  $6,240.00</t>
        </r>
      </text>
    </comment>
    <comment ref="O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$0.14      $0.14
    50   $0.13      $6.65
   100   $0.11     $11.40
   500   $0.10     $49.50
  4000   $0.10    $396.00</t>
        </r>
      </text>
    </comment>
    <comment ref="T1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£0.14      £0.72
    25   £0.12      £3.10
   100   £0.10     £10.30
   150   £0.10     £15.45
   250   £0.09     £23.58
   500   £0.09     £42.80
  1000   £0.08     £83.90</t>
        </r>
      </text>
    </comment>
    <comment ref="AD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$0.15      $0.15
    50   $0.13      $6.65
   100   $0.11     $11.40
   500   $0.11     $53.00
  1000   $0.11    $106.00
  2000   $0.11    $212.00</t>
        </r>
      </text>
    </comment>
    <comment ref="AI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5   $0.17      $0.84
    10   $0.16      $1.65
    25   $0.16      $4.02
    50   $0.16      $7.75
   100   $0.14     $13.50
   250   $0.13     $31.75
   500   $0.12     $59.00</t>
        </r>
      </text>
    </comment>
    <comment ref="AN1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100   £0.09      £9.10
   500   £0.07     £35.00
  1000   £0.07     £67.00
  2000   £0.06    £126.00
  4000   £0.06    £240.00</t>
        </r>
      </text>
    </comment>
    <comment ref="O1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$0.36      $0.36
    10   $0.30      $2.95
   100   $0.17     $16.93
   500   $0.16     $78.38
  1000   $0.11    $106.59
  2000   $0.10    $204.40
  5000   $0.09    $470.25
 10000   $0.08    $846.50</t>
        </r>
      </text>
    </comment>
    <comment ref="T11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£0.22      £1.10
    25   £0.17      £4.23
   100   £0.12     £11.70
   150   £0.12     £17.55
   250   £0.10     £25.50
   500   £0.09     £43.90
  1000   £0.07     £73.20
  5000   £0.07    £342.00</t>
        </r>
      </text>
    </comment>
    <comment ref="Y1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$0.17      $0.17
    10   $0.13      $1.28
    30   $0.12      $3.59
   100   $0.11     $11.16
   500   $0.11     $53.95
  1000   $0.11    $106.10</t>
        </r>
      </text>
    </comment>
    <comment ref="AD1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$0.36      $0.36
    10   $0.27      $2.69
   100   $0.16     $15.60
  1000   $0.10    $102.00
  5000   $0.09    $470.00
 10000   $0.09    $900.00</t>
        </r>
      </text>
    </comment>
    <comment ref="AI1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5   $0.40      $1.98
    10   $0.31      $3.06
    25   $0.26      $6.52
    50   $0.22     $10.90
   100   $0.17     $17.30
   250   $0.16     $40.00
   500   $0.15     $73.50
  1000   $0.13    $134.00
  5000   $0.10    $485.00
 10000   $0.07    $700.00
 20000   $0.07  $1,380.00
 30000   $0.07  $2,040.00
 40000   $0.07  $2,680.00</t>
        </r>
      </text>
    </comment>
    <comment ref="O1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$0.56      $0.56
     5   $0.48      $2.40
    10   $0.40      $4.00
    25   $0.38      $9.40
   100   $0.32     $32.00
   250   $0.30     $76.00
   500   $0.29    $144.00
  1000   $0.27    $272.00
  5000   $0.22  $1,080.00</t>
        </r>
      </text>
    </comment>
    <comment ref="AG12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O1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$0.85      $0.85
    25   $0.83     $20.80
   100   $0.81     $81.43
   250   $0.77    $191.35
   500   $0.68    $341.95</t>
        </r>
      </text>
    </comment>
    <comment ref="T14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£0.75      £0.75
    25   £0.62     £15.42
    50   £0.56     £27.85
   100   £0.55     £55.30
   500   £0.48    £239.00
  1000   £0.40    £405.00
  5000   £0.34  £1,695.00</t>
        </r>
      </text>
    </comment>
    <comment ref="AD1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$0.84      $0.84
    10   $0.69      $6.92
    50   $0.62     $31.20
   100   $0.62     $62.00
   200   $0.54    $108.60
   500   $0.54    $268.00</t>
        </r>
      </text>
    </comment>
    <comment ref="AI1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$0.86      $0.86
    25   $0.71     $17.65
    50   $0.64     $31.80
   100   $0.63     $63.20
   500   $0.55    $273.50
  1000   $0.46    $464.00</t>
        </r>
      </text>
    </comment>
    <comment ref="O1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$0.12      $0.12
    10   $0.11      $1.12
    25   $0.08      $2.08
    50   $0.07      $3.56
   100   $0.07      $6.89
   250   $0.06     $14.85
   500   $0.06     $28.51</t>
        </r>
      </text>
    </comment>
    <comment ref="O1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$0.48      $0.48
    10   $0.41      $4.08
    25   $0.38      $9.52
   100   $0.28     $28.28
   250   $0.27     $67.15
   500   $0.22    $110.38
  1500   $0.18    $271.52
  3000   $0.17    $510.12
  7500   $0.15  $1,151.85
 10500   $0.14  $1,497.40
 37500   $0.14  $5,224.50</t>
        </r>
      </text>
    </comment>
    <comment ref="T18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£0.53      £2.63
    10   £0.53      £5.26
    25   £0.49     £12.22
   100   £0.25     £24.90
   250   £0.23     £57.50
   500   £0.20     £99.00
  1000   £0.16    £155.00
  5000   £0.14    £715.00</t>
        </r>
      </text>
    </comment>
    <comment ref="AD1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$0.48      $0.48
    10   $0.41      $4.08
   100   $0.23     $22.70
  1000   $0.21    $207.00
  1500   $0.15    $229.50
  9000   $0.14  $1,278.00</t>
        </r>
      </text>
    </comment>
    <comment ref="AG18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I1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5   $0.48      $2.40
    10   $0.41      $4.08
    25   $0.38      $9.50
    50   $0.33     $16.55
   100   $0.28     $28.20</t>
        </r>
      </text>
    </comment>
    <comment ref="O1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$0.22      $0.22
    10   $0.18      $1.77
    25   $0.15      $3.71
   100   $0.07      $7.26
   250   $0.07     $17.86
   500   $0.06     $30.28
  1000   $0.04     $42.08
  3000   $0.04    $117.33
  6000   $0.03    $202.98
 15000   $0.03    $420.75
 30000   $0.03    $826.80
 75000   $0.02  $1,856.25
150000   $0.02  $3,217.50</t>
        </r>
      </text>
    </comment>
    <comment ref="T19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£0.13      £0.65
    50   £0.09      £4.56
   100   £0.05      £5.22
   150   £0.05      £7.83
   500   £0.03     £16.80
  1500   £0.03     £49.35
  3000   £0.02     £63.90
  9000   £0.02    £165.60</t>
        </r>
      </text>
    </comment>
    <comment ref="AD1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$0.21      $0.21
    10   $0.14      $1.43
   100   $0.06      $5.90
  1000   $0.04     $41.00
  3000   $0.03     $99.00
  9000   $0.03    $279.00</t>
        </r>
      </text>
    </comment>
    <comment ref="AG19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I1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5   $0.22      $1.10
    10   $0.15      $1.49
    25   $0.12      $3.00
    50   $0.09      $4.55
   100   $0.06      $6.20
  3000   $0.03     $93.00
  6000   $0.03    $180.00
 12000   $0.03    $336.00</t>
        </r>
      </text>
    </comment>
    <comment ref="O2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$0.22      $0.22
    10   $0.18      $1.77
    25   $0.15      $3.71
   100   $0.07      $7.26
   250   $0.07     $17.86
   500   $0.06     $30.28
  1000   $0.04     $42.08
  2500   $0.04     $97.75
  5000   $0.03    $169.15
 10000   $0.03    $280.50
 30000   $0.03    $826.80
 50000   $0.02  $1,237.50
100000   $0.02  $2,195.00
250000   $0.02  $5,362.50</t>
        </r>
      </text>
    </comment>
    <comment ref="O2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$0.04      $0.35
   100   $0.01      $1.42
  1000   $0.01      $6.36
  2500   $0.01     $13.80
  5000   $0.00     $22.80
 10000   $0.00     $39.60
 25000   $0.00     $87.00
 50000   $0.00    $163.00</t>
        </r>
      </text>
    </comment>
    <comment ref="AD2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$0.04      $0.39
   100   $0.02      $1.50
  1000   $0.01      $6.00
  5000   $0.00     $20.00
 10000   $0.00     $40.00</t>
        </r>
      </text>
    </comment>
    <comment ref="AG21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O2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$0.04      $0.35
   100   $0.01      $1.42
  1000   $0.01      $6.36
  2500   $0.01     $13.80
  5000   $0.00     $22.80
 10000   $0.00     $39.60
 25000   $0.00     $87.00
 50000   $0.00    $163.00</t>
        </r>
      </text>
    </comment>
    <comment ref="AD2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$0.04      $0.39
   100   $0.02      $1.50
  1000   $0.01      $6.00
  5000   $0.00     $20.00
 10000   $0.00     $40.00</t>
        </r>
      </text>
    </comment>
    <comment ref="AG22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O2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$0.09      $0.87
    25   $0.06      $1.50
    50   $0.05      $2.33
   100   $0.03      $3.33
   250   $0.03      $6.49
   500   $0.02     $10.32
  1000   $0.01     $14.65
  5000   $0.01     $56.60
 10000   $0.01    $101.60
 25000   $0.01    $233.00
 50000   $0.01    $438.00
125000   $0.01  $1,070.00</t>
        </r>
      </text>
    </comment>
    <comment ref="AD2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$0.13      $0.13
    10   $0.07      $0.72
   100   $0.03      $2.70
  1000   $0.02     $20.00
  5000   $0.01     $60.00
 10000   $0.01    $110.00</t>
        </r>
      </text>
    </comment>
    <comment ref="O2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$1.10      $1.10
    10   $0.98      $9.80
    25   $0.93     $23.27
    50   $0.89     $44.26
   100   $0.84     $84.37
   250   $0.81    $201.63
   500   $0.72    $361.90
  1000   $0.68    $682.44</t>
        </r>
      </text>
    </comment>
    <comment ref="AD2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$1.11      $1.11
    25   $1.05     $26.25
    50   $1.00     $49.85
   100   $0.97     $97.20
   250   $0.95    $236.75
   500   $0.89    $446.00</t>
        </r>
      </text>
    </comment>
    <comment ref="AG24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I2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5000   $1.01  $5,050.00
 10000   $0.75  $7,520.00
 50000   $0.63 $31,300.00</t>
        </r>
      </text>
    </comment>
    <comment ref="O2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$0.23      $0.23
     5   $0.22      $1.09
    10   $0.19      $1.94
    25   $0.18      $4.46
    50   $0.14      $7.14
   100   $0.12     $12.24
   500   $0.11     $53.55
  1000   $0.09     $91.80
  2000   $0.09    $183.60
  4000   $0.09    $346.80
  6000   $0.08    $489.60
 10000   $0.07    $739.50
 20000   $0.07  $1,453.60
 50000   $0.07  $3,570.00</t>
        </r>
      </text>
    </comment>
    <comment ref="T25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£0.16      £0.80
    50   £0.09      £4.69
   150   £0.09     £14.06
   250   £0.09     £22.70
   500   £0.08     £42.20
  1000   £0.08     £78.00
  2000   £0.08    £153.00
 10000   £0.07    £681.00</t>
        </r>
      </text>
    </comment>
    <comment ref="AD2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$0.21      $0.21
    10   $0.20      $1.97
   100   $0.12     $12.40
   500   $0.12     $59.00
  1000   $0.10     $99.00
  2000   $0.08    $162.00</t>
        </r>
      </text>
    </comment>
    <comment ref="AG25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I2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5   $0.20      $1.00
    10   $0.20      $1.96
    25   $0.17      $4.30
    50   $0.15      $7.35
   100   $0.12     $12.30
  2000   $0.08    $158.00
  4000   $0.08    $304.00
  8000   $0.07    $592.00
 12000   $0.07    $852.00</t>
        </r>
      </text>
    </comment>
    <comment ref="O2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$0.58      $0.58
    10   $0.51      $5.12
    25   $0.48     $12.01
   100   $0.36     $36.43
   250   $0.31     $77.50
   500   $0.29    $147.25
  1000   $0.22    $224.75
  2500   $0.21    $523.12
  5000   $0.20  $1,007.50
 10000   $0.19  $1,937.50
 25000   $0.19  $4,766.25
 62500   $0.19 $11,625.00</t>
        </r>
      </text>
    </comment>
    <comment ref="T26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£0.41      £0.41
     3   £0.41      £1.23
    10   £0.41      £4.08
    25   £0.34      £8.48
    50   £0.35     £17.35
   100   £0.29     £28.60
   250   £0.24     £61.00
   500   £0.23    £116.00
  1000   £0.18    £177.00
  2500   £0.16    £410.00
  5000   £0.16    £790.00</t>
        </r>
      </text>
    </comment>
    <comment ref="Y2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$0.37      $0.37
    10   $0.27      $2.73
    30   $0.25      $7.63
   100   $0.24     $23.72
   500   $0.23    $114.30
  1000   $0.23    $225.20</t>
        </r>
      </text>
    </comment>
    <comment ref="AD2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$0.58      $0.58
    10   $0.48      $4.81
   100   $0.36     $36.50
   250   $0.31     $77.50
   500   $0.30    $147.50
  1000   $0.22    $225.00</t>
        </r>
      </text>
    </comment>
    <comment ref="AI2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$0.28      $0.28
    10   $0.28      $2.82
    25   $0.28      $7.05
    50   $0.28     $14.10
   100   $0.26     $25.90
   250   $0.26     $64.75
   500   $0.24    $119.50
  1000   $0.24    $239.00
  2500   $0.20    $512.50
  5000   $0.20  $1,005.00
 10000   $0.20  $1,970.00
 15000   $0.19  $2,895.00
 25000   $0.19  $4,750.00</t>
        </r>
      </text>
    </comment>
    <comment ref="M27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O2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$2.15      $2.15
    10   $1.44     $14.35
   100   $1.10    $110.45
   500   $1.00    $499.20
  1000   $0.86    $858.00
  2000   $0.81  $1,622.40
  5000   $0.79  $3,962.40
 10000   $0.78  $7,800.00
 25000   $0.76 $19,032.00</t>
        </r>
      </text>
    </comment>
    <comment ref="F29" authorId="0">
      <text>
        <r>
          <rPr>
            <sz val="8"/>
            <color indexed="81"/>
            <rFont val="Tahoma"/>
            <family val="2"/>
          </rPr>
          <t>This is the total of your cart across all distributors.</t>
        </r>
      </text>
    </comment>
    <comment ref="I29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N29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S29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X29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C29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H29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M29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R29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F30" authorId="0">
      <text>
        <r>
          <rPr>
            <sz val="8"/>
            <color indexed="81"/>
            <rFont val="Tahoma"/>
            <family val="2"/>
          </rPr>
          <t>This description will be added to all purchased parts label and may be used to distinguish the component of different projects.</t>
        </r>
      </text>
    </comment>
    <comment ref="X30" authorId="0">
      <text>
        <r>
          <rPr>
            <sz val="8"/>
            <color indexed="81"/>
            <rFont val="Tahoma"/>
            <family val="2"/>
          </rPr>
          <t>Copy this header and order to CSV file and use for JLCPCB manufacture PCB housing. The multipart components that use "#" symbol is not allowed at JLCPCB.</t>
        </r>
      </text>
    </comment>
  </commentList>
</comments>
</file>

<file path=xl/sharedStrings.xml><?xml version="1.0" encoding="utf-8"?>
<sst xmlns="http://schemas.openxmlformats.org/spreadsheetml/2006/main" count="276" uniqueCount="163">
  <si>
    <t>Global Part Info</t>
  </si>
  <si>
    <t>Refs</t>
  </si>
  <si>
    <t>Value</t>
  </si>
  <si>
    <t>Footprint</t>
  </si>
  <si>
    <t>Manf#</t>
  </si>
  <si>
    <t>Qty</t>
  </si>
  <si>
    <t>Unit$</t>
  </si>
  <si>
    <t>Ext$</t>
  </si>
  <si>
    <t>A1</t>
  </si>
  <si>
    <t>Arduino_Nano_v3.x</t>
  </si>
  <si>
    <t>Arduino_Nano</t>
  </si>
  <si>
    <t>NUCLEO-G431KB</t>
  </si>
  <si>
    <t>C4</t>
  </si>
  <si>
    <t>10uF</t>
  </si>
  <si>
    <t>CP_Radial_D6.3mm_P2.50mm</t>
  </si>
  <si>
    <t>RS81C101MDN1</t>
  </si>
  <si>
    <t>C1-C3,C5</t>
  </si>
  <si>
    <t>0.1uF</t>
  </si>
  <si>
    <t>0805_C</t>
  </si>
  <si>
    <t>08055D104KAT2A</t>
  </si>
  <si>
    <t>D1</t>
  </si>
  <si>
    <t>LED</t>
  </si>
  <si>
    <t>LED_0603_1608Metric</t>
  </si>
  <si>
    <t>150060RS75000</t>
  </si>
  <si>
    <t>D2</t>
  </si>
  <si>
    <t>D</t>
  </si>
  <si>
    <t>D_SMA</t>
  </si>
  <si>
    <t>MURA230T3G</t>
  </si>
  <si>
    <t>H1-H4</t>
  </si>
  <si>
    <t>MountingHole</t>
  </si>
  <si>
    <t>MountingHole_3.2mm_M3</t>
  </si>
  <si>
    <t>RM3X6MM 2701</t>
  </si>
  <si>
    <t>J1</t>
  </si>
  <si>
    <t>Conn_01x02</t>
  </si>
  <si>
    <t>AMASS_XT30U-M_1x02_P5.0mm_Vertical</t>
  </si>
  <si>
    <t>J2,J3</t>
  </si>
  <si>
    <t>Conn_01x01</t>
  </si>
  <si>
    <t>Banana_Jack_1Pin</t>
  </si>
  <si>
    <t>575-4</t>
  </si>
  <si>
    <t>M1</t>
  </si>
  <si>
    <t>Fan_4pin</t>
  </si>
  <si>
    <t>FanPinHeader_1x04_P2.54mm_Vertical</t>
  </si>
  <si>
    <t>PREC004SAAN-RC</t>
  </si>
  <si>
    <t>M2</t>
  </si>
  <si>
    <t>Fan</t>
  </si>
  <si>
    <t>LGA1155_FAN</t>
  </si>
  <si>
    <t>PE1</t>
  </si>
  <si>
    <t>Peltier_Element</t>
  </si>
  <si>
    <t>Peltier_40x40</t>
  </si>
  <si>
    <t>Q1</t>
  </si>
  <si>
    <t>BSC028N06LS3</t>
  </si>
  <si>
    <t>TDSON-8-1</t>
  </si>
  <si>
    <t>PSMN9R1-30YL,115</t>
  </si>
  <si>
    <t>Q2</t>
  </si>
  <si>
    <t>PUMB11,115</t>
  </si>
  <si>
    <t>SOT-363_SC-70-6_Handsoldering</t>
  </si>
  <si>
    <t>Q4</t>
  </si>
  <si>
    <t>PUMD3,115</t>
  </si>
  <si>
    <t>PUMD3,165</t>
  </si>
  <si>
    <t>R14,R15</t>
  </si>
  <si>
    <t>10k</t>
  </si>
  <si>
    <t>0805_R</t>
  </si>
  <si>
    <t>CRCW080510K0JNEAC</t>
  </si>
  <si>
    <t>R2,R4</t>
  </si>
  <si>
    <t>10K</t>
  </si>
  <si>
    <t>RN1,RN2</t>
  </si>
  <si>
    <t>510</t>
  </si>
  <si>
    <t>R_Array_Convex_4x0603</t>
  </si>
  <si>
    <t>YC164-JR-07510RL</t>
  </si>
  <si>
    <t>SW1,SW2</t>
  </si>
  <si>
    <t>SW_Push_4PIN</t>
  </si>
  <si>
    <t>SW_D6</t>
  </si>
  <si>
    <t>D6R60 F2 LFS</t>
  </si>
  <si>
    <t>TH1,TH2</t>
  </si>
  <si>
    <t>Thermistor_NTC</t>
  </si>
  <si>
    <t>NTCG203NH103JT1</t>
  </si>
  <si>
    <t>U1</t>
  </si>
  <si>
    <t>UA78M33CDCYR</t>
  </si>
  <si>
    <t>SOT-223-3_TabPin2</t>
  </si>
  <si>
    <t>U2</t>
  </si>
  <si>
    <t>DA04-11CGKWA</t>
  </si>
  <si>
    <t>LDD-A402NI</t>
  </si>
  <si>
    <t>Total Purchase:</t>
  </si>
  <si>
    <t>Purchase description:</t>
  </si>
  <si>
    <t>Used currency rates:</t>
  </si>
  <si>
    <t>USD($)/GBP(£):</t>
  </si>
  <si>
    <t>Prj:</t>
  </si>
  <si>
    <t>HotBox.xml</t>
  </si>
  <si>
    <t>Co.:</t>
  </si>
  <si>
    <t>Prj date:</t>
  </si>
  <si>
    <t>Mon 23 Nov 2020 11:21:40 PM CST</t>
  </si>
  <si>
    <t>Board Qty:</t>
  </si>
  <si>
    <t>Total Cost:</t>
  </si>
  <si>
    <t>Unit Cost:</t>
  </si>
  <si>
    <t>$ date:</t>
  </si>
  <si>
    <t>2020-11-23 23:21:47</t>
  </si>
  <si>
    <t>Arrow</t>
  </si>
  <si>
    <t>Avail</t>
  </si>
  <si>
    <t>Purch</t>
  </si>
  <si>
    <t>Cat#</t>
  </si>
  <si>
    <t>Digi-Key</t>
  </si>
  <si>
    <t>497-19489-ND</t>
  </si>
  <si>
    <t>493-16595-ND</t>
  </si>
  <si>
    <t>478-12790-1-ND</t>
  </si>
  <si>
    <t>732-4978-1-ND</t>
  </si>
  <si>
    <t>MURA230T3GOSCT-ND</t>
  </si>
  <si>
    <t>335-1156-ND</t>
  </si>
  <si>
    <t>36-575-4-ND</t>
  </si>
  <si>
    <t>S1012EC-04-ND</t>
  </si>
  <si>
    <t>1727-5435-1-ND</t>
  </si>
  <si>
    <t>1727-5230-1-ND</t>
  </si>
  <si>
    <t>1727-1984-1-ND</t>
  </si>
  <si>
    <t>541-4163-1-ND</t>
  </si>
  <si>
    <t>YC164J-510CT-ND</t>
  </si>
  <si>
    <t>401-1994-ND</t>
  </si>
  <si>
    <t>445-175460-1-ND</t>
  </si>
  <si>
    <t>296-13424-1-ND</t>
  </si>
  <si>
    <t>67-1419-ND</t>
  </si>
  <si>
    <t>NonStk</t>
  </si>
  <si>
    <t>Farnell</t>
  </si>
  <si>
    <t>3132398</t>
  </si>
  <si>
    <t>2322071</t>
  </si>
  <si>
    <t>2844708</t>
  </si>
  <si>
    <t>3366825</t>
  </si>
  <si>
    <t>3440124</t>
  </si>
  <si>
    <t>8738190</t>
  </si>
  <si>
    <t>3407730</t>
  </si>
  <si>
    <t>2102683</t>
  </si>
  <si>
    <t>LCSC</t>
  </si>
  <si>
    <t>C242411</t>
  </si>
  <si>
    <t>C49036</t>
  </si>
  <si>
    <t>Mouser</t>
  </si>
  <si>
    <t>511NUCLEOG431KB</t>
  </si>
  <si>
    <t>647RS81C101MDN1</t>
  </si>
  <si>
    <t>58108055D104K</t>
  </si>
  <si>
    <t>710150060RS75000</t>
  </si>
  <si>
    <t>863MURA230T3G</t>
  </si>
  <si>
    <t>5345754</t>
  </si>
  <si>
    <t>771PSMN9R130YL115</t>
  </si>
  <si>
    <t>771PUMB11T/R</t>
  </si>
  <si>
    <t>71CRCW080510K0JNEAC</t>
  </si>
  <si>
    <t>603YC164JR07510RL</t>
  </si>
  <si>
    <t>611D6R60F2LFS</t>
  </si>
  <si>
    <t>810NTCG203NH103JT1</t>
  </si>
  <si>
    <t>595UA78M33CDCYR</t>
  </si>
  <si>
    <t>Newark</t>
  </si>
  <si>
    <t>17AH9213</t>
  </si>
  <si>
    <t>55J7638</t>
  </si>
  <si>
    <t>95W3795</t>
  </si>
  <si>
    <t>50AC6160</t>
  </si>
  <si>
    <t>02J6475</t>
  </si>
  <si>
    <t>99H8227</t>
  </si>
  <si>
    <t>74AH1210</t>
  </si>
  <si>
    <t>92K8274</t>
  </si>
  <si>
    <t>98AC1023</t>
  </si>
  <si>
    <t>34AH9183</t>
  </si>
  <si>
    <t>69AH9056</t>
  </si>
  <si>
    <t>33AH5474</t>
  </si>
  <si>
    <t>RS Components</t>
  </si>
  <si>
    <t>1962534</t>
  </si>
  <si>
    <t>8154203</t>
  </si>
  <si>
    <t>TME</t>
  </si>
  <si>
    <t>KiCost® v.1.1.4</t>
  </si>
</sst>
</file>

<file path=xl/styles.xml><?xml version="1.0" encoding="utf-8"?>
<styleSheet xmlns="http://schemas.openxmlformats.org/spreadsheetml/2006/main">
  <numFmts count="1">
    <numFmt numFmtId="164" formatCode="$#,##0.00"/>
    <numFmt numFmtId="164" formatCode="$#,##0.00"/>
    <numFmt numFmtId="164" formatCode="$#,##0.00"/>
  </numFmts>
  <fonts count="11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90909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1166DD"/>
        <bgColor indexed="64"/>
      </patternFill>
    </fill>
    <fill>
      <patternFill patternType="solid">
        <fgColor rgb="FF004A85"/>
        <bgColor indexed="64"/>
      </patternFill>
    </fill>
    <fill>
      <patternFill patternType="solid">
        <fgColor rgb="FFA2AE0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C4DA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right"/>
    </xf>
    <xf numFmtId="164" fontId="4" fillId="0" borderId="0" xfId="0" applyNumberFormat="1" applyFont="1" applyAlignment="1">
      <alignment vertical="center"/>
    </xf>
    <xf numFmtId="164" fontId="5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7" fillId="8" borderId="0" xfId="0" applyFont="1" applyFill="1" applyAlignment="1">
      <alignment horizontal="center" vertical="center"/>
    </xf>
    <xf numFmtId="0" fontId="7" fillId="9" borderId="0" xfId="0" applyFont="1" applyFill="1" applyAlignment="1">
      <alignment horizontal="center" vertical="center"/>
    </xf>
    <xf numFmtId="0" fontId="7" fillId="10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top" wrapText="1"/>
    </xf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0" fontId="9" fillId="0" borderId="0" xfId="1" applyAlignment="1" applyProtection="1"/>
    <xf numFmtId="0" fontId="10" fillId="0" borderId="0" xfId="0" applyFont="1" applyAlignment="1">
      <alignment horizontal="right" vertical="center"/>
    </xf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5">
    <dxf>
      <fill>
        <patternFill>
          <bgColor rgb="FFAAAAAA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ill>
        <patternFill>
          <bgColor rgb="FFFFFF00"/>
        </patternFill>
      </fill>
    </dxf>
    <dxf>
      <fill>
        <patternFill>
          <bgColor rgb="FF80FF8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mouser.com/pdfdocs/Gravitech_Arduino_Nano3_0.pdf" TargetMode="External"/><Relationship Id="rId2" Type="http://schemas.openxmlformats.org/officeDocument/2006/relationships/hyperlink" Target="https://octopart.com/click/track?ai=8078&amp;sig=0ef4511&amp;sid=459&amp;ppid=102284322&amp;vpid=549854330&amp;ct=offers" TargetMode="External"/><Relationship Id="rId3" Type="http://schemas.openxmlformats.org/officeDocument/2006/relationships/hyperlink" Target="https://octopart.com/click/track?ai=8078&amp;sig=0c02d9d&amp;sid=819&amp;ppid=102284322&amp;vpid=551646278&amp;ct=offers" TargetMode="External"/><Relationship Id="rId4" Type="http://schemas.openxmlformats.org/officeDocument/2006/relationships/hyperlink" Target="https://octopart.com/click/track?ai=8078&amp;sig=01da76f&amp;sid=2401&amp;ppid=102284322&amp;vpid=551367201&amp;ct=offers" TargetMode="External"/><Relationship Id="rId5" Type="http://schemas.openxmlformats.org/officeDocument/2006/relationships/hyperlink" Target="https://octopart.com/click/track?c=1&amp;ai=8078&amp;sig=0658d93&amp;sid=2402&amp;ppid=102284322&amp;vpid=573252533&amp;ct=offers" TargetMode="External"/><Relationship Id="rId6" Type="http://schemas.openxmlformats.org/officeDocument/2006/relationships/hyperlink" Target="https://octopart.com/click/track?ai=8078&amp;sig=00e1ef2&amp;sid=10022&amp;ppid=102284322&amp;vpid=625435198&amp;ct=offers" TargetMode="External"/><Relationship Id="rId7" Type="http://schemas.openxmlformats.org/officeDocument/2006/relationships/hyperlink" Target="https://octopart.com/click/track?c=1&amp;ai=8078&amp;sig=039926a&amp;sid=459&amp;ppid=50011049&amp;vpid=475684332&amp;ct=offers" TargetMode="External"/><Relationship Id="rId8" Type="http://schemas.openxmlformats.org/officeDocument/2006/relationships/hyperlink" Target="https://octopart.com/click/track?ai=8078&amp;sig=066d4c4&amp;sid=2401&amp;ppid=50011049&amp;vpid=269048423&amp;ct=offers" TargetMode="External"/><Relationship Id="rId9" Type="http://schemas.openxmlformats.org/officeDocument/2006/relationships/hyperlink" Target="https://octopart.com/click/track?ai=8078&amp;sig=05fcdeb&amp;sid=459&amp;ppid=2169154&amp;vpid=531908010&amp;ct=offers" TargetMode="External"/><Relationship Id="rId10" Type="http://schemas.openxmlformats.org/officeDocument/2006/relationships/hyperlink" Target="https://octopart.com/click/track?ai=8078&amp;sig=057f866&amp;sid=2401&amp;ppid=2169154&amp;vpid=37768389&amp;ct=offers" TargetMode="External"/><Relationship Id="rId11" Type="http://schemas.openxmlformats.org/officeDocument/2006/relationships/hyperlink" Target="https://octopart.com/click/track?c=1&amp;ai=8078&amp;sig=0eeb785&amp;sid=2402&amp;ppid=2169154&amp;vpid=13274115&amp;ct=offers" TargetMode="External"/><Relationship Id="rId12" Type="http://schemas.openxmlformats.org/officeDocument/2006/relationships/hyperlink" Target="https://octopart.com/click/track?ai=8078&amp;sig=02853a2&amp;sid=459&amp;ppid=29717776&amp;vpid=91297449&amp;ct=offers" TargetMode="External"/><Relationship Id="rId13" Type="http://schemas.openxmlformats.org/officeDocument/2006/relationships/hyperlink" Target="https://octopart.com/click/track?ai=8078&amp;sig=068ebbc&amp;sid=11744&amp;ppid=29717776&amp;vpid=132755220&amp;ct=offers" TargetMode="External"/><Relationship Id="rId14" Type="http://schemas.openxmlformats.org/officeDocument/2006/relationships/hyperlink" Target="https://octopart.com/click/track?ai=8078&amp;sig=0c69a59&amp;sid=2401&amp;ppid=29717776&amp;vpid=165625624&amp;ct=offers" TargetMode="External"/><Relationship Id="rId15" Type="http://schemas.openxmlformats.org/officeDocument/2006/relationships/hyperlink" Target="https://octopart.com/click/track?ai=8078&amp;sig=0b01e3f&amp;sid=2402&amp;ppid=29717776&amp;vpid=82629805&amp;ct=offers" TargetMode="External"/><Relationship Id="rId16" Type="http://schemas.openxmlformats.org/officeDocument/2006/relationships/hyperlink" Target="https://octopart.com/click/track?ai=8078&amp;sig=0abbfde&amp;sid=10022&amp;ppid=29717776&amp;vpid=199194534&amp;ct=offers" TargetMode="External"/><Relationship Id="rId17" Type="http://schemas.openxmlformats.org/officeDocument/2006/relationships/hyperlink" Target="https://octopart.com/click/track?ai=8078&amp;sig=0de4a30&amp;sid=459&amp;ppid=332360&amp;vpid=52500538&amp;ct=offers" TargetMode="External"/><Relationship Id="rId18" Type="http://schemas.openxmlformats.org/officeDocument/2006/relationships/hyperlink" Target="https://octopart.com/click/track?ai=8078&amp;sig=070358e&amp;sid=819&amp;ppid=332360&amp;vpid=503458609&amp;ct=offers" TargetMode="External"/><Relationship Id="rId19" Type="http://schemas.openxmlformats.org/officeDocument/2006/relationships/hyperlink" Target="https://octopart.com/click/track?ai=8078&amp;sig=036f2bd&amp;sid=27971&amp;ppid=332360&amp;vpid=486581120&amp;ct=offers" TargetMode="External"/><Relationship Id="rId20" Type="http://schemas.openxmlformats.org/officeDocument/2006/relationships/hyperlink" Target="https://octopart.com/click/track?ai=8078&amp;sig=067908d&amp;sid=2401&amp;ppid=332360&amp;vpid=458432707&amp;ct=offers" TargetMode="External"/><Relationship Id="rId21" Type="http://schemas.openxmlformats.org/officeDocument/2006/relationships/hyperlink" Target="https://octopart.com/click/track?c=1&amp;ai=8078&amp;sig=072d2b2&amp;sid=2402&amp;ppid=332360&amp;vpid=504110550&amp;ct=offers" TargetMode="External"/><Relationship Id="rId22" Type="http://schemas.openxmlformats.org/officeDocument/2006/relationships/hyperlink" Target="https://octopart.com/click/track?c=1&amp;ai=8078&amp;sig=004c205&amp;sid=459&amp;ppid=55603181&amp;vpid=187954207&amp;ct=offers" TargetMode="External"/><Relationship Id="rId23" Type="http://schemas.openxmlformats.org/officeDocument/2006/relationships/hyperlink" Target="https://octopart.com/click/track?c=1&amp;ai=8078&amp;sig=024b449&amp;sid=2402&amp;ppid=55603181&amp;vpid=227885963&amp;ct=offers" TargetMode="External"/><Relationship Id="rId24" Type="http://schemas.openxmlformats.org/officeDocument/2006/relationships/hyperlink" Target="https://octopart.com/click/track?ai=8078&amp;sig=0e57466&amp;sid=459&amp;ppid=225184&amp;vpid=212428255&amp;ct=offers" TargetMode="External"/><Relationship Id="rId25" Type="http://schemas.openxmlformats.org/officeDocument/2006/relationships/hyperlink" Target="https://octopart.com/click/track?ai=8078&amp;sig=0d89cbe&amp;sid=11744&amp;ppid=225184&amp;vpid=607742724&amp;ct=offers" TargetMode="External"/><Relationship Id="rId26" Type="http://schemas.openxmlformats.org/officeDocument/2006/relationships/hyperlink" Target="https://octopart.com/click/track?ai=8078&amp;sig=0824e70&amp;sid=2401&amp;ppid=225184&amp;vpid=37679473&amp;ct=offers" TargetMode="External"/><Relationship Id="rId27" Type="http://schemas.openxmlformats.org/officeDocument/2006/relationships/hyperlink" Target="https://octopart.com/click/track?ai=8078&amp;sig=08ce9e0&amp;sid=2402&amp;ppid=225184&amp;vpid=96235925&amp;ct=offers" TargetMode="External"/><Relationship Id="rId28" Type="http://schemas.openxmlformats.org/officeDocument/2006/relationships/hyperlink" Target="http://www.formfactors.org/developer%5Cspecs%5Crev1_2_public.pdf" TargetMode="External"/><Relationship Id="rId29" Type="http://schemas.openxmlformats.org/officeDocument/2006/relationships/hyperlink" Target="https://octopart.com/click/track?c=1&amp;ai=8078&amp;sig=06a6967&amp;sid=459&amp;ppid=22265093&amp;vpid=47550066&amp;ct=offers" TargetMode="External"/><Relationship Id="rId30" Type="http://schemas.openxmlformats.org/officeDocument/2006/relationships/hyperlink" Target="https://octopart.com/click/track?ai=8078&amp;sig=0e99631&amp;sid=459&amp;ppid=78741898&amp;vpid=417207430&amp;ct=offers" TargetMode="External"/><Relationship Id="rId31" Type="http://schemas.openxmlformats.org/officeDocument/2006/relationships/hyperlink" Target="https://octopart.com/click/track?ai=8078&amp;sig=0647d91&amp;sid=819&amp;ppid=78741898&amp;vpid=623939668&amp;ct=offers" TargetMode="External"/><Relationship Id="rId32" Type="http://schemas.openxmlformats.org/officeDocument/2006/relationships/hyperlink" Target="https://octopart.com/click/track?ai=8078&amp;sig=09e2a15&amp;sid=2401&amp;ppid=78741898&amp;vpid=458423102&amp;ct=offers" TargetMode="External"/><Relationship Id="rId33" Type="http://schemas.openxmlformats.org/officeDocument/2006/relationships/hyperlink" Target="https://octopart.com/click/track?c=1&amp;ai=8078&amp;sig=0a8d3df&amp;sid=2402&amp;ppid=78741898&amp;vpid=625406500&amp;ct=offers" TargetMode="External"/><Relationship Id="rId34" Type="http://schemas.openxmlformats.org/officeDocument/2006/relationships/hyperlink" Target="http://datasheet.octopart.com/PUMB11%2C115-Nexperia-datasheet-86559598.pdf" TargetMode="External"/><Relationship Id="rId35" Type="http://schemas.openxmlformats.org/officeDocument/2006/relationships/hyperlink" Target="https://octopart.com/click/track?ai=8078&amp;sig=0827af8&amp;sid=459&amp;ppid=78742000&amp;vpid=417207844&amp;ct=offers" TargetMode="External"/><Relationship Id="rId36" Type="http://schemas.openxmlformats.org/officeDocument/2006/relationships/hyperlink" Target="https://octopart.com/click/track?ai=8078&amp;sig=0dd91fb&amp;sid=11744&amp;ppid=78742000&amp;vpid=531931792&amp;ct=offers" TargetMode="External"/><Relationship Id="rId37" Type="http://schemas.openxmlformats.org/officeDocument/2006/relationships/hyperlink" Target="https://octopart.com/click/track?ai=8078&amp;sig=0140538&amp;sid=2401&amp;ppid=78742000&amp;vpid=416182520&amp;ct=offers" TargetMode="External"/><Relationship Id="rId38" Type="http://schemas.openxmlformats.org/officeDocument/2006/relationships/hyperlink" Target="https://octopart.com/click/track?c=1&amp;ai=8078&amp;sig=0a87b09&amp;sid=2402&amp;ppid=78742000&amp;vpid=532391430&amp;ct=offers" TargetMode="External"/><Relationship Id="rId39" Type="http://schemas.openxmlformats.org/officeDocument/2006/relationships/hyperlink" Target="http://datasheet.octopart.com/PUMD3%2C165-Nexperia-datasheet-115885228.pdf" TargetMode="External"/><Relationship Id="rId40" Type="http://schemas.openxmlformats.org/officeDocument/2006/relationships/hyperlink" Target="https://octopart.com/click/track?ai=8078&amp;sig=084be59&amp;sid=459&amp;ppid=78742011&amp;vpid=417207879&amp;ct=offers" TargetMode="External"/><Relationship Id="rId41" Type="http://schemas.openxmlformats.org/officeDocument/2006/relationships/hyperlink" Target="https://octopart.com/click/track?ai=8078&amp;sig=0e3dded&amp;sid=459&amp;ppid=22248114&amp;vpid=454353709&amp;ct=offers" TargetMode="External"/><Relationship Id="rId42" Type="http://schemas.openxmlformats.org/officeDocument/2006/relationships/hyperlink" Target="https://octopart.com/click/track?ai=8078&amp;sig=0e7bfa5&amp;sid=2401&amp;ppid=22248114&amp;vpid=458953937&amp;ct=offers" TargetMode="External"/><Relationship Id="rId43" Type="http://schemas.openxmlformats.org/officeDocument/2006/relationships/hyperlink" Target="https://octopart.com/click/track?c=1&amp;ai=8078&amp;sig=00685fc&amp;sid=2402&amp;ppid=22248114&amp;vpid=634340854&amp;ct=offers" TargetMode="External"/><Relationship Id="rId44" Type="http://schemas.openxmlformats.org/officeDocument/2006/relationships/hyperlink" Target="https://octopart.com/click/track?ai=8078&amp;sig=0e3dded&amp;sid=459&amp;ppid=22248114&amp;vpid=454353709&amp;ct=offers" TargetMode="External"/><Relationship Id="rId45" Type="http://schemas.openxmlformats.org/officeDocument/2006/relationships/hyperlink" Target="https://octopart.com/click/track?ai=8078&amp;sig=0e7bfa5&amp;sid=2401&amp;ppid=22248114&amp;vpid=458953937&amp;ct=offers" TargetMode="External"/><Relationship Id="rId46" Type="http://schemas.openxmlformats.org/officeDocument/2006/relationships/hyperlink" Target="https://octopart.com/click/track?c=1&amp;ai=8078&amp;sig=00685fc&amp;sid=2402&amp;ppid=22248114&amp;vpid=634340854&amp;ct=offers" TargetMode="External"/><Relationship Id="rId47" Type="http://schemas.openxmlformats.org/officeDocument/2006/relationships/hyperlink" Target="https://octopart.com/click/track?ai=8078&amp;sig=0bb4886&amp;sid=459&amp;ppid=1242880&amp;vpid=1344494&amp;ct=offers" TargetMode="External"/><Relationship Id="rId48" Type="http://schemas.openxmlformats.org/officeDocument/2006/relationships/hyperlink" Target="https://octopart.com/click/track?ai=8078&amp;sig=04d159e&amp;sid=2401&amp;ppid=1242880&amp;vpid=213198410&amp;ct=offers" TargetMode="External"/><Relationship Id="rId49" Type="http://schemas.openxmlformats.org/officeDocument/2006/relationships/hyperlink" Target="https://octopart.com/click/track?ai=8078&amp;sig=0d235d0&amp;sid=459&amp;ppid=7881546&amp;vpid=196134140&amp;ct=offers" TargetMode="External"/><Relationship Id="rId50" Type="http://schemas.openxmlformats.org/officeDocument/2006/relationships/hyperlink" Target="https://octopart.com/click/track?ai=8078&amp;sig=094bb8d&amp;sid=2401&amp;ppid=7881546&amp;vpid=37851280&amp;ct=offers" TargetMode="External"/><Relationship Id="rId51" Type="http://schemas.openxmlformats.org/officeDocument/2006/relationships/hyperlink" Target="https://octopart.com/click/track?c=1&amp;ai=8078&amp;sig=0a176ba&amp;sid=2402&amp;ppid=7881546&amp;vpid=587918301&amp;ct=offers" TargetMode="External"/><Relationship Id="rId52" Type="http://schemas.openxmlformats.org/officeDocument/2006/relationships/hyperlink" Target="https://octopart.com/click/track?ai=8078&amp;sig=02080f6&amp;sid=459&amp;ppid=59351339&amp;vpid=467517010&amp;ct=offers" TargetMode="External"/><Relationship Id="rId53" Type="http://schemas.openxmlformats.org/officeDocument/2006/relationships/hyperlink" Target="https://octopart.com/click/track?ai=8078&amp;sig=05cd269&amp;sid=11744&amp;ppid=59351339&amp;vpid=627120507&amp;ct=offers" TargetMode="External"/><Relationship Id="rId54" Type="http://schemas.openxmlformats.org/officeDocument/2006/relationships/hyperlink" Target="https://octopart.com/click/track?ai=8078&amp;sig=0193e37&amp;sid=2401&amp;ppid=59351339&amp;vpid=261797022&amp;ct=offers" TargetMode="External"/><Relationship Id="rId55" Type="http://schemas.openxmlformats.org/officeDocument/2006/relationships/hyperlink" Target="https://octopart.com/click/track?c=1&amp;ai=8078&amp;sig=05de465&amp;sid=2402&amp;ppid=59351339&amp;vpid=620880923&amp;ct=offers" TargetMode="External"/><Relationship Id="rId56" Type="http://schemas.openxmlformats.org/officeDocument/2006/relationships/hyperlink" Target="https://octopart.com/click/track?ai=8078&amp;sig=0d57e92&amp;sid=459&amp;ppid=525280&amp;vpid=1569654&amp;ct=offers" TargetMode="External"/><Relationship Id="rId57" Type="http://schemas.openxmlformats.org/officeDocument/2006/relationships/hyperlink" Target="https://octopart.com/click/track?ai=8078&amp;sig=0f6c954&amp;sid=11744&amp;ppid=525280&amp;vpid=474713883&amp;ct=offers" TargetMode="External"/><Relationship Id="rId58" Type="http://schemas.openxmlformats.org/officeDocument/2006/relationships/hyperlink" Target="https://octopart.com/click/track?ai=8078&amp;sig=0b19de3&amp;sid=27971&amp;ppid=525280&amp;vpid=454624488&amp;ct=offers" TargetMode="External"/><Relationship Id="rId59" Type="http://schemas.openxmlformats.org/officeDocument/2006/relationships/hyperlink" Target="https://octopart.com/click/track?ai=8078&amp;sig=033990e&amp;sid=2401&amp;ppid=525280&amp;vpid=37849384&amp;ct=offers" TargetMode="External"/><Relationship Id="rId60" Type="http://schemas.openxmlformats.org/officeDocument/2006/relationships/hyperlink" Target="https://octopart.com/click/track?c=1&amp;ai=8078&amp;sig=03fc223&amp;sid=2402&amp;ppid=525280&amp;vpid=585374083&amp;ct=offers" TargetMode="External"/><Relationship Id="rId61" Type="http://schemas.openxmlformats.org/officeDocument/2006/relationships/hyperlink" Target="https://octopart.com/click/track?c=1&amp;ai=8078&amp;sig=01d729b&amp;sid=459&amp;ppid=548500&amp;vpid=1721458&amp;ct=offers" TargetMode="External"/><Relationship Id="rId62" Type="http://schemas.openxmlformats.org/officeDocument/2006/relationships/vmlDrawing" Target="../drawings/vmlDrawing1.vml"/><Relationship Id="rId6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51"/>
  <sheetViews>
    <sheetView tabSelected="1" workbookViewId="0">
      <pane xSplit="7" ySplit="6" topLeftCell="H7" activePane="bottomRight" state="frozen"/>
      <selection pane="topRight" activeCell="H1" sqref="H1"/>
      <selection pane="bottomLeft" activeCell="A7" sqref="A7"/>
      <selection pane="bottomRight"/>
    </sheetView>
  </sheetViews>
  <sheetFormatPr defaultRowHeight="15" outlineLevelCol="2"/>
  <cols>
    <col min="1" max="1" width="9.140625"/>
    <col min="2" max="2" width="9.140625"/>
    <col min="3" max="3" width="9.140625" outlineLevel="2"/>
    <col min="4" max="4" width="9.140625" outlineLevel="1"/>
    <col min="5" max="5" width="9.140625" outlineLevel="1"/>
    <col min="6" max="6" width="9.140625"/>
    <col min="7" max="7" width="15.7109375" customWidth="1"/>
    <col min="8" max="8" width="9.140625" outlineLevel="1"/>
    <col min="9" max="9" width="9.140625" outlineLevel="2"/>
    <col min="10" max="10" width="9.140625" outlineLevel="2"/>
    <col min="11" max="11" width="15.7109375" customWidth="1"/>
    <col min="12" max="12" width="15.7109375" customWidth="1" outlineLevel="2"/>
    <col min="13" max="13" width="9.140625" outlineLevel="1"/>
    <col min="14" max="14" width="9.140625" outlineLevel="2"/>
    <col min="15" max="15" width="9.140625" outlineLevel="2"/>
    <col min="16" max="16" width="15.7109375" customWidth="1"/>
    <col min="17" max="17" width="15.7109375" customWidth="1" outlineLevel="2"/>
    <col min="18" max="18" width="9.140625" outlineLevel="1"/>
    <col min="19" max="19" width="9.140625" outlineLevel="2"/>
    <col min="20" max="20" width="9.140625" outlineLevel="2"/>
    <col min="21" max="21" width="15.7109375" customWidth="1"/>
    <col min="22" max="22" width="15.7109375" customWidth="1" outlineLevel="2"/>
    <col min="23" max="23" width="9.140625" outlineLevel="1"/>
    <col min="24" max="24" width="9.140625" outlineLevel="2"/>
    <col min="25" max="25" width="9.140625" outlineLevel="2"/>
    <col min="26" max="26" width="15.7109375" customWidth="1"/>
    <col min="27" max="27" width="15.7109375" customWidth="1" outlineLevel="2"/>
    <col min="28" max="28" width="9.140625" outlineLevel="1"/>
    <col min="29" max="29" width="9.140625" outlineLevel="2"/>
    <col min="30" max="30" width="9.140625" outlineLevel="2"/>
    <col min="31" max="31" width="15.7109375" customWidth="1"/>
    <col min="32" max="32" width="15.7109375" customWidth="1" outlineLevel="2"/>
    <col min="33" max="33" width="9.140625" outlineLevel="1"/>
    <col min="34" max="34" width="9.140625" outlineLevel="2"/>
    <col min="35" max="35" width="9.140625" outlineLevel="2"/>
    <col min="36" max="36" width="15.7109375" customWidth="1"/>
    <col min="37" max="37" width="15.7109375" customWidth="1" outlineLevel="2"/>
    <col min="38" max="38" width="9.140625" outlineLevel="1"/>
    <col min="39" max="39" width="9.140625" outlineLevel="2"/>
    <col min="40" max="40" width="9.140625" outlineLevel="2"/>
    <col min="41" max="41" width="15.7109375" customWidth="1"/>
    <col min="42" max="42" width="15.7109375" customWidth="1" outlineLevel="2"/>
    <col min="43" max="43" width="9.140625" outlineLevel="1"/>
    <col min="44" max="44" width="9.140625" outlineLevel="2"/>
    <col min="45" max="45" width="9.140625" outlineLevel="2"/>
    <col min="46" max="46" width="15.7109375" customWidth="1"/>
    <col min="47" max="47" width="15.7109375" customWidth="1" outlineLevel="2"/>
  </cols>
  <sheetData>
    <row r="1" spans="1:47">
      <c r="A1" s="2" t="s">
        <v>86</v>
      </c>
      <c r="B1" s="3" t="s">
        <v>87</v>
      </c>
      <c r="F1" s="4" t="s">
        <v>91</v>
      </c>
      <c r="G1" s="4">
        <v>100</v>
      </c>
    </row>
    <row r="2" spans="1:47">
      <c r="A2" s="2" t="s">
        <v>88</v>
      </c>
      <c r="B2" s="3"/>
      <c r="F2" s="2" t="s">
        <v>93</v>
      </c>
      <c r="G2" s="5">
        <f>TotalCost/BoardQty</f>
        <v>0</v>
      </c>
    </row>
    <row r="3" spans="1:47">
      <c r="A3" s="2" t="s">
        <v>89</v>
      </c>
      <c r="B3" s="3" t="s">
        <v>90</v>
      </c>
      <c r="F3" s="2" t="s">
        <v>92</v>
      </c>
      <c r="G3" s="6">
        <f>SUM(G7:G27)</f>
        <v>0</v>
      </c>
      <c r="K3" s="6">
        <f>SUM(K7:K27)</f>
        <v>0</v>
      </c>
      <c r="L3" s="7">
        <f>(COUNTA(K7:K27)&amp;" of "&amp;ROWS(K7:K27)&amp;" parts found"</f>
        <v>0</v>
      </c>
      <c r="P3" s="6">
        <f>SUM(P7:P27)</f>
        <v>0</v>
      </c>
      <c r="Q3" s="7">
        <f>(COUNTA(P7:P27)&amp;" of "&amp;ROWS(P7:P27)&amp;" parts found"</f>
        <v>0</v>
      </c>
      <c r="U3" s="6">
        <f>SUM(U7:U27)</f>
        <v>0</v>
      </c>
      <c r="V3" s="7">
        <f>(COUNTA(U7:U27)&amp;" of "&amp;ROWS(U7:U27)&amp;" parts found"</f>
        <v>0</v>
      </c>
      <c r="Z3" s="6">
        <f>SUM(Z7:Z27)</f>
        <v>0</v>
      </c>
      <c r="AA3" s="7">
        <f>(COUNTA(Z7:Z27)&amp;" of "&amp;ROWS(Z7:Z27)&amp;" parts found"</f>
        <v>0</v>
      </c>
      <c r="AE3" s="6">
        <f>SUM(AE7:AE27)</f>
        <v>0</v>
      </c>
      <c r="AF3" s="7">
        <f>(COUNTA(AE7:AE27)&amp;" of "&amp;ROWS(AE7:AE27)&amp;" parts found"</f>
        <v>0</v>
      </c>
      <c r="AJ3" s="6">
        <f>SUM(AJ7:AJ27)</f>
        <v>0</v>
      </c>
      <c r="AK3" s="7">
        <f>(COUNTA(AJ7:AJ27)&amp;" of "&amp;ROWS(AJ7:AJ27)&amp;" parts found"</f>
        <v>0</v>
      </c>
      <c r="AO3" s="6">
        <f>SUM(AO7:AO27)</f>
        <v>0</v>
      </c>
      <c r="AP3" s="7">
        <f>(COUNTA(AO7:AO27)&amp;" of "&amp;ROWS(AO7:AO27)&amp;" parts found"</f>
        <v>0</v>
      </c>
      <c r="AT3" s="6">
        <f>SUM(AT7:AT27)</f>
        <v>0</v>
      </c>
      <c r="AU3" s="7">
        <f>(COUNTA(AT7:AT27)&amp;" of "&amp;ROWS(AT7:AT27)&amp;" parts found"</f>
        <v>0</v>
      </c>
    </row>
    <row r="4" spans="1:47">
      <c r="A4" s="2" t="s">
        <v>94</v>
      </c>
      <c r="B4" s="3" t="s">
        <v>95</v>
      </c>
    </row>
    <row r="5" spans="1:47">
      <c r="A5" s="8" t="s">
        <v>0</v>
      </c>
      <c r="B5" s="8"/>
      <c r="C5" s="8"/>
      <c r="D5" s="8"/>
      <c r="E5" s="8"/>
      <c r="F5" s="8"/>
      <c r="G5" s="8"/>
      <c r="H5" s="9" t="s">
        <v>96</v>
      </c>
      <c r="I5" s="9"/>
      <c r="J5" s="9"/>
      <c r="K5" s="9"/>
      <c r="L5" s="9"/>
      <c r="M5" s="10" t="s">
        <v>100</v>
      </c>
      <c r="N5" s="10"/>
      <c r="O5" s="10"/>
      <c r="P5" s="10"/>
      <c r="Q5" s="10"/>
      <c r="R5" s="11" t="s">
        <v>119</v>
      </c>
      <c r="S5" s="11"/>
      <c r="T5" s="11"/>
      <c r="U5" s="11"/>
      <c r="V5" s="11"/>
      <c r="W5" s="12" t="s">
        <v>128</v>
      </c>
      <c r="X5" s="12"/>
      <c r="Y5" s="12"/>
      <c r="Z5" s="12"/>
      <c r="AA5" s="12"/>
      <c r="AB5" s="13" t="s">
        <v>131</v>
      </c>
      <c r="AC5" s="13"/>
      <c r="AD5" s="13"/>
      <c r="AE5" s="13"/>
      <c r="AF5" s="13"/>
      <c r="AG5" s="14" t="s">
        <v>145</v>
      </c>
      <c r="AH5" s="14"/>
      <c r="AI5" s="14"/>
      <c r="AJ5" s="14"/>
      <c r="AK5" s="14"/>
      <c r="AL5" s="15" t="s">
        <v>158</v>
      </c>
      <c r="AM5" s="15"/>
      <c r="AN5" s="15"/>
      <c r="AO5" s="15"/>
      <c r="AP5" s="15"/>
      <c r="AQ5" s="16" t="s">
        <v>161</v>
      </c>
      <c r="AR5" s="16"/>
      <c r="AS5" s="16"/>
      <c r="AT5" s="16"/>
      <c r="AU5" s="16"/>
    </row>
    <row r="6" spans="1:47">
      <c r="A6" s="17" t="s">
        <v>1</v>
      </c>
      <c r="B6" s="17" t="s">
        <v>2</v>
      </c>
      <c r="C6" s="17" t="s">
        <v>3</v>
      </c>
      <c r="D6" s="17" t="s">
        <v>4</v>
      </c>
      <c r="E6" s="17" t="s">
        <v>5</v>
      </c>
      <c r="F6" s="17" t="s">
        <v>6</v>
      </c>
      <c r="G6" s="17" t="s">
        <v>7</v>
      </c>
      <c r="H6" s="17" t="s">
        <v>97</v>
      </c>
      <c r="I6" s="17" t="s">
        <v>98</v>
      </c>
      <c r="J6" s="17" t="s">
        <v>6</v>
      </c>
      <c r="K6" s="17" t="s">
        <v>7</v>
      </c>
      <c r="L6" s="17" t="s">
        <v>99</v>
      </c>
      <c r="M6" s="17" t="s">
        <v>97</v>
      </c>
      <c r="N6" s="17" t="s">
        <v>98</v>
      </c>
      <c r="O6" s="17" t="s">
        <v>6</v>
      </c>
      <c r="P6" s="17" t="s">
        <v>7</v>
      </c>
      <c r="Q6" s="17" t="s">
        <v>99</v>
      </c>
      <c r="R6" s="17" t="s">
        <v>97</v>
      </c>
      <c r="S6" s="17" t="s">
        <v>98</v>
      </c>
      <c r="T6" s="17" t="s">
        <v>6</v>
      </c>
      <c r="U6" s="17" t="s">
        <v>7</v>
      </c>
      <c r="V6" s="17" t="s">
        <v>99</v>
      </c>
      <c r="W6" s="17" t="s">
        <v>97</v>
      </c>
      <c r="X6" s="17" t="s">
        <v>98</v>
      </c>
      <c r="Y6" s="17" t="s">
        <v>6</v>
      </c>
      <c r="Z6" s="17" t="s">
        <v>7</v>
      </c>
      <c r="AA6" s="17" t="s">
        <v>99</v>
      </c>
      <c r="AB6" s="17" t="s">
        <v>97</v>
      </c>
      <c r="AC6" s="17" t="s">
        <v>98</v>
      </c>
      <c r="AD6" s="17" t="s">
        <v>6</v>
      </c>
      <c r="AE6" s="17" t="s">
        <v>7</v>
      </c>
      <c r="AF6" s="17" t="s">
        <v>99</v>
      </c>
      <c r="AG6" s="17" t="s">
        <v>97</v>
      </c>
      <c r="AH6" s="17" t="s">
        <v>98</v>
      </c>
      <c r="AI6" s="17" t="s">
        <v>6</v>
      </c>
      <c r="AJ6" s="17" t="s">
        <v>7</v>
      </c>
      <c r="AK6" s="17" t="s">
        <v>99</v>
      </c>
      <c r="AL6" s="17" t="s">
        <v>97</v>
      </c>
      <c r="AM6" s="17" t="s">
        <v>98</v>
      </c>
      <c r="AN6" s="17" t="s">
        <v>6</v>
      </c>
      <c r="AO6" s="17" t="s">
        <v>7</v>
      </c>
      <c r="AP6" s="17" t="s">
        <v>99</v>
      </c>
      <c r="AQ6" s="17" t="s">
        <v>97</v>
      </c>
      <c r="AR6" s="17" t="s">
        <v>98</v>
      </c>
      <c r="AS6" s="17" t="s">
        <v>6</v>
      </c>
      <c r="AT6" s="17" t="s">
        <v>7</v>
      </c>
      <c r="AU6" s="17" t="s">
        <v>99</v>
      </c>
    </row>
    <row r="7" spans="1:47">
      <c r="A7" s="18" t="s">
        <v>8</v>
      </c>
      <c r="B7" s="18" t="s">
        <v>9</v>
      </c>
      <c r="C7" s="18" t="s">
        <v>10</v>
      </c>
      <c r="D7" s="18" t="s">
        <v>11</v>
      </c>
      <c r="E7" s="18">
        <f>BoardQty*1</f>
        <v>0</v>
      </c>
      <c r="F7" s="19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G7" s="19">
        <f>iferror(E7*F7,"")</f>
        <v>0</v>
      </c>
      <c r="M7" s="18">
        <v>190</v>
      </c>
      <c r="O7" s="19">
        <f>iferror(lookup(if(N7="",E7,N7),{0,1},{0.0,12.77}),"")</f>
        <v>0</v>
      </c>
      <c r="P7" s="19">
        <f>iferror(if(N7="",E7,N7)*O7,"")</f>
        <v>0</v>
      </c>
      <c r="Q7" s="20" t="s">
        <v>101</v>
      </c>
      <c r="R7" s="18">
        <v>125</v>
      </c>
      <c r="T7" s="19">
        <f>iferror(USD_GBP*lookup(if(S7="",E7,S7),{0,1,5},{0.0,10.66,10.45}),"")</f>
        <v>0</v>
      </c>
      <c r="U7" s="19">
        <f>iferror(if(S7="",E7,S7)*T7,"")</f>
        <v>0</v>
      </c>
      <c r="V7" s="20" t="s">
        <v>120</v>
      </c>
      <c r="AB7" s="18">
        <v>222</v>
      </c>
      <c r="AD7" s="19">
        <f>iferror(lookup(if(AC7="",E7,AC7),{0,1,5},{0.0,12.51,12.51}),"")</f>
        <v>0</v>
      </c>
      <c r="AE7" s="19">
        <f>iferror(if(AC7="",E7,AC7)*AD7,"")</f>
        <v>0</v>
      </c>
      <c r="AF7" s="20" t="s">
        <v>132</v>
      </c>
      <c r="AG7" s="21" t="s">
        <v>118</v>
      </c>
      <c r="AI7" s="19">
        <f>iferror(lookup(if(AH7="",E7,AH7),{0,1},{0.0,14.4}),"")</f>
        <v>0</v>
      </c>
      <c r="AJ7" s="19">
        <f>iferror(if(AH7="",E7,AH7)*AI7,"")</f>
        <v>0</v>
      </c>
      <c r="AK7" s="20" t="s">
        <v>146</v>
      </c>
      <c r="AL7" s="18">
        <v>56</v>
      </c>
      <c r="AN7" s="19">
        <f>iferror(USD_GBP*lookup(if(AM7="",E7,AM7),{0,1},{0.0,9.54}),"")</f>
        <v>0</v>
      </c>
      <c r="AO7" s="19">
        <f>iferror(if(AM7="",E7,AM7)*AN7,"")</f>
        <v>0</v>
      </c>
      <c r="AP7" s="20" t="s">
        <v>159</v>
      </c>
    </row>
    <row r="8" spans="1:47">
      <c r="A8" s="18" t="s">
        <v>12</v>
      </c>
      <c r="B8" s="18" t="s">
        <v>13</v>
      </c>
      <c r="C8" s="18" t="s">
        <v>14</v>
      </c>
      <c r="D8" s="18" t="s">
        <v>15</v>
      </c>
      <c r="E8" s="18">
        <f>BoardQty*1</f>
        <v>0</v>
      </c>
      <c r="F8" s="19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G8" s="19">
        <f>iferror(E8*F8,"")</f>
        <v>0</v>
      </c>
      <c r="M8" s="18">
        <v>917</v>
      </c>
      <c r="O8" s="19">
        <f>iferror(lookup(if(N8="",E8,N8),{0,1,10,50,100,500,1000,2500,5000},{0.0,0.81,0.613,0.5092,0.4385,0.33948,0.29233,0.27347,0.25933}),"")</f>
        <v>0</v>
      </c>
      <c r="P8" s="19">
        <f>iferror(if(N8="",E8,N8)*O8,"")</f>
        <v>0</v>
      </c>
      <c r="Q8" s="20" t="s">
        <v>102</v>
      </c>
      <c r="AB8" s="18">
        <v>105</v>
      </c>
      <c r="AD8" s="19">
        <f>iferror(lookup(if(AC8="",E8,AC8),{0,1,10,25,100,250,500},{0.0,0.82,0.622,0.578,0.444,0.419,0.344}),"")</f>
        <v>0</v>
      </c>
      <c r="AE8" s="19">
        <f>iferror(if(AC8="",E8,AC8)*AD8,"")</f>
        <v>0</v>
      </c>
      <c r="AF8" s="20" t="s">
        <v>133</v>
      </c>
    </row>
    <row r="9" spans="1:47">
      <c r="A9" s="18" t="s">
        <v>16</v>
      </c>
      <c r="B9" s="18" t="s">
        <v>17</v>
      </c>
      <c r="C9" s="18" t="s">
        <v>18</v>
      </c>
      <c r="D9" s="18" t="s">
        <v>19</v>
      </c>
      <c r="E9" s="18">
        <f>BoardQty*4</f>
        <v>0</v>
      </c>
      <c r="F9" s="19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G9" s="19">
        <f>iferror(E9*F9,"")</f>
        <v>0</v>
      </c>
      <c r="M9" s="18">
        <v>18121</v>
      </c>
      <c r="O9" s="19">
        <f>iferror(lookup(if(N9="",E9,N9),{0,1,10,50,100,500,1000,4000,8000},{0.0,0.1,0.073,0.0396,0.0323,0.0231,0.01815,0.01518,0.01386}),"")</f>
        <v>0</v>
      </c>
      <c r="P9" s="19">
        <f>iferror(if(N9="",E9,N9)*O9,"")</f>
        <v>0</v>
      </c>
      <c r="Q9" s="20" t="s">
        <v>103</v>
      </c>
      <c r="AB9" s="18">
        <v>4236</v>
      </c>
      <c r="AD9" s="19">
        <f>iferror(lookup(if(AC9="",E9,AC9),{0,1,10,100,500,1000,2000},{0.0,0.1,0.04,0.033,0.03,0.029,0.029}),"")</f>
        <v>0</v>
      </c>
      <c r="AE9" s="19">
        <f>iferror(if(AC9="",E9,AC9)*AD9,"")</f>
        <v>0</v>
      </c>
      <c r="AF9" s="20" t="s">
        <v>134</v>
      </c>
      <c r="AG9" s="21" t="s">
        <v>118</v>
      </c>
      <c r="AI9" s="19">
        <f>iferror(lookup(if(AH9="",E9,AH9),{0,1,24000,30000},{0.0,0.251,0.251,0.208}),"")</f>
        <v>0</v>
      </c>
      <c r="AJ9" s="19">
        <f>iferror(if(AH9="",E9,AH9)*AI9,"")</f>
        <v>0</v>
      </c>
      <c r="AK9" s="20" t="s">
        <v>147</v>
      </c>
    </row>
    <row r="10" spans="1:47">
      <c r="A10" s="18" t="s">
        <v>20</v>
      </c>
      <c r="B10" s="18" t="s">
        <v>21</v>
      </c>
      <c r="C10" s="18" t="s">
        <v>22</v>
      </c>
      <c r="D10" s="18" t="s">
        <v>23</v>
      </c>
      <c r="E10" s="18">
        <f>BoardQty*1</f>
        <v>0</v>
      </c>
      <c r="F10" s="19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G10" s="19">
        <f>iferror(E10*F10,"")</f>
        <v>0</v>
      </c>
      <c r="M10" s="18">
        <v>142218</v>
      </c>
      <c r="O10" s="19">
        <f>iferror(lookup(if(N10="",E10,N10),{0,1,50,100,500,4000},{0.0,0.14,0.133,0.114,0.099,0.099}),"")</f>
        <v>0</v>
      </c>
      <c r="P10" s="19">
        <f>iferror(if(N10="",E10,N10)*O10,"")</f>
        <v>0</v>
      </c>
      <c r="Q10" s="20" t="s">
        <v>104</v>
      </c>
      <c r="R10" s="18">
        <v>16113</v>
      </c>
      <c r="T10" s="19">
        <f>iferror(USD_GBP*lookup(if(S10="",E10,S10),{0,1,5,25,100,150,250,500,1000},{0.0,0.144,0.144,0.124,0.103,0.103,0.0943,0.0856,0.0839}),"")</f>
        <v>0</v>
      </c>
      <c r="U10" s="19">
        <f>iferror(if(S10="",E10,S10)*T10,"")</f>
        <v>0</v>
      </c>
      <c r="V10" s="20" t="s">
        <v>121</v>
      </c>
      <c r="AB10" s="18">
        <v>55821</v>
      </c>
      <c r="AD10" s="19">
        <f>iferror(lookup(if(AC10="",E10,AC10),{0,1,50,100,500,1000,2000},{0.0,0.15,0.133,0.114,0.106,0.106,0.106}),"")</f>
        <v>0</v>
      </c>
      <c r="AE10" s="19">
        <f>iferror(if(AC10="",E10,AC10)*AD10,"")</f>
        <v>0</v>
      </c>
      <c r="AF10" s="20" t="s">
        <v>135</v>
      </c>
      <c r="AG10" s="18">
        <v>10</v>
      </c>
      <c r="AI10" s="19">
        <f>iferror(lookup(if(AH10="",E10,AH10),{0,1,5,10,25,50,100,250,500},{0.0,0.167,0.167,0.165,0.161,0.155,0.135,0.127,0.118}),"")</f>
        <v>0</v>
      </c>
      <c r="AJ10" s="19">
        <f>iferror(if(AH10="",E10,AH10)*AI10,"")</f>
        <v>0</v>
      </c>
      <c r="AK10" s="20" t="s">
        <v>148</v>
      </c>
      <c r="AL10" s="18">
        <v>7100</v>
      </c>
      <c r="AN10" s="19">
        <f>iferror(USD_GBP*lookup(if(AM10="",E10,AM10),{0,1,100,500,1000,2000,4000},{0.0,0.091,0.091,0.07,0.067,0.063,0.06}),"")</f>
        <v>0</v>
      </c>
      <c r="AO10" s="19">
        <f>iferror(if(AM10="",E10,AM10)*AN10,"")</f>
        <v>0</v>
      </c>
      <c r="AP10" s="20" t="s">
        <v>160</v>
      </c>
    </row>
    <row r="11" spans="1:47">
      <c r="A11" s="18" t="s">
        <v>24</v>
      </c>
      <c r="B11" s="18" t="s">
        <v>25</v>
      </c>
      <c r="C11" s="18" t="s">
        <v>26</v>
      </c>
      <c r="D11" s="18" t="s">
        <v>27</v>
      </c>
      <c r="E11" s="18">
        <f>BoardQty*1</f>
        <v>0</v>
      </c>
      <c r="F11" s="19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G11" s="19">
        <f>iferror(E11*F11,"")</f>
        <v>0</v>
      </c>
      <c r="M11" s="18">
        <v>5443</v>
      </c>
      <c r="O11" s="19">
        <f>iferror(lookup(if(N11="",E11,N11),{0,1,10,100,500,1000,2000,5000,10000},{0.0,0.36,0.295,0.1693,0.15676,0.10659,0.1022,0.09405,0.08465}),"")</f>
        <v>0</v>
      </c>
      <c r="P11" s="19">
        <f>iferror(if(N11="",E11,N11)*O11,"")</f>
        <v>0</v>
      </c>
      <c r="Q11" s="20" t="s">
        <v>105</v>
      </c>
      <c r="R11" s="18">
        <v>3850</v>
      </c>
      <c r="T11" s="19">
        <f>iferror(USD_GBP*lookup(if(S11="",E11,S11),{0,1,5,25,100,150,250,500,1000,5000},{0.0,0.22,0.22,0.169,0.117,0.117,0.102,0.0878,0.0732,0.0684}),"")</f>
        <v>0</v>
      </c>
      <c r="U11" s="19">
        <f>iferror(if(S11="",E11,S11)*T11,"")</f>
        <v>0</v>
      </c>
      <c r="V11" s="20" t="s">
        <v>122</v>
      </c>
      <c r="W11" s="18">
        <v>15080</v>
      </c>
      <c r="Y11" s="19">
        <f>iferror(lookup(if(X11="",E11,X11),{0,1,10,30,100,500,1000},{0.0,0.1728,0.128,0.1198,0.1116,0.1079,0.1061}),"")</f>
        <v>0</v>
      </c>
      <c r="Z11" s="19">
        <f>iferror(if(X11="",E11,X11)*Y11,"")</f>
        <v>0</v>
      </c>
      <c r="AA11" s="20" t="s">
        <v>129</v>
      </c>
      <c r="AB11" s="18">
        <v>11578</v>
      </c>
      <c r="AD11" s="19">
        <f>iferror(lookup(if(AC11="",E11,AC11),{0,1,10,100,1000,5000,10000},{0.0,0.36,0.269,0.156,0.102,0.094,0.09}),"")</f>
        <v>0</v>
      </c>
      <c r="AE11" s="19">
        <f>iferror(if(AC11="",E11,AC11)*AD11,"")</f>
        <v>0</v>
      </c>
      <c r="AF11" s="20" t="s">
        <v>136</v>
      </c>
      <c r="AG11" s="18">
        <v>5000</v>
      </c>
      <c r="AI11" s="19">
        <f>iferror(lookup(if(AH11="",E11,AH11),{0,1,5,10,25,50,100,250,500,1000,5000,10000,20000,30000,40000},{0.0,0.397,0.397,0.306,0.261,0.218,0.173,0.16,0.147,0.134,0.097,0.07,0.069,0.068,0.067}),"")</f>
        <v>0</v>
      </c>
      <c r="AJ11" s="19">
        <f>iferror(if(AH11="",E11,AH11)*AI11,"")</f>
        <v>0</v>
      </c>
      <c r="AK11" s="20" t="s">
        <v>149</v>
      </c>
    </row>
    <row r="12" spans="1:47">
      <c r="A12" s="18" t="s">
        <v>28</v>
      </c>
      <c r="B12" s="18" t="s">
        <v>29</v>
      </c>
      <c r="C12" s="18" t="s">
        <v>30</v>
      </c>
      <c r="D12" s="18" t="s">
        <v>31</v>
      </c>
      <c r="E12" s="18">
        <f>BoardQty*4</f>
        <v>0</v>
      </c>
      <c r="F12" s="19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G12" s="19">
        <f>iferror(E12*F12,"")</f>
        <v>0</v>
      </c>
      <c r="M12" s="18">
        <v>12111</v>
      </c>
      <c r="O12" s="19">
        <f>iferror(lookup(if(N12="",E12,N12),{0,1,5,10,25,100,250,500,1000,5000},{0.0,0.56,0.48,0.4,0.376,0.32,0.304,0.288,0.272,0.216}),"")</f>
        <v>0</v>
      </c>
      <c r="P12" s="19">
        <f>iferror(if(N12="",E12,N12)*O12,"")</f>
        <v>0</v>
      </c>
      <c r="Q12" s="20" t="s">
        <v>106</v>
      </c>
      <c r="AG12" s="21" t="s">
        <v>118</v>
      </c>
      <c r="AK12" s="20" t="s">
        <v>150</v>
      </c>
    </row>
    <row r="13" spans="1:47">
      <c r="A13" s="18" t="s">
        <v>32</v>
      </c>
      <c r="B13" s="18" t="s">
        <v>33</v>
      </c>
      <c r="C13" s="18" t="s">
        <v>34</v>
      </c>
      <c r="E13" s="18">
        <f>BoardQty*1</f>
        <v>0</v>
      </c>
      <c r="F13" s="19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G13" s="19">
        <f>iferror(E13*F13,"")</f>
        <v>0</v>
      </c>
    </row>
    <row r="14" spans="1:47">
      <c r="A14" s="18" t="s">
        <v>35</v>
      </c>
      <c r="B14" s="18" t="s">
        <v>36</v>
      </c>
      <c r="C14" s="18" t="s">
        <v>37</v>
      </c>
      <c r="D14" s="18" t="s">
        <v>38</v>
      </c>
      <c r="E14" s="18">
        <f>BoardQty*2</f>
        <v>0</v>
      </c>
      <c r="F14" s="19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G14" s="19">
        <f>iferror(E14*F14,"")</f>
        <v>0</v>
      </c>
      <c r="M14" s="18">
        <v>42940</v>
      </c>
      <c r="O14" s="19">
        <f>iferror(lookup(if(N14="",E14,N14),{0,1,25,100,250,500},{0.0,0.85,0.832,0.8143,0.7654,0.6839}),"")</f>
        <v>0</v>
      </c>
      <c r="P14" s="19">
        <f>iferror(if(N14="",E14,N14)*O14,"")</f>
        <v>0</v>
      </c>
      <c r="Q14" s="20" t="s">
        <v>107</v>
      </c>
      <c r="R14" s="18">
        <v>3681</v>
      </c>
      <c r="T14" s="19">
        <f>iferror(USD_GBP*lookup(if(S14="",E14,S14),{0,1,25,50,100,500,1000,5000},{0.0,0.749,0.617,0.557,0.553,0.478,0.405,0.339}),"")</f>
        <v>0</v>
      </c>
      <c r="U14" s="19">
        <f>iferror(if(S14="",E14,S14)*T14,"")</f>
        <v>0</v>
      </c>
      <c r="V14" s="20" t="s">
        <v>123</v>
      </c>
      <c r="AB14" s="18">
        <v>12541</v>
      </c>
      <c r="AD14" s="19">
        <f>iferror(lookup(if(AC14="",E14,AC14),{0,1,10,50,100,200,500},{0.0,0.84,0.692,0.624,0.62,0.543,0.536}),"")</f>
        <v>0</v>
      </c>
      <c r="AE14" s="19">
        <f>iferror(if(AC14="",E14,AC14)*AD14,"")</f>
        <v>0</v>
      </c>
      <c r="AF14" s="20" t="s">
        <v>137</v>
      </c>
      <c r="AG14" s="18">
        <v>3681</v>
      </c>
      <c r="AI14" s="19">
        <f>iferror(lookup(if(AH14="",E14,AH14),{0,1,25,50,100,500,1000},{0.0,0.857,0.706,0.636,0.632,0.547,0.464}),"")</f>
        <v>0</v>
      </c>
      <c r="AJ14" s="19">
        <f>iferror(if(AH14="",E14,AH14)*AI14,"")</f>
        <v>0</v>
      </c>
      <c r="AK14" s="20" t="s">
        <v>151</v>
      </c>
    </row>
    <row r="15" spans="1:47">
      <c r="A15" s="18" t="s">
        <v>39</v>
      </c>
      <c r="B15" s="18" t="s">
        <v>40</v>
      </c>
      <c r="C15" s="18" t="s">
        <v>41</v>
      </c>
      <c r="D15" s="18" t="s">
        <v>42</v>
      </c>
      <c r="E15" s="18">
        <f>BoardQty*1</f>
        <v>0</v>
      </c>
      <c r="F15" s="19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G15" s="19">
        <f>iferror(E15*F15,"")</f>
        <v>0</v>
      </c>
      <c r="M15" s="18">
        <v>4435</v>
      </c>
      <c r="O15" s="19">
        <f>iferror(lookup(if(N15="",E15,N15),{0,1,10,25,50,100,250,500},{0.0,0.12,0.112,0.0832,0.0712,0.0689,0.0594,0.05702}),"")</f>
        <v>0</v>
      </c>
      <c r="P15" s="19">
        <f>iferror(if(N15="",E15,N15)*O15,"")</f>
        <v>0</v>
      </c>
      <c r="Q15" s="20" t="s">
        <v>108</v>
      </c>
    </row>
    <row r="16" spans="1:47">
      <c r="A16" s="18" t="s">
        <v>43</v>
      </c>
      <c r="B16" s="18" t="s">
        <v>44</v>
      </c>
      <c r="C16" s="18" t="s">
        <v>45</v>
      </c>
      <c r="E16" s="18">
        <f>BoardQty*1</f>
        <v>0</v>
      </c>
      <c r="F16" s="19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G16" s="19">
        <f>iferror(E16*F16,"")</f>
        <v>0</v>
      </c>
    </row>
    <row r="17" spans="1:46">
      <c r="A17" s="18" t="s">
        <v>46</v>
      </c>
      <c r="B17" s="18" t="s">
        <v>47</v>
      </c>
      <c r="C17" s="18" t="s">
        <v>48</v>
      </c>
      <c r="E17" s="18">
        <f>BoardQty*1</f>
        <v>0</v>
      </c>
      <c r="F17" s="19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G17" s="19">
        <f>iferror(E17*F17,"")</f>
        <v>0</v>
      </c>
    </row>
    <row r="18" spans="1:46">
      <c r="A18" s="18" t="s">
        <v>49</v>
      </c>
      <c r="B18" s="18" t="s">
        <v>50</v>
      </c>
      <c r="C18" s="18" t="s">
        <v>51</v>
      </c>
      <c r="D18" s="18" t="s">
        <v>52</v>
      </c>
      <c r="E18" s="18">
        <f>BoardQty*1</f>
        <v>0</v>
      </c>
      <c r="F18" s="19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G18" s="19">
        <f>iferror(E18*F18,"")</f>
        <v>0</v>
      </c>
      <c r="M18" s="18">
        <v>1863</v>
      </c>
      <c r="O18" s="19">
        <f>iferror(lookup(if(N18="",E18,N18),{0,1,10,25,100,250,500,1500,3000,7500,10500,37500},{0.0,0.48,0.408,0.3808,0.2828,0.2686,0.22076,0.18101,0.17004,0.15358,0.14261,0.13932}),"")</f>
        <v>0</v>
      </c>
      <c r="P18" s="19">
        <f>iferror(if(N18="",E18,N18)*O18,"")</f>
        <v>0</v>
      </c>
      <c r="Q18" s="20" t="s">
        <v>109</v>
      </c>
      <c r="R18" s="18">
        <v>1480</v>
      </c>
      <c r="T18" s="19">
        <f>iferror(USD_GBP*lookup(if(S18="",E18,S18),{0,1,5,10,25,100,250,500,1000,5000},{0.0,0.526,0.526,0.526,0.489,0.249,0.23,0.198,0.155,0.143}),"")</f>
        <v>0</v>
      </c>
      <c r="U18" s="19">
        <f>iferror(if(S18="",E18,S18)*T18,"")</f>
        <v>0</v>
      </c>
      <c r="V18" s="20" t="s">
        <v>124</v>
      </c>
      <c r="AB18" s="18">
        <v>2893</v>
      </c>
      <c r="AD18" s="19">
        <f>iferror(lookup(if(AC18="",E18,AC18),{0,1,10,100,1000,1500,9000},{0.0,0.48,0.408,0.227,0.207,0.153,0.142}),"")</f>
        <v>0</v>
      </c>
      <c r="AE18" s="19">
        <f>iferror(if(AC18="",E18,AC18)*AD18,"")</f>
        <v>0</v>
      </c>
      <c r="AF18" s="20" t="s">
        <v>138</v>
      </c>
      <c r="AG18" s="21" t="s">
        <v>118</v>
      </c>
      <c r="AI18" s="19">
        <f>iferror(lookup(if(AH18="",E18,AH18),{0,1,5,10,25,50,100},{0.0,0.48,0.48,0.408,0.38,0.331,0.282}),"")</f>
        <v>0</v>
      </c>
      <c r="AJ18" s="19">
        <f>iferror(if(AH18="",E18,AH18)*AI18,"")</f>
        <v>0</v>
      </c>
      <c r="AK18" s="20" t="s">
        <v>152</v>
      </c>
    </row>
    <row r="19" spans="1:46">
      <c r="A19" s="18" t="s">
        <v>53</v>
      </c>
      <c r="B19" s="18" t="s">
        <v>54</v>
      </c>
      <c r="C19" s="18" t="s">
        <v>55</v>
      </c>
      <c r="D19" s="18" t="s">
        <v>54</v>
      </c>
      <c r="E19" s="18">
        <f>BoardQty*1</f>
        <v>0</v>
      </c>
      <c r="F19" s="19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G19" s="19">
        <f>iferror(E19*F19,"")</f>
        <v>0</v>
      </c>
      <c r="M19" s="18">
        <v>22810</v>
      </c>
      <c r="O19" s="19">
        <f>iferror(lookup(if(N19="",E19,N19),{0,1,10,25,100,250,500,1000,3000,6000,15000,30000,75000,150000},{0.0,0.22,0.177,0.1484,0.0726,0.07144,0.06056,0.04208,0.03911,0.03383,0.02805,0.02756,0.02475,0.02145}),"")</f>
        <v>0</v>
      </c>
      <c r="P19" s="19">
        <f>iferror(if(N19="",E19,N19)*O19,"")</f>
        <v>0</v>
      </c>
      <c r="Q19" s="20" t="s">
        <v>110</v>
      </c>
      <c r="R19" s="18">
        <v>3925</v>
      </c>
      <c r="T19" s="19">
        <f>iferror(USD_GBP*lookup(if(S19="",E19,S19),{0,1,5,50,100,150,500,1500,3000,9000},{0.0,0.13,0.13,0.0911,0.0522,0.0522,0.0336,0.0329,0.0213,0.0184}),"")</f>
        <v>0</v>
      </c>
      <c r="U19" s="19">
        <f>iferror(if(S19="",E19,S19)*T19,"")</f>
        <v>0</v>
      </c>
      <c r="V19" s="20" t="s">
        <v>125</v>
      </c>
      <c r="AB19" s="18">
        <v>13393</v>
      </c>
      <c r="AD19" s="19">
        <f>iferror(lookup(if(AC19="",E19,AC19),{0,1,10,100,1000,3000,9000},{0.0,0.21,0.143,0.059,0.041,0.033,0.031}),"")</f>
        <v>0</v>
      </c>
      <c r="AE19" s="19">
        <f>iferror(if(AC19="",E19,AC19)*AD19,"")</f>
        <v>0</v>
      </c>
      <c r="AF19" s="20" t="s">
        <v>139</v>
      </c>
      <c r="AG19" s="21" t="s">
        <v>118</v>
      </c>
      <c r="AI19" s="19">
        <f>iferror(lookup(if(AH19="",E19,AH19),{0,1,5,10,25,50,100,3000,6000,12000},{0.0,0.22,0.22,0.149,0.12,0.091,0.062,0.031,0.03,0.028}),"")</f>
        <v>0</v>
      </c>
      <c r="AJ19" s="19">
        <f>iferror(if(AH19="",E19,AH19)*AI19,"")</f>
        <v>0</v>
      </c>
      <c r="AK19" s="20" t="s">
        <v>153</v>
      </c>
    </row>
    <row r="20" spans="1:46">
      <c r="A20" s="18" t="s">
        <v>56</v>
      </c>
      <c r="B20" s="18" t="s">
        <v>57</v>
      </c>
      <c r="C20" s="18" t="s">
        <v>55</v>
      </c>
      <c r="D20" s="18" t="s">
        <v>58</v>
      </c>
      <c r="E20" s="18">
        <f>BoardQty*1</f>
        <v>0</v>
      </c>
      <c r="F20" s="19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G20" s="19">
        <f>iferror(E20*F20,"")</f>
        <v>0</v>
      </c>
      <c r="M20" s="18">
        <v>9307</v>
      </c>
      <c r="O20" s="19">
        <f>iferror(lookup(if(N20="",E20,N20),{0,1,10,25,100,250,500,1000,2500,5000,10000,30000,50000,100000,250000},{0.0,0.22,0.177,0.1484,0.0726,0.07144,0.06056,0.04208,0.0391,0.03383,0.02805,0.02756,0.02475,0.02195,0.02145}),"")</f>
        <v>0</v>
      </c>
      <c r="P20" s="19">
        <f>iferror(if(N20="",E20,N20)*O20,"")</f>
        <v>0</v>
      </c>
      <c r="Q20" s="20" t="s">
        <v>111</v>
      </c>
    </row>
    <row r="21" spans="1:46">
      <c r="A21" s="18" t="s">
        <v>59</v>
      </c>
      <c r="B21" s="18" t="s">
        <v>60</v>
      </c>
      <c r="C21" s="18" t="s">
        <v>61</v>
      </c>
      <c r="D21" s="18" t="s">
        <v>62</v>
      </c>
      <c r="E21" s="18">
        <f>BoardQty*2</f>
        <v>0</v>
      </c>
      <c r="F21" s="19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G21" s="19">
        <f>iferror(E21*F21,"")</f>
        <v>0</v>
      </c>
      <c r="M21" s="18">
        <v>54515</v>
      </c>
      <c r="O21" s="19">
        <f>iferror(lookup(if(N21="",E21,N21),{0,1,10,100,1000,2500,5000,10000,25000,50000},{0.0,0.1,0.035,0.0142,0.00636,0.00552,0.00456,0.00396,0.00348,0.00326}),"")</f>
        <v>0</v>
      </c>
      <c r="P21" s="19">
        <f>iferror(if(N21="",E21,N21)*O21,"")</f>
        <v>0</v>
      </c>
      <c r="Q21" s="20" t="s">
        <v>112</v>
      </c>
      <c r="AB21" s="18">
        <v>258423</v>
      </c>
      <c r="AD21" s="19">
        <f>iferror(lookup(if(AC21="",E21,AC21),{0,1,10,100,1000,5000,10000},{0.0,0.1,0.039,0.015,0.006,0.004,0.004}),"")</f>
        <v>0</v>
      </c>
      <c r="AE21" s="19">
        <f>iferror(if(AC21="",E21,AC21)*AD21,"")</f>
        <v>0</v>
      </c>
      <c r="AF21" s="20" t="s">
        <v>140</v>
      </c>
      <c r="AG21" s="21" t="s">
        <v>118</v>
      </c>
      <c r="AK21" s="20" t="s">
        <v>154</v>
      </c>
    </row>
    <row r="22" spans="1:46">
      <c r="A22" s="18" t="s">
        <v>63</v>
      </c>
      <c r="B22" s="18" t="s">
        <v>64</v>
      </c>
      <c r="C22" s="18" t="s">
        <v>61</v>
      </c>
      <c r="D22" s="18" t="s">
        <v>62</v>
      </c>
      <c r="E22" s="18">
        <f>BoardQty*2</f>
        <v>0</v>
      </c>
      <c r="F22" s="19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G22" s="19">
        <f>iferror(E22*F22,"")</f>
        <v>0</v>
      </c>
      <c r="M22" s="18">
        <v>54515</v>
      </c>
      <c r="O22" s="19">
        <f>iferror(lookup(if(N22="",E22,N22),{0,1,10,100,1000,2500,5000,10000,25000,50000},{0.0,0.1,0.035,0.0142,0.00636,0.00552,0.00456,0.00396,0.00348,0.00326}),"")</f>
        <v>0</v>
      </c>
      <c r="P22" s="19">
        <f>iferror(if(N22="",E22,N22)*O22,"")</f>
        <v>0</v>
      </c>
      <c r="Q22" s="20" t="s">
        <v>112</v>
      </c>
      <c r="AB22" s="18">
        <v>258423</v>
      </c>
      <c r="AD22" s="19">
        <f>iferror(lookup(if(AC22="",E22,AC22),{0,1,10,100,1000,5000,10000},{0.0,0.1,0.039,0.015,0.006,0.004,0.004}),"")</f>
        <v>0</v>
      </c>
      <c r="AE22" s="19">
        <f>iferror(if(AC22="",E22,AC22)*AD22,"")</f>
        <v>0</v>
      </c>
      <c r="AF22" s="20" t="s">
        <v>140</v>
      </c>
      <c r="AG22" s="21" t="s">
        <v>118</v>
      </c>
      <c r="AK22" s="20" t="s">
        <v>154</v>
      </c>
    </row>
    <row r="23" spans="1:46">
      <c r="A23" s="18" t="s">
        <v>65</v>
      </c>
      <c r="B23" s="18" t="s">
        <v>66</v>
      </c>
      <c r="C23" s="18" t="s">
        <v>67</v>
      </c>
      <c r="D23" s="18" t="s">
        <v>68</v>
      </c>
      <c r="E23" s="18">
        <f>BoardQty*2</f>
        <v>0</v>
      </c>
      <c r="F23" s="19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G23" s="19">
        <f>iferror(E23*F23,"")</f>
        <v>0</v>
      </c>
      <c r="M23" s="18">
        <v>18466</v>
      </c>
      <c r="O23" s="19">
        <f>iferror(lookup(if(N23="",E23,N23),{0,1,10,25,50,100,250,500,1000,5000,10000,25000,50000,125000},{0.0,0.1,0.087,0.06,0.0466,0.0333,0.02596,0.02064,0.01465,0.01132,0.01016,0.00932,0.00876,0.00856}),"")</f>
        <v>0</v>
      </c>
      <c r="P23" s="19">
        <f>iferror(if(N23="",E23,N23)*O23,"")</f>
        <v>0</v>
      </c>
      <c r="Q23" s="20" t="s">
        <v>113</v>
      </c>
      <c r="AB23" s="18">
        <v>12242</v>
      </c>
      <c r="AD23" s="19">
        <f>iferror(lookup(if(AC23="",E23,AC23),{0,1,10,100,1000,5000,10000},{0.0,0.13,0.072,0.027,0.02,0.012,0.011}),"")</f>
        <v>0</v>
      </c>
      <c r="AE23" s="19">
        <f>iferror(if(AC23="",E23,AC23)*AD23,"")</f>
        <v>0</v>
      </c>
      <c r="AF23" s="20" t="s">
        <v>141</v>
      </c>
    </row>
    <row r="24" spans="1:46">
      <c r="A24" s="18" t="s">
        <v>69</v>
      </c>
      <c r="B24" s="18" t="s">
        <v>70</v>
      </c>
      <c r="C24" s="18" t="s">
        <v>71</v>
      </c>
      <c r="D24" s="18" t="s">
        <v>72</v>
      </c>
      <c r="E24" s="18">
        <f>BoardQty*2</f>
        <v>0</v>
      </c>
      <c r="F24" s="19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G24" s="19">
        <f>iferror(E24*F24,"")</f>
        <v>0</v>
      </c>
      <c r="M24" s="18">
        <v>1854</v>
      </c>
      <c r="O24" s="19">
        <f>iferror(lookup(if(N24="",E24,N24),{0,1,10,25,50,100,250,500,1000},{0.0,1.1,0.98,0.9308,0.8852,0.8437,0.80652,0.7238,0.68244}),"")</f>
        <v>0</v>
      </c>
      <c r="P24" s="19">
        <f>iferror(if(N24="",E24,N24)*O24,"")</f>
        <v>0</v>
      </c>
      <c r="Q24" s="20" t="s">
        <v>114</v>
      </c>
      <c r="AB24" s="18">
        <v>637</v>
      </c>
      <c r="AD24" s="19">
        <f>iferror(lookup(if(AC24="",E24,AC24),{0,1,25,50,100,250,500},{0.0,1.11,1.05,0.997,0.972,0.947,0.892}),"")</f>
        <v>0</v>
      </c>
      <c r="AE24" s="19">
        <f>iferror(if(AC24="",E24,AC24)*AD24,"")</f>
        <v>0</v>
      </c>
      <c r="AF24" s="20" t="s">
        <v>142</v>
      </c>
      <c r="AG24" s="21" t="s">
        <v>118</v>
      </c>
      <c r="AI24" s="19">
        <f>iferror(lookup(if(AH24="",E24,AH24),{0,1,5000,10000,50000},{0.0,1.01,1.01,0.752,0.626}),"")</f>
        <v>0</v>
      </c>
      <c r="AJ24" s="19">
        <f>iferror(if(AH24="",E24,AH24)*AI24,"")</f>
        <v>0</v>
      </c>
      <c r="AK24" s="20" t="s">
        <v>155</v>
      </c>
    </row>
    <row r="25" spans="1:46">
      <c r="A25" s="18" t="s">
        <v>73</v>
      </c>
      <c r="B25" s="18" t="s">
        <v>74</v>
      </c>
      <c r="C25" s="18" t="s">
        <v>61</v>
      </c>
      <c r="D25" s="18" t="s">
        <v>75</v>
      </c>
      <c r="E25" s="18">
        <f>BoardQty*2</f>
        <v>0</v>
      </c>
      <c r="F25" s="19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G25" s="19">
        <f>iferror(E25*F25,"")</f>
        <v>0</v>
      </c>
      <c r="M25" s="18">
        <v>2049</v>
      </c>
      <c r="O25" s="19">
        <f>iferror(lookup(if(N25="",E25,N25),{0,1,5,10,25,50,100,500,1000,2000,4000,6000,10000,20000,50000},{0.0,0.23,0.218,0.194,0.1784,0.1428,0.1224,0.1071,0.0918,0.0918,0.0867,0.0816,0.07395,0.07268,0.0714}),"")</f>
        <v>0</v>
      </c>
      <c r="P25" s="19">
        <f>iferror(if(N25="",E25,N25)*O25,"")</f>
        <v>0</v>
      </c>
      <c r="Q25" s="20" t="s">
        <v>115</v>
      </c>
      <c r="R25" s="18">
        <v>1710</v>
      </c>
      <c r="T25" s="19">
        <f>iferror(USD_GBP*lookup(if(S25="",E25,S25),{0,1,5,50,150,250,500,1000,2000,10000},{0.0,0.161,0.161,0.0937,0.0937,0.0908,0.0844,0.078,0.0765,0.0681}),"")</f>
        <v>0</v>
      </c>
      <c r="U25" s="19">
        <f>iferror(if(S25="",E25,S25)*T25,"")</f>
        <v>0</v>
      </c>
      <c r="V25" s="20" t="s">
        <v>126</v>
      </c>
      <c r="AB25" s="18">
        <v>484</v>
      </c>
      <c r="AD25" s="19">
        <f>iferror(lookup(if(AC25="",E25,AC25),{0,1,10,100,500,1000,2000},{0.0,0.21,0.197,0.124,0.118,0.099,0.081}),"")</f>
        <v>0</v>
      </c>
      <c r="AE25" s="19">
        <f>iferror(if(AC25="",E25,AC25)*AD25,"")</f>
        <v>0</v>
      </c>
      <c r="AF25" s="20" t="s">
        <v>143</v>
      </c>
      <c r="AG25" s="21" t="s">
        <v>118</v>
      </c>
      <c r="AI25" s="19">
        <f>iferror(lookup(if(AH25="",E25,AH25),{0,1,5,10,25,50,100,2000,4000,8000,12000},{0.0,0.2,0.2,0.196,0.172,0.147,0.123,0.079,0.076,0.074,0.071}),"")</f>
        <v>0</v>
      </c>
      <c r="AJ25" s="19">
        <f>iferror(if(AH25="",E25,AH25)*AI25,"")</f>
        <v>0</v>
      </c>
      <c r="AK25" s="20" t="s">
        <v>156</v>
      </c>
    </row>
    <row r="26" spans="1:46">
      <c r="A26" s="18" t="s">
        <v>76</v>
      </c>
      <c r="B26" s="18" t="s">
        <v>77</v>
      </c>
      <c r="C26" s="18" t="s">
        <v>78</v>
      </c>
      <c r="D26" s="18" t="s">
        <v>77</v>
      </c>
      <c r="E26" s="18">
        <f>BoardQty*1</f>
        <v>0</v>
      </c>
      <c r="F26" s="19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G26" s="19">
        <f>iferror(E26*F26,"")</f>
        <v>0</v>
      </c>
      <c r="M26" s="18">
        <v>23359</v>
      </c>
      <c r="O26" s="19">
        <f>iferror(lookup(if(N26="",E26,N26),{0,1,10,25,100,250,500,1000,2500,5000,10000,25000,62500},{0.0,0.58,0.512,0.4804,0.3643,0.31,0.2945,0.22475,0.20925,0.2015,0.19375,0.19065,0.186}),"")</f>
        <v>0</v>
      </c>
      <c r="P26" s="19">
        <f>iferror(if(N26="",E26,N26)*O26,"")</f>
        <v>0</v>
      </c>
      <c r="Q26" s="20" t="s">
        <v>116</v>
      </c>
      <c r="R26" s="18">
        <v>25000</v>
      </c>
      <c r="T26" s="19">
        <f>iferror(USD_GBP*lookup(if(S26="",E26,S26),{0,1,3,10,25,50,100,250,500,1000,2500,5000},{0.0,0.408,0.411,0.408,0.339,0.347,0.286,0.244,0.232,0.177,0.164,0.158}),"")</f>
        <v>0</v>
      </c>
      <c r="U26" s="19">
        <f>iferror(if(S26="",E26,S26)*T26,"")</f>
        <v>0</v>
      </c>
      <c r="V26" s="20" t="s">
        <v>127</v>
      </c>
      <c r="W26" s="18">
        <v>10181</v>
      </c>
      <c r="Y26" s="19">
        <f>iferror(lookup(if(X26="",E26,X26),{0,1,10,30,100,500,1000},{0.0,0.373,0.2733,0.2544,0.2372,0.2286,0.2252}),"")</f>
        <v>0</v>
      </c>
      <c r="Z26" s="19">
        <f>iferror(if(X26="",E26,X26)*Y26,"")</f>
        <v>0</v>
      </c>
      <c r="AA26" s="20" t="s">
        <v>130</v>
      </c>
      <c r="AB26" s="18">
        <v>14439</v>
      </c>
      <c r="AD26" s="19">
        <f>iferror(lookup(if(AC26="",E26,AC26),{0,1,10,100,250,500,1000},{0.0,0.58,0.481,0.365,0.31,0.295,0.225}),"")</f>
        <v>0</v>
      </c>
      <c r="AE26" s="19">
        <f>iferror(if(AC26="",E26,AC26)*AD26,"")</f>
        <v>0</v>
      </c>
      <c r="AF26" s="20" t="s">
        <v>144</v>
      </c>
      <c r="AG26" s="18">
        <v>5546</v>
      </c>
      <c r="AI26" s="19">
        <f>iferror(lookup(if(AH26="",E26,AH26),{0,1,10,25,50,100,250,500,1000,2500,5000,10000,15000,25000},{0.0,0.282,0.282,0.282,0.282,0.259,0.259,0.239,0.239,0.205,0.201,0.197,0.193,0.19}),"")</f>
        <v>0</v>
      </c>
      <c r="AJ26" s="19">
        <f>iferror(if(AH26="",E26,AH26)*AI26,"")</f>
        <v>0</v>
      </c>
      <c r="AK26" s="20" t="s">
        <v>157</v>
      </c>
    </row>
    <row r="27" spans="1:46">
      <c r="A27" s="18" t="s">
        <v>79</v>
      </c>
      <c r="B27" s="18" t="s">
        <v>80</v>
      </c>
      <c r="C27" s="18" t="s">
        <v>80</v>
      </c>
      <c r="D27" s="18" t="s">
        <v>81</v>
      </c>
      <c r="E27" s="18">
        <f>BoardQty*1</f>
        <v>0</v>
      </c>
      <c r="F27" s="19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G27" s="19">
        <f>iferror(E27*F27,"")</f>
        <v>0</v>
      </c>
      <c r="M27" s="21" t="s">
        <v>118</v>
      </c>
      <c r="O27" s="19">
        <f>iferror(lookup(if(N27="",E27,N27),{0,1,10,100,500,1000,2000,5000,10000,25000},{0.0,2.15,1.435,1.1045,0.9984,0.858,0.8112,0.79248,0.78,0.76128}),"")</f>
        <v>0</v>
      </c>
      <c r="P27" s="19">
        <f>iferror(if(N27="",E27,N27)*O27,"")</f>
        <v>0</v>
      </c>
      <c r="Q27" s="20" t="s">
        <v>117</v>
      </c>
    </row>
    <row r="29" spans="1:46">
      <c r="B29" s="22" t="s">
        <v>84</v>
      </c>
      <c r="F29" s="2" t="s">
        <v>82</v>
      </c>
      <c r="G29" s="6">
        <f>SUM(INDIRECT(ADDRESS(ROW(),COLUMN(arrow_part_data)+3)),INDIRECT(ADDRESS(ROW(),COLUMN(digikey_part_data)+3)),INDIRECT(ADDRESS(ROW(),COLUMN(farnell_part_data)+3)),INDIRECT(ADDRESS(ROW(),COLUMN(mouser_part_data)+3)),INDIRECT(ADDRESS(ROW(),COLUMN(newark_part_data)+3)),INDIRECT(ADDRESS(ROW(),COLUMN(rs_part_data)+3)),INDIRECT(ADDRESS(ROW(),COLUMN(tme_part_data)+3)),INDIRECT(ADDRESS(ROW(),COLUMN(lcsc_part_data)+3)))</f>
        <v>0</v>
      </c>
      <c r="I29" s="7">
        <f>IFERROR(IF(OR(I7:I27),COUNTIFS(I7:I27,"&gt;0",K7:K27,"&lt;&gt;")&amp;" of "&amp;(ROWS(K7:K27)-COUNTBLANK(K7:K27))&amp;" parts purchased",""),"")</f>
        <v>0</v>
      </c>
      <c r="K29" s="6">
        <f>SUMIF(I7:I27,"&gt;0",K7:K27)</f>
        <v>0</v>
      </c>
      <c r="N29" s="7">
        <f>IFERROR(IF(OR(N7:N27),COUNTIFS(N7:N27,"&gt;0",P7:P27,"&lt;&gt;")&amp;" of "&amp;(ROWS(P7:P27)-COUNTBLANK(P7:P27))&amp;" parts purchased",""),"")</f>
        <v>0</v>
      </c>
      <c r="P29" s="6">
        <f>SUMIF(N7:N27,"&gt;0",P7:P27)</f>
        <v>0</v>
      </c>
      <c r="S29" s="7">
        <f>IFERROR(IF(OR(S7:S27),COUNTIFS(S7:S27,"&gt;0",U7:U27,"&lt;&gt;")&amp;" of "&amp;(ROWS(U7:U27)-COUNTBLANK(U7:U27))&amp;" parts purchased",""),"")</f>
        <v>0</v>
      </c>
      <c r="U29" s="6">
        <f>SUMIF(S7:S27,"&gt;0",U7:U27)</f>
        <v>0</v>
      </c>
      <c r="X29" s="7">
        <f>IFERROR(IF(OR(X7:X27),COUNTIFS(X7:X27,"&gt;0",Z7:Z27,"&lt;&gt;")&amp;" of "&amp;(ROWS(Z7:Z27)-COUNTBLANK(Z7:Z27))&amp;" parts purchased",""),"")</f>
        <v>0</v>
      </c>
      <c r="Z29" s="6">
        <f>SUMIF(X7:X27,"&gt;0",Z7:Z27)</f>
        <v>0</v>
      </c>
      <c r="AC29" s="7">
        <f>IFERROR(IF(OR(AC7:AC27),COUNTIFS(AC7:AC27,"&gt;0",AE7:AE27,"&lt;&gt;")&amp;" of "&amp;(ROWS(AE7:AE27)-COUNTBLANK(AE7:AE27))&amp;" parts purchased",""),"")</f>
        <v>0</v>
      </c>
      <c r="AE29" s="6">
        <f>SUMIF(AC7:AC27,"&gt;0",AE7:AE27)</f>
        <v>0</v>
      </c>
      <c r="AH29" s="7">
        <f>IFERROR(IF(OR(AH7:AH27),COUNTIFS(AH7:AH27,"&gt;0",AJ7:AJ27,"&lt;&gt;")&amp;" of "&amp;(ROWS(AJ7:AJ27)-COUNTBLANK(AJ7:AJ27))&amp;" parts purchased",""),"")</f>
        <v>0</v>
      </c>
      <c r="AJ29" s="6">
        <f>SUMIF(AH7:AH27,"&gt;0",AJ7:AJ27)</f>
        <v>0</v>
      </c>
      <c r="AM29" s="7">
        <f>IFERROR(IF(OR(AM7:AM27),COUNTIFS(AM7:AM27,"&gt;0",AO7:AO27,"&lt;&gt;")&amp;" of "&amp;(ROWS(AO7:AO27)-COUNTBLANK(AO7:AO27))&amp;" parts purchased",""),"")</f>
        <v>0</v>
      </c>
      <c r="AO29" s="6">
        <f>SUMIF(AM7:AM27,"&gt;0",AO7:AO27)</f>
        <v>0</v>
      </c>
      <c r="AR29" s="7">
        <f>IFERROR(IF(OR(AR7:AR27),COUNTIFS(AR7:AR27,"&gt;0",AT7:AT27,"&lt;&gt;")&amp;" of "&amp;(ROWS(AT7:AT27)-COUNTBLANK(AT7:AT27))&amp;" parts purchased",""),"")</f>
        <v>0</v>
      </c>
      <c r="AT29" s="6">
        <f>SUMIF(AR7:AR27,"&gt;0",AT7:AT27)</f>
        <v>0</v>
      </c>
    </row>
    <row r="30" spans="1:46">
      <c r="B30" s="22" t="s">
        <v>85</v>
      </c>
      <c r="C30">
        <v>1.293904700565222</v>
      </c>
      <c r="F30" s="22" t="s">
        <v>83</v>
      </c>
      <c r="I30">
        <f t="array" ref="I30">IFERROR(CONCATENATE(INDEX(L7:L27,SMALL(IF(ISNUMBER(I7:I27),IF(I7:I27&gt;0,IF(L7:L27&lt;&gt;"",ROW(I7:I27)-MIN(ROW(I7:I27))+1))),ROW()-ROW(A$30)+1)),",",TEXT(INDEX(I7:I27,SMALL(IF(ISNUMBER(I7:I27),IF(I7:I27&gt;0,IF(L7:L27&lt;&gt;"",ROW(I7:I27)-MIN(ROW(I7:I27))+1))),ROW()-ROW(A$30)+1)),"##0"),",",SUBSTITUTE(INDEX(IF(PURCHASE_DESCRIPTION&lt;&gt;"",PURCHASE_DESCRIPTION&amp;":","")&amp;A7:A27,SMALL(IF(ISNUMBER(I7:I27),IF(I7:I27&gt;0,IF(L7:L27&lt;&gt;"",ROW(I7:I27)-MIN(ROW(I7:I27))+1))),ROW()-ROW(A$30)+1)),",",";")),"")</f>
        <v>0</v>
      </c>
      <c r="N30">
        <f t="array" ref="N30">IFERROR(CONCATENATE(TEXT(INDEX(N7:N27,SMALL(IF(ISNUMBER(N7:N27),IF(N7:N27&gt;0,IF(Q7:Q27&lt;&gt;"",ROW(N7:N27)-MIN(ROW(N7:N27))+1))),ROW()-ROW(A$30)+1)),"##0"),",",INDEX(Q7:Q27,SMALL(IF(ISNUMBER(N7:N27),IF(N7:N27&gt;0,IF(Q7:Q27&lt;&gt;"",ROW(N7:N27)-MIN(ROW(N7:N27))+1))),ROW()-ROW(A$30)+1)),",",SUBSTITUTE(INDEX(IF(PURCHASE_DESCRIPTION&lt;&gt;"",PURCHASE_DESCRIPTION&amp;":","")&amp;A7:A27,SMALL(IF(ISNUMBER(N7:N27),IF(N7:N27&gt;0,IF(Q7:Q27&lt;&gt;"",ROW(N7:N27)-MIN(ROW(N7:N27))+1))),ROW()-ROW(A$30)+1)),",",";")),"")</f>
        <v>0</v>
      </c>
      <c r="S30">
        <f t="array" ref="S30">IFERROR(CONCATENATE(INDEX(V7:V27,SMALL(IF(ISNUMBER(S7:S27),IF(S7:S27&gt;0,IF(V7:V27&lt;&gt;"",ROW(S7:S27)-MIN(ROW(S7:S27))+1))),ROW()-ROW(A$30)+1))," ",TEXT(INDEX(S7:S27,SMALL(IF(ISNUMBER(S7:S27),IF(S7:S27&gt;0,IF(V7:V27&lt;&gt;"",ROW(S7:S27)-MIN(ROW(S7:S27))+1))),ROW()-ROW(A$30)+1)),"##0")," ",SUBSTITUTE(INDEX(IF(PURCHASE_DESCRIPTION&lt;&gt;"",PURCHASE_DESCRIPTION&amp;":","")&amp;A7:A27,SMALL(IF(ISNUMBER(S7:S27),IF(S7:S27&gt;0,IF(V7:V27&lt;&gt;"",ROW(S7:S27)-MIN(ROW(S7:S27))+1))),ROW()-ROW(A$30)+1))," ",";")),"")</f>
        <v>0</v>
      </c>
      <c r="X30" s="7">
        <f>IFERROR(IF(COUNTIFS(X7:X27,"&gt;0",Z7:Z27,"&lt;&gt;")&gt;0,"Quantity,Comment,Designator,Footprint,LCSC Part #(optional)",""),"")</f>
        <v>0</v>
      </c>
      <c r="AC30">
        <f t="array" ref="AC30">IFERROR(CONCATENATE(INDEX(AF7:AF27,SMALL(IF(ISNUMBER(AC7:AC27),IF(AC7:AC27&gt;0,IF(AF7:AF27&lt;&gt;"",ROW(AC7:AC27)-MIN(ROW(AC7:AC27))+1))),ROW()-ROW(A$30)+1)),"|",TEXT(INDEX(AC7:AC27,SMALL(IF(ISNUMBER(AC7:AC27),IF(AC7:AC27&gt;0,IF(AF7:AF27&lt;&gt;"",ROW(AC7:AC27)-MIN(ROW(AC7:AC27))+1))),ROW()-ROW(A$30)+1)),"##0"),"|",SUBSTITUTE(SUBSTITUTE(INDEX(IF(PURCHASE_DESCRIPTION&lt;&gt;"",PURCHASE_DESCRIPTION&amp;":","")&amp;A7:A27,SMALL(IF(ISNUMBER(AC7:AC27),IF(AC7:AC27&gt;0,IF(AF7:AF27&lt;&gt;"",ROW(AC7:AC27)-MIN(ROW(AC7:AC27))+1))),ROW()-ROW(A$30)+1)),"|",";")," ","_")),"")</f>
        <v>0</v>
      </c>
      <c r="AH30">
        <f t="array" ref="AH30">IFERROR(CONCATENATE(INDEX(AK7:AK27,SMALL(IF(ISNUMBER(AH7:AH27),IF(AH7:AH27&gt;0,IF(AK7:AK27&lt;&gt;"",ROW(AH7:AH27)-MIN(ROW(AH7:AH27))+1))),ROW()-ROW(A$30)+1)),",",TEXT(INDEX(AH7:AH27,SMALL(IF(ISNUMBER(AH7:AH27),IF(AH7:AH27&gt;0,IF(AK7:AK27&lt;&gt;"",ROW(AH7:AH27)-MIN(ROW(AH7:AH27))+1))),ROW()-ROW(A$30)+1)),"##0"),",",SUBSTITUTE(INDEX(IF(PURCHASE_DESCRIPTION&lt;&gt;"",PURCHASE_DESCRIPTION&amp;":","")&amp;A7:A27,SMALL(IF(ISNUMBER(AH7:AH27),IF(AH7:AH27&gt;0,IF(AK7:AK27&lt;&gt;"",ROW(AH7:AH27)-MIN(ROW(AH7:AH27))+1))),ROW()-ROW(A$30)+1)),",",";")),"")</f>
        <v>0</v>
      </c>
      <c r="AM30">
        <f t="array" ref="AM30">IFERROR(CONCATENATE(INDEX(AP7:AP27,SMALL(IF(ISNUMBER(AM7:AM27),IF(AM7:AM27&gt;0,IF(AP7:AP27&lt;&gt;"",ROW(AM7:AM27)-MIN(ROW(AM7:AM27))+1))),ROW()-ROW(A$30)+1))," ",TEXT(INDEX(AM7:AM27,SMALL(IF(ISNUMBER(AM7:AM27),IF(AM7:AM27&gt;0,IF(AP7:AP27&lt;&gt;"",ROW(AM7:AM27)-MIN(ROW(AM7:AM27))+1))),ROW()-ROW(A$30)+1)),"##0")," ",SUBSTITUTE(INDEX(IF(PURCHASE_DESCRIPTION&lt;&gt;"",PURCHASE_DESCRIPTION&amp;":","")&amp;A7:A27,SMALL(IF(ISNUMBER(AM7:AM27),IF(AM7:AM27&gt;0,IF(AP7:AP27&lt;&gt;"",ROW(AM7:AM27)-MIN(ROW(AM7:AM27))+1))),ROW()-ROW(A$30)+1))," ",";")),"")</f>
        <v>0</v>
      </c>
      <c r="AR30">
        <f t="array" ref="AR30">IFERROR(CONCATENATE(INDEX(AU7:AU27,SMALL(IF(ISNUMBER(AR7:AR27),IF(AR7:AR27&gt;0,IF(AU7:AU27&lt;&gt;"",ROW(AR7:AR27)-MIN(ROW(AR7:AR27))+1))),ROW()-ROW(A$30)+1))," ",TEXT(INDEX(AR7:AR27,SMALL(IF(ISNUMBER(AR7:AR27),IF(AR7:AR27&gt;0,IF(AU7:AU27&lt;&gt;"",ROW(AR7:AR27)-MIN(ROW(AR7:AR27))+1))),ROW()-ROW(A$30)+1)),"##0")," ",SUBSTITUTE(INDEX(IF(PURCHASE_DESCRIPTION&lt;&gt;"",PURCHASE_DESCRIPTION&amp;":","")&amp;A7:A27,SMALL(IF(ISNUMBER(AR7:AR27),IF(AR7:AR27&gt;0,IF(AU7:AU27&lt;&gt;"",ROW(AR7:AR27)-MIN(ROW(AR7:AR27))+1))),ROW()-ROW(A$30)+1))," ",";")),"")</f>
        <v>0</v>
      </c>
    </row>
    <row r="31" spans="1:46">
      <c r="I31">
        <f t="array" ref="I31">IFERROR(CONCATENATE(INDEX(L7:L27,SMALL(IF(ISNUMBER(I7:I27),IF(I7:I27&gt;0,IF(L7:L27&lt;&gt;"",ROW(I7:I27)-MIN(ROW(I7:I27))+1))),ROW()-ROW(A$30)+1)),",",TEXT(INDEX(I7:I27,SMALL(IF(ISNUMBER(I7:I27),IF(I7:I27&gt;0,IF(L7:L27&lt;&gt;"",ROW(I7:I27)-MIN(ROW(I7:I27))+1))),ROW()-ROW(A$30)+1)),"##0"),",",SUBSTITUTE(INDEX(IF(PURCHASE_DESCRIPTION&lt;&gt;"",PURCHASE_DESCRIPTION&amp;":","")&amp;A7:A27,SMALL(IF(ISNUMBER(I7:I27),IF(I7:I27&gt;0,IF(L7:L27&lt;&gt;"",ROW(I7:I27)-MIN(ROW(I7:I27))+1))),ROW()-ROW(A$30)+1)),",",";")),"")</f>
        <v>0</v>
      </c>
      <c r="N31">
        <f t="array" ref="N31">IFERROR(CONCATENATE(TEXT(INDEX(N7:N27,SMALL(IF(ISNUMBER(N7:N27),IF(N7:N27&gt;0,IF(Q7:Q27&lt;&gt;"",ROW(N7:N27)-MIN(ROW(N7:N27))+1))),ROW()-ROW(A$30)+1)),"##0"),",",INDEX(Q7:Q27,SMALL(IF(ISNUMBER(N7:N27),IF(N7:N27&gt;0,IF(Q7:Q27&lt;&gt;"",ROW(N7:N27)-MIN(ROW(N7:N27))+1))),ROW()-ROW(A$30)+1)),",",SUBSTITUTE(INDEX(IF(PURCHASE_DESCRIPTION&lt;&gt;"",PURCHASE_DESCRIPTION&amp;":","")&amp;A7:A27,SMALL(IF(ISNUMBER(N7:N27),IF(N7:N27&gt;0,IF(Q7:Q27&lt;&gt;"",ROW(N7:N27)-MIN(ROW(N7:N27))+1))),ROW()-ROW(A$30)+1)),",",";")),"")</f>
        <v>0</v>
      </c>
      <c r="S31">
        <f t="array" ref="S31">IFERROR(CONCATENATE(INDEX(V7:V27,SMALL(IF(ISNUMBER(S7:S27),IF(S7:S27&gt;0,IF(V7:V27&lt;&gt;"",ROW(S7:S27)-MIN(ROW(S7:S27))+1))),ROW()-ROW(A$30)+1))," ",TEXT(INDEX(S7:S27,SMALL(IF(ISNUMBER(S7:S27),IF(S7:S27&gt;0,IF(V7:V27&lt;&gt;"",ROW(S7:S27)-MIN(ROW(S7:S27))+1))),ROW()-ROW(A$30)+1)),"##0")," ",SUBSTITUTE(INDEX(IF(PURCHASE_DESCRIPTION&lt;&gt;"",PURCHASE_DESCRIPTION&amp;":","")&amp;A7:A27,SMALL(IF(ISNUMBER(S7:S27),IF(S7:S27&gt;0,IF(V7:V27&lt;&gt;"",ROW(S7:S27)-MIN(ROW(S7:S27))+1))),ROW()-ROW(A$30)+1))," ",";")),"")</f>
        <v>0</v>
      </c>
      <c r="X31">
        <f t="array" ref="X31">IFERROR(CONCATENATE(TEXT(INDEX(X7:X27,SMALL(IF(ISNUMBER(X7:X27),IF(X7:X27&gt;0,IF(AA7:AA27&lt;&gt;"",ROW(X7:X27)-MIN(ROW(X7:X27))+1))),ROW()-ROW(A$31)+1)),"##0"),",",SUBSTITUTE(INDEX(IF(PURCHASE_DESCRIPTION&lt;&gt;"",PURCHASE_DESCRIPTION&amp;":","")&amp;A7:A27,SMALL(IF(ISNUMBER(X7:X27),IF(X7:X27&gt;0,IF(AA7:AA27&lt;&gt;"",ROW(X7:X27)-MIN(ROW(X7:X27))+1))),ROW()-ROW(A$31)+1)),",",";"),",",SUBSTITUTE(INDEX(IF(PURCHASE_DESCRIPTION&lt;&gt;"",PURCHASE_DESCRIPTION&amp;":","")&amp;C7:C27,SMALL(IF(ISNUMBER(X7:X27),IF(X7:X27&gt;0,IF(AA7:AA27&lt;&gt;"",ROW(X7:X27)-MIN(ROW(X7:X27))+1))),ROW()-ROW(A$31)+1)),",",";"),",",INDEX(AA7:AA27,SMALL(IF(ISNUMBER(X7:X27),IF(X7:X27&gt;0,IF(AA7:AA27&lt;&gt;"",ROW(X7:X27)-MIN(ROW(X7:X27))+1))),ROW()-ROW(A$31)+1))),"")</f>
        <v>0</v>
      </c>
      <c r="AC31">
        <f t="array" ref="AC31">IFERROR(CONCATENATE(INDEX(AF7:AF27,SMALL(IF(ISNUMBER(AC7:AC27),IF(AC7:AC27&gt;0,IF(AF7:AF27&lt;&gt;"",ROW(AC7:AC27)-MIN(ROW(AC7:AC27))+1))),ROW()-ROW(A$30)+1)),"|",TEXT(INDEX(AC7:AC27,SMALL(IF(ISNUMBER(AC7:AC27),IF(AC7:AC27&gt;0,IF(AF7:AF27&lt;&gt;"",ROW(AC7:AC27)-MIN(ROW(AC7:AC27))+1))),ROW()-ROW(A$30)+1)),"##0"),"|",SUBSTITUTE(SUBSTITUTE(INDEX(IF(PURCHASE_DESCRIPTION&lt;&gt;"",PURCHASE_DESCRIPTION&amp;":","")&amp;A7:A27,SMALL(IF(ISNUMBER(AC7:AC27),IF(AC7:AC27&gt;0,IF(AF7:AF27&lt;&gt;"",ROW(AC7:AC27)-MIN(ROW(AC7:AC27))+1))),ROW()-ROW(A$30)+1)),"|",";")," ","_")),"")</f>
        <v>0</v>
      </c>
      <c r="AH31">
        <f t="array" ref="AH31">IFERROR(CONCATENATE(INDEX(AK7:AK27,SMALL(IF(ISNUMBER(AH7:AH27),IF(AH7:AH27&gt;0,IF(AK7:AK27&lt;&gt;"",ROW(AH7:AH27)-MIN(ROW(AH7:AH27))+1))),ROW()-ROW(A$30)+1)),",",TEXT(INDEX(AH7:AH27,SMALL(IF(ISNUMBER(AH7:AH27),IF(AH7:AH27&gt;0,IF(AK7:AK27&lt;&gt;"",ROW(AH7:AH27)-MIN(ROW(AH7:AH27))+1))),ROW()-ROW(A$30)+1)),"##0"),",",SUBSTITUTE(INDEX(IF(PURCHASE_DESCRIPTION&lt;&gt;"",PURCHASE_DESCRIPTION&amp;":","")&amp;A7:A27,SMALL(IF(ISNUMBER(AH7:AH27),IF(AH7:AH27&gt;0,IF(AK7:AK27&lt;&gt;"",ROW(AH7:AH27)-MIN(ROW(AH7:AH27))+1))),ROW()-ROW(A$30)+1)),",",";")),"")</f>
        <v>0</v>
      </c>
      <c r="AM31">
        <f t="array" ref="AM31">IFERROR(CONCATENATE(INDEX(AP7:AP27,SMALL(IF(ISNUMBER(AM7:AM27),IF(AM7:AM27&gt;0,IF(AP7:AP27&lt;&gt;"",ROW(AM7:AM27)-MIN(ROW(AM7:AM27))+1))),ROW()-ROW(A$30)+1))," ",TEXT(INDEX(AM7:AM27,SMALL(IF(ISNUMBER(AM7:AM27),IF(AM7:AM27&gt;0,IF(AP7:AP27&lt;&gt;"",ROW(AM7:AM27)-MIN(ROW(AM7:AM27))+1))),ROW()-ROW(A$30)+1)),"##0")," ",SUBSTITUTE(INDEX(IF(PURCHASE_DESCRIPTION&lt;&gt;"",PURCHASE_DESCRIPTION&amp;":","")&amp;A7:A27,SMALL(IF(ISNUMBER(AM7:AM27),IF(AM7:AM27&gt;0,IF(AP7:AP27&lt;&gt;"",ROW(AM7:AM27)-MIN(ROW(AM7:AM27))+1))),ROW()-ROW(A$30)+1))," ",";")),"")</f>
        <v>0</v>
      </c>
      <c r="AR31">
        <f t="array" ref="AR31">IFERROR(CONCATENATE(INDEX(AU7:AU27,SMALL(IF(ISNUMBER(AR7:AR27),IF(AR7:AR27&gt;0,IF(AU7:AU27&lt;&gt;"",ROW(AR7:AR27)-MIN(ROW(AR7:AR27))+1))),ROW()-ROW(A$30)+1))," ",TEXT(INDEX(AR7:AR27,SMALL(IF(ISNUMBER(AR7:AR27),IF(AR7:AR27&gt;0,IF(AU7:AU27&lt;&gt;"",ROW(AR7:AR27)-MIN(ROW(AR7:AR27))+1))),ROW()-ROW(A$30)+1)),"##0")," ",SUBSTITUTE(INDEX(IF(PURCHASE_DESCRIPTION&lt;&gt;"",PURCHASE_DESCRIPTION&amp;":","")&amp;A7:A27,SMALL(IF(ISNUMBER(AR7:AR27),IF(AR7:AR27&gt;0,IF(AU7:AU27&lt;&gt;"",ROW(AR7:AR27)-MIN(ROW(AR7:AR27))+1))),ROW()-ROW(A$30)+1))," ",";")),"")</f>
        <v>0</v>
      </c>
    </row>
    <row r="32" spans="1:46">
      <c r="A32" s="3" t="s">
        <v>162</v>
      </c>
      <c r="I32">
        <f t="array" ref="I32">IFERROR(CONCATENATE(INDEX(L7:L27,SMALL(IF(ISNUMBER(I7:I27),IF(I7:I27&gt;0,IF(L7:L27&lt;&gt;"",ROW(I7:I27)-MIN(ROW(I7:I27))+1))),ROW()-ROW(A$30)+1)),",",TEXT(INDEX(I7:I27,SMALL(IF(ISNUMBER(I7:I27),IF(I7:I27&gt;0,IF(L7:L27&lt;&gt;"",ROW(I7:I27)-MIN(ROW(I7:I27))+1))),ROW()-ROW(A$30)+1)),"##0"),",",SUBSTITUTE(INDEX(IF(PURCHASE_DESCRIPTION&lt;&gt;"",PURCHASE_DESCRIPTION&amp;":","")&amp;A7:A27,SMALL(IF(ISNUMBER(I7:I27),IF(I7:I27&gt;0,IF(L7:L27&lt;&gt;"",ROW(I7:I27)-MIN(ROW(I7:I27))+1))),ROW()-ROW(A$30)+1)),",",";")),"")</f>
        <v>0</v>
      </c>
      <c r="N32">
        <f t="array" ref="N32">IFERROR(CONCATENATE(TEXT(INDEX(N7:N27,SMALL(IF(ISNUMBER(N7:N27),IF(N7:N27&gt;0,IF(Q7:Q27&lt;&gt;"",ROW(N7:N27)-MIN(ROW(N7:N27))+1))),ROW()-ROW(A$30)+1)),"##0"),",",INDEX(Q7:Q27,SMALL(IF(ISNUMBER(N7:N27),IF(N7:N27&gt;0,IF(Q7:Q27&lt;&gt;"",ROW(N7:N27)-MIN(ROW(N7:N27))+1))),ROW()-ROW(A$30)+1)),",",SUBSTITUTE(INDEX(IF(PURCHASE_DESCRIPTION&lt;&gt;"",PURCHASE_DESCRIPTION&amp;":","")&amp;A7:A27,SMALL(IF(ISNUMBER(N7:N27),IF(N7:N27&gt;0,IF(Q7:Q27&lt;&gt;"",ROW(N7:N27)-MIN(ROW(N7:N27))+1))),ROW()-ROW(A$30)+1)),",",";")),"")</f>
        <v>0</v>
      </c>
      <c r="S32">
        <f t="array" ref="S32">IFERROR(CONCATENATE(INDEX(V7:V27,SMALL(IF(ISNUMBER(S7:S27),IF(S7:S27&gt;0,IF(V7:V27&lt;&gt;"",ROW(S7:S27)-MIN(ROW(S7:S27))+1))),ROW()-ROW(A$30)+1))," ",TEXT(INDEX(S7:S27,SMALL(IF(ISNUMBER(S7:S27),IF(S7:S27&gt;0,IF(V7:V27&lt;&gt;"",ROW(S7:S27)-MIN(ROW(S7:S27))+1))),ROW()-ROW(A$30)+1)),"##0")," ",SUBSTITUTE(INDEX(IF(PURCHASE_DESCRIPTION&lt;&gt;"",PURCHASE_DESCRIPTION&amp;":","")&amp;A7:A27,SMALL(IF(ISNUMBER(S7:S27),IF(S7:S27&gt;0,IF(V7:V27&lt;&gt;"",ROW(S7:S27)-MIN(ROW(S7:S27))+1))),ROW()-ROW(A$30)+1))," ",";")),"")</f>
        <v>0</v>
      </c>
      <c r="X32">
        <f t="array" ref="X32">IFERROR(CONCATENATE(TEXT(INDEX(X7:X27,SMALL(IF(ISNUMBER(X7:X27),IF(X7:X27&gt;0,IF(AA7:AA27&lt;&gt;"",ROW(X7:X27)-MIN(ROW(X7:X27))+1))),ROW()-ROW(A$31)+1)),"##0"),",",SUBSTITUTE(INDEX(IF(PURCHASE_DESCRIPTION&lt;&gt;"",PURCHASE_DESCRIPTION&amp;":","")&amp;A7:A27,SMALL(IF(ISNUMBER(X7:X27),IF(X7:X27&gt;0,IF(AA7:AA27&lt;&gt;"",ROW(X7:X27)-MIN(ROW(X7:X27))+1))),ROW()-ROW(A$31)+1)),",",";"),",",SUBSTITUTE(INDEX(IF(PURCHASE_DESCRIPTION&lt;&gt;"",PURCHASE_DESCRIPTION&amp;":","")&amp;C7:C27,SMALL(IF(ISNUMBER(X7:X27),IF(X7:X27&gt;0,IF(AA7:AA27&lt;&gt;"",ROW(X7:X27)-MIN(ROW(X7:X27))+1))),ROW()-ROW(A$31)+1)),",",";"),",",INDEX(AA7:AA27,SMALL(IF(ISNUMBER(X7:X27),IF(X7:X27&gt;0,IF(AA7:AA27&lt;&gt;"",ROW(X7:X27)-MIN(ROW(X7:X27))+1))),ROW()-ROW(A$31)+1))),"")</f>
        <v>0</v>
      </c>
      <c r="AC32">
        <f t="array" ref="AC32">IFERROR(CONCATENATE(INDEX(AF7:AF27,SMALL(IF(ISNUMBER(AC7:AC27),IF(AC7:AC27&gt;0,IF(AF7:AF27&lt;&gt;"",ROW(AC7:AC27)-MIN(ROW(AC7:AC27))+1))),ROW()-ROW(A$30)+1)),"|",TEXT(INDEX(AC7:AC27,SMALL(IF(ISNUMBER(AC7:AC27),IF(AC7:AC27&gt;0,IF(AF7:AF27&lt;&gt;"",ROW(AC7:AC27)-MIN(ROW(AC7:AC27))+1))),ROW()-ROW(A$30)+1)),"##0"),"|",SUBSTITUTE(SUBSTITUTE(INDEX(IF(PURCHASE_DESCRIPTION&lt;&gt;"",PURCHASE_DESCRIPTION&amp;":","")&amp;A7:A27,SMALL(IF(ISNUMBER(AC7:AC27),IF(AC7:AC27&gt;0,IF(AF7:AF27&lt;&gt;"",ROW(AC7:AC27)-MIN(ROW(AC7:AC27))+1))),ROW()-ROW(A$30)+1)),"|",";")," ","_")),"")</f>
        <v>0</v>
      </c>
      <c r="AH32">
        <f t="array" ref="AH32">IFERROR(CONCATENATE(INDEX(AK7:AK27,SMALL(IF(ISNUMBER(AH7:AH27),IF(AH7:AH27&gt;0,IF(AK7:AK27&lt;&gt;"",ROW(AH7:AH27)-MIN(ROW(AH7:AH27))+1))),ROW()-ROW(A$30)+1)),",",TEXT(INDEX(AH7:AH27,SMALL(IF(ISNUMBER(AH7:AH27),IF(AH7:AH27&gt;0,IF(AK7:AK27&lt;&gt;"",ROW(AH7:AH27)-MIN(ROW(AH7:AH27))+1))),ROW()-ROW(A$30)+1)),"##0"),",",SUBSTITUTE(INDEX(IF(PURCHASE_DESCRIPTION&lt;&gt;"",PURCHASE_DESCRIPTION&amp;":","")&amp;A7:A27,SMALL(IF(ISNUMBER(AH7:AH27),IF(AH7:AH27&gt;0,IF(AK7:AK27&lt;&gt;"",ROW(AH7:AH27)-MIN(ROW(AH7:AH27))+1))),ROW()-ROW(A$30)+1)),",",";")),"")</f>
        <v>0</v>
      </c>
      <c r="AM32">
        <f t="array" ref="AM32">IFERROR(CONCATENATE(INDEX(AP7:AP27,SMALL(IF(ISNUMBER(AM7:AM27),IF(AM7:AM27&gt;0,IF(AP7:AP27&lt;&gt;"",ROW(AM7:AM27)-MIN(ROW(AM7:AM27))+1))),ROW()-ROW(A$30)+1))," ",TEXT(INDEX(AM7:AM27,SMALL(IF(ISNUMBER(AM7:AM27),IF(AM7:AM27&gt;0,IF(AP7:AP27&lt;&gt;"",ROW(AM7:AM27)-MIN(ROW(AM7:AM27))+1))),ROW()-ROW(A$30)+1)),"##0")," ",SUBSTITUTE(INDEX(IF(PURCHASE_DESCRIPTION&lt;&gt;"",PURCHASE_DESCRIPTION&amp;":","")&amp;A7:A27,SMALL(IF(ISNUMBER(AM7:AM27),IF(AM7:AM27&gt;0,IF(AP7:AP27&lt;&gt;"",ROW(AM7:AM27)-MIN(ROW(AM7:AM27))+1))),ROW()-ROW(A$30)+1))," ",";")),"")</f>
        <v>0</v>
      </c>
      <c r="AR32">
        <f t="array" ref="AR32">IFERROR(CONCATENATE(INDEX(AU7:AU27,SMALL(IF(ISNUMBER(AR7:AR27),IF(AR7:AR27&gt;0,IF(AU7:AU27&lt;&gt;"",ROW(AR7:AR27)-MIN(ROW(AR7:AR27))+1))),ROW()-ROW(A$30)+1))," ",TEXT(INDEX(AR7:AR27,SMALL(IF(ISNUMBER(AR7:AR27),IF(AR7:AR27&gt;0,IF(AU7:AU27&lt;&gt;"",ROW(AR7:AR27)-MIN(ROW(AR7:AR27))+1))),ROW()-ROW(A$30)+1)),"##0")," ",SUBSTITUTE(INDEX(IF(PURCHASE_DESCRIPTION&lt;&gt;"",PURCHASE_DESCRIPTION&amp;":","")&amp;A7:A27,SMALL(IF(ISNUMBER(AR7:AR27),IF(AR7:AR27&gt;0,IF(AU7:AU27&lt;&gt;"",ROW(AR7:AR27)-MIN(ROW(AR7:AR27))+1))),ROW()-ROW(A$30)+1))," ",";")),"")</f>
        <v>0</v>
      </c>
    </row>
    <row r="33" spans="9:44">
      <c r="I33">
        <f t="array" ref="I33">IFERROR(CONCATENATE(INDEX(L7:L27,SMALL(IF(ISNUMBER(I7:I27),IF(I7:I27&gt;0,IF(L7:L27&lt;&gt;"",ROW(I7:I27)-MIN(ROW(I7:I27))+1))),ROW()-ROW(A$30)+1)),",",TEXT(INDEX(I7:I27,SMALL(IF(ISNUMBER(I7:I27),IF(I7:I27&gt;0,IF(L7:L27&lt;&gt;"",ROW(I7:I27)-MIN(ROW(I7:I27))+1))),ROW()-ROW(A$30)+1)),"##0"),",",SUBSTITUTE(INDEX(IF(PURCHASE_DESCRIPTION&lt;&gt;"",PURCHASE_DESCRIPTION&amp;":","")&amp;A7:A27,SMALL(IF(ISNUMBER(I7:I27),IF(I7:I27&gt;0,IF(L7:L27&lt;&gt;"",ROW(I7:I27)-MIN(ROW(I7:I27))+1))),ROW()-ROW(A$30)+1)),",",";")),"")</f>
        <v>0</v>
      </c>
      <c r="N33">
        <f t="array" ref="N33">IFERROR(CONCATENATE(TEXT(INDEX(N7:N27,SMALL(IF(ISNUMBER(N7:N27),IF(N7:N27&gt;0,IF(Q7:Q27&lt;&gt;"",ROW(N7:N27)-MIN(ROW(N7:N27))+1))),ROW()-ROW(A$30)+1)),"##0"),",",INDEX(Q7:Q27,SMALL(IF(ISNUMBER(N7:N27),IF(N7:N27&gt;0,IF(Q7:Q27&lt;&gt;"",ROW(N7:N27)-MIN(ROW(N7:N27))+1))),ROW()-ROW(A$30)+1)),",",SUBSTITUTE(INDEX(IF(PURCHASE_DESCRIPTION&lt;&gt;"",PURCHASE_DESCRIPTION&amp;":","")&amp;A7:A27,SMALL(IF(ISNUMBER(N7:N27),IF(N7:N27&gt;0,IF(Q7:Q27&lt;&gt;"",ROW(N7:N27)-MIN(ROW(N7:N27))+1))),ROW()-ROW(A$30)+1)),",",";")),"")</f>
        <v>0</v>
      </c>
      <c r="S33">
        <f t="array" ref="S33">IFERROR(CONCATENATE(INDEX(V7:V27,SMALL(IF(ISNUMBER(S7:S27),IF(S7:S27&gt;0,IF(V7:V27&lt;&gt;"",ROW(S7:S27)-MIN(ROW(S7:S27))+1))),ROW()-ROW(A$30)+1))," ",TEXT(INDEX(S7:S27,SMALL(IF(ISNUMBER(S7:S27),IF(S7:S27&gt;0,IF(V7:V27&lt;&gt;"",ROW(S7:S27)-MIN(ROW(S7:S27))+1))),ROW()-ROW(A$30)+1)),"##0")," ",SUBSTITUTE(INDEX(IF(PURCHASE_DESCRIPTION&lt;&gt;"",PURCHASE_DESCRIPTION&amp;":","")&amp;A7:A27,SMALL(IF(ISNUMBER(S7:S27),IF(S7:S27&gt;0,IF(V7:V27&lt;&gt;"",ROW(S7:S27)-MIN(ROW(S7:S27))+1))),ROW()-ROW(A$30)+1))," ",";")),"")</f>
        <v>0</v>
      </c>
      <c r="X33">
        <f t="array" ref="X33">IFERROR(CONCATENATE(TEXT(INDEX(X7:X27,SMALL(IF(ISNUMBER(X7:X27),IF(X7:X27&gt;0,IF(AA7:AA27&lt;&gt;"",ROW(X7:X27)-MIN(ROW(X7:X27))+1))),ROW()-ROW(A$31)+1)),"##0"),",",SUBSTITUTE(INDEX(IF(PURCHASE_DESCRIPTION&lt;&gt;"",PURCHASE_DESCRIPTION&amp;":","")&amp;A7:A27,SMALL(IF(ISNUMBER(X7:X27),IF(X7:X27&gt;0,IF(AA7:AA27&lt;&gt;"",ROW(X7:X27)-MIN(ROW(X7:X27))+1))),ROW()-ROW(A$31)+1)),",",";"),",",SUBSTITUTE(INDEX(IF(PURCHASE_DESCRIPTION&lt;&gt;"",PURCHASE_DESCRIPTION&amp;":","")&amp;C7:C27,SMALL(IF(ISNUMBER(X7:X27),IF(X7:X27&gt;0,IF(AA7:AA27&lt;&gt;"",ROW(X7:X27)-MIN(ROW(X7:X27))+1))),ROW()-ROW(A$31)+1)),",",";"),",",INDEX(AA7:AA27,SMALL(IF(ISNUMBER(X7:X27),IF(X7:X27&gt;0,IF(AA7:AA27&lt;&gt;"",ROW(X7:X27)-MIN(ROW(X7:X27))+1))),ROW()-ROW(A$31)+1))),"")</f>
        <v>0</v>
      </c>
      <c r="AC33">
        <f t="array" ref="AC33">IFERROR(CONCATENATE(INDEX(AF7:AF27,SMALL(IF(ISNUMBER(AC7:AC27),IF(AC7:AC27&gt;0,IF(AF7:AF27&lt;&gt;"",ROW(AC7:AC27)-MIN(ROW(AC7:AC27))+1))),ROW()-ROW(A$30)+1)),"|",TEXT(INDEX(AC7:AC27,SMALL(IF(ISNUMBER(AC7:AC27),IF(AC7:AC27&gt;0,IF(AF7:AF27&lt;&gt;"",ROW(AC7:AC27)-MIN(ROW(AC7:AC27))+1))),ROW()-ROW(A$30)+1)),"##0"),"|",SUBSTITUTE(SUBSTITUTE(INDEX(IF(PURCHASE_DESCRIPTION&lt;&gt;"",PURCHASE_DESCRIPTION&amp;":","")&amp;A7:A27,SMALL(IF(ISNUMBER(AC7:AC27),IF(AC7:AC27&gt;0,IF(AF7:AF27&lt;&gt;"",ROW(AC7:AC27)-MIN(ROW(AC7:AC27))+1))),ROW()-ROW(A$30)+1)),"|",";")," ","_")),"")</f>
        <v>0</v>
      </c>
      <c r="AH33">
        <f t="array" ref="AH33">IFERROR(CONCATENATE(INDEX(AK7:AK27,SMALL(IF(ISNUMBER(AH7:AH27),IF(AH7:AH27&gt;0,IF(AK7:AK27&lt;&gt;"",ROW(AH7:AH27)-MIN(ROW(AH7:AH27))+1))),ROW()-ROW(A$30)+1)),",",TEXT(INDEX(AH7:AH27,SMALL(IF(ISNUMBER(AH7:AH27),IF(AH7:AH27&gt;0,IF(AK7:AK27&lt;&gt;"",ROW(AH7:AH27)-MIN(ROW(AH7:AH27))+1))),ROW()-ROW(A$30)+1)),"##0"),",",SUBSTITUTE(INDEX(IF(PURCHASE_DESCRIPTION&lt;&gt;"",PURCHASE_DESCRIPTION&amp;":","")&amp;A7:A27,SMALL(IF(ISNUMBER(AH7:AH27),IF(AH7:AH27&gt;0,IF(AK7:AK27&lt;&gt;"",ROW(AH7:AH27)-MIN(ROW(AH7:AH27))+1))),ROW()-ROW(A$30)+1)),",",";")),"")</f>
        <v>0</v>
      </c>
      <c r="AM33">
        <f t="array" ref="AM33">IFERROR(CONCATENATE(INDEX(AP7:AP27,SMALL(IF(ISNUMBER(AM7:AM27),IF(AM7:AM27&gt;0,IF(AP7:AP27&lt;&gt;"",ROW(AM7:AM27)-MIN(ROW(AM7:AM27))+1))),ROW()-ROW(A$30)+1))," ",TEXT(INDEX(AM7:AM27,SMALL(IF(ISNUMBER(AM7:AM27),IF(AM7:AM27&gt;0,IF(AP7:AP27&lt;&gt;"",ROW(AM7:AM27)-MIN(ROW(AM7:AM27))+1))),ROW()-ROW(A$30)+1)),"##0")," ",SUBSTITUTE(INDEX(IF(PURCHASE_DESCRIPTION&lt;&gt;"",PURCHASE_DESCRIPTION&amp;":","")&amp;A7:A27,SMALL(IF(ISNUMBER(AM7:AM27),IF(AM7:AM27&gt;0,IF(AP7:AP27&lt;&gt;"",ROW(AM7:AM27)-MIN(ROW(AM7:AM27))+1))),ROW()-ROW(A$30)+1))," ",";")),"")</f>
        <v>0</v>
      </c>
      <c r="AR33">
        <f t="array" ref="AR33">IFERROR(CONCATENATE(INDEX(AU7:AU27,SMALL(IF(ISNUMBER(AR7:AR27),IF(AR7:AR27&gt;0,IF(AU7:AU27&lt;&gt;"",ROW(AR7:AR27)-MIN(ROW(AR7:AR27))+1))),ROW()-ROW(A$30)+1))," ",TEXT(INDEX(AR7:AR27,SMALL(IF(ISNUMBER(AR7:AR27),IF(AR7:AR27&gt;0,IF(AU7:AU27&lt;&gt;"",ROW(AR7:AR27)-MIN(ROW(AR7:AR27))+1))),ROW()-ROW(A$30)+1)),"##0")," ",SUBSTITUTE(INDEX(IF(PURCHASE_DESCRIPTION&lt;&gt;"",PURCHASE_DESCRIPTION&amp;":","")&amp;A7:A27,SMALL(IF(ISNUMBER(AR7:AR27),IF(AR7:AR27&gt;0,IF(AU7:AU27&lt;&gt;"",ROW(AR7:AR27)-MIN(ROW(AR7:AR27))+1))),ROW()-ROW(A$30)+1))," ",";")),"")</f>
        <v>0</v>
      </c>
    </row>
    <row r="34" spans="9:44">
      <c r="I34">
        <f t="array" ref="I34">IFERROR(CONCATENATE(INDEX(L7:L27,SMALL(IF(ISNUMBER(I7:I27),IF(I7:I27&gt;0,IF(L7:L27&lt;&gt;"",ROW(I7:I27)-MIN(ROW(I7:I27))+1))),ROW()-ROW(A$30)+1)),",",TEXT(INDEX(I7:I27,SMALL(IF(ISNUMBER(I7:I27),IF(I7:I27&gt;0,IF(L7:L27&lt;&gt;"",ROW(I7:I27)-MIN(ROW(I7:I27))+1))),ROW()-ROW(A$30)+1)),"##0"),",",SUBSTITUTE(INDEX(IF(PURCHASE_DESCRIPTION&lt;&gt;"",PURCHASE_DESCRIPTION&amp;":","")&amp;A7:A27,SMALL(IF(ISNUMBER(I7:I27),IF(I7:I27&gt;0,IF(L7:L27&lt;&gt;"",ROW(I7:I27)-MIN(ROW(I7:I27))+1))),ROW()-ROW(A$30)+1)),",",";")),"")</f>
        <v>0</v>
      </c>
      <c r="N34">
        <f t="array" ref="N34">IFERROR(CONCATENATE(TEXT(INDEX(N7:N27,SMALL(IF(ISNUMBER(N7:N27),IF(N7:N27&gt;0,IF(Q7:Q27&lt;&gt;"",ROW(N7:N27)-MIN(ROW(N7:N27))+1))),ROW()-ROW(A$30)+1)),"##0"),",",INDEX(Q7:Q27,SMALL(IF(ISNUMBER(N7:N27),IF(N7:N27&gt;0,IF(Q7:Q27&lt;&gt;"",ROW(N7:N27)-MIN(ROW(N7:N27))+1))),ROW()-ROW(A$30)+1)),",",SUBSTITUTE(INDEX(IF(PURCHASE_DESCRIPTION&lt;&gt;"",PURCHASE_DESCRIPTION&amp;":","")&amp;A7:A27,SMALL(IF(ISNUMBER(N7:N27),IF(N7:N27&gt;0,IF(Q7:Q27&lt;&gt;"",ROW(N7:N27)-MIN(ROW(N7:N27))+1))),ROW()-ROW(A$30)+1)),",",";")),"")</f>
        <v>0</v>
      </c>
      <c r="S34">
        <f t="array" ref="S34">IFERROR(CONCATENATE(INDEX(V7:V27,SMALL(IF(ISNUMBER(S7:S27),IF(S7:S27&gt;0,IF(V7:V27&lt;&gt;"",ROW(S7:S27)-MIN(ROW(S7:S27))+1))),ROW()-ROW(A$30)+1))," ",TEXT(INDEX(S7:S27,SMALL(IF(ISNUMBER(S7:S27),IF(S7:S27&gt;0,IF(V7:V27&lt;&gt;"",ROW(S7:S27)-MIN(ROW(S7:S27))+1))),ROW()-ROW(A$30)+1)),"##0")," ",SUBSTITUTE(INDEX(IF(PURCHASE_DESCRIPTION&lt;&gt;"",PURCHASE_DESCRIPTION&amp;":","")&amp;A7:A27,SMALL(IF(ISNUMBER(S7:S27),IF(S7:S27&gt;0,IF(V7:V27&lt;&gt;"",ROW(S7:S27)-MIN(ROW(S7:S27))+1))),ROW()-ROW(A$30)+1))," ",";")),"")</f>
        <v>0</v>
      </c>
      <c r="X34">
        <f t="array" ref="X34">IFERROR(CONCATENATE(TEXT(INDEX(X7:X27,SMALL(IF(ISNUMBER(X7:X27),IF(X7:X27&gt;0,IF(AA7:AA27&lt;&gt;"",ROW(X7:X27)-MIN(ROW(X7:X27))+1))),ROW()-ROW(A$31)+1)),"##0"),",",SUBSTITUTE(INDEX(IF(PURCHASE_DESCRIPTION&lt;&gt;"",PURCHASE_DESCRIPTION&amp;":","")&amp;A7:A27,SMALL(IF(ISNUMBER(X7:X27),IF(X7:X27&gt;0,IF(AA7:AA27&lt;&gt;"",ROW(X7:X27)-MIN(ROW(X7:X27))+1))),ROW()-ROW(A$31)+1)),",",";"),",",SUBSTITUTE(INDEX(IF(PURCHASE_DESCRIPTION&lt;&gt;"",PURCHASE_DESCRIPTION&amp;":","")&amp;C7:C27,SMALL(IF(ISNUMBER(X7:X27),IF(X7:X27&gt;0,IF(AA7:AA27&lt;&gt;"",ROW(X7:X27)-MIN(ROW(X7:X27))+1))),ROW()-ROW(A$31)+1)),",",";"),",",INDEX(AA7:AA27,SMALL(IF(ISNUMBER(X7:X27),IF(X7:X27&gt;0,IF(AA7:AA27&lt;&gt;"",ROW(X7:X27)-MIN(ROW(X7:X27))+1))),ROW()-ROW(A$31)+1))),"")</f>
        <v>0</v>
      </c>
      <c r="AC34">
        <f t="array" ref="AC34">IFERROR(CONCATENATE(INDEX(AF7:AF27,SMALL(IF(ISNUMBER(AC7:AC27),IF(AC7:AC27&gt;0,IF(AF7:AF27&lt;&gt;"",ROW(AC7:AC27)-MIN(ROW(AC7:AC27))+1))),ROW()-ROW(A$30)+1)),"|",TEXT(INDEX(AC7:AC27,SMALL(IF(ISNUMBER(AC7:AC27),IF(AC7:AC27&gt;0,IF(AF7:AF27&lt;&gt;"",ROW(AC7:AC27)-MIN(ROW(AC7:AC27))+1))),ROW()-ROW(A$30)+1)),"##0"),"|",SUBSTITUTE(SUBSTITUTE(INDEX(IF(PURCHASE_DESCRIPTION&lt;&gt;"",PURCHASE_DESCRIPTION&amp;":","")&amp;A7:A27,SMALL(IF(ISNUMBER(AC7:AC27),IF(AC7:AC27&gt;0,IF(AF7:AF27&lt;&gt;"",ROW(AC7:AC27)-MIN(ROW(AC7:AC27))+1))),ROW()-ROW(A$30)+1)),"|",";")," ","_")),"")</f>
        <v>0</v>
      </c>
      <c r="AH34">
        <f t="array" ref="AH34">IFERROR(CONCATENATE(INDEX(AK7:AK27,SMALL(IF(ISNUMBER(AH7:AH27),IF(AH7:AH27&gt;0,IF(AK7:AK27&lt;&gt;"",ROW(AH7:AH27)-MIN(ROW(AH7:AH27))+1))),ROW()-ROW(A$30)+1)),",",TEXT(INDEX(AH7:AH27,SMALL(IF(ISNUMBER(AH7:AH27),IF(AH7:AH27&gt;0,IF(AK7:AK27&lt;&gt;"",ROW(AH7:AH27)-MIN(ROW(AH7:AH27))+1))),ROW()-ROW(A$30)+1)),"##0"),",",SUBSTITUTE(INDEX(IF(PURCHASE_DESCRIPTION&lt;&gt;"",PURCHASE_DESCRIPTION&amp;":","")&amp;A7:A27,SMALL(IF(ISNUMBER(AH7:AH27),IF(AH7:AH27&gt;0,IF(AK7:AK27&lt;&gt;"",ROW(AH7:AH27)-MIN(ROW(AH7:AH27))+1))),ROW()-ROW(A$30)+1)),",",";")),"")</f>
        <v>0</v>
      </c>
      <c r="AM34">
        <f t="array" ref="AM34">IFERROR(CONCATENATE(INDEX(AP7:AP27,SMALL(IF(ISNUMBER(AM7:AM27),IF(AM7:AM27&gt;0,IF(AP7:AP27&lt;&gt;"",ROW(AM7:AM27)-MIN(ROW(AM7:AM27))+1))),ROW()-ROW(A$30)+1))," ",TEXT(INDEX(AM7:AM27,SMALL(IF(ISNUMBER(AM7:AM27),IF(AM7:AM27&gt;0,IF(AP7:AP27&lt;&gt;"",ROW(AM7:AM27)-MIN(ROW(AM7:AM27))+1))),ROW()-ROW(A$30)+1)),"##0")," ",SUBSTITUTE(INDEX(IF(PURCHASE_DESCRIPTION&lt;&gt;"",PURCHASE_DESCRIPTION&amp;":","")&amp;A7:A27,SMALL(IF(ISNUMBER(AM7:AM27),IF(AM7:AM27&gt;0,IF(AP7:AP27&lt;&gt;"",ROW(AM7:AM27)-MIN(ROW(AM7:AM27))+1))),ROW()-ROW(A$30)+1))," ",";")),"")</f>
        <v>0</v>
      </c>
      <c r="AR34">
        <f t="array" ref="AR34">IFERROR(CONCATENATE(INDEX(AU7:AU27,SMALL(IF(ISNUMBER(AR7:AR27),IF(AR7:AR27&gt;0,IF(AU7:AU27&lt;&gt;"",ROW(AR7:AR27)-MIN(ROW(AR7:AR27))+1))),ROW()-ROW(A$30)+1))," ",TEXT(INDEX(AR7:AR27,SMALL(IF(ISNUMBER(AR7:AR27),IF(AR7:AR27&gt;0,IF(AU7:AU27&lt;&gt;"",ROW(AR7:AR27)-MIN(ROW(AR7:AR27))+1))),ROW()-ROW(A$30)+1)),"##0")," ",SUBSTITUTE(INDEX(IF(PURCHASE_DESCRIPTION&lt;&gt;"",PURCHASE_DESCRIPTION&amp;":","")&amp;A7:A27,SMALL(IF(ISNUMBER(AR7:AR27),IF(AR7:AR27&gt;0,IF(AU7:AU27&lt;&gt;"",ROW(AR7:AR27)-MIN(ROW(AR7:AR27))+1))),ROW()-ROW(A$30)+1))," ",";")),"")</f>
        <v>0</v>
      </c>
    </row>
    <row r="35" spans="9:44">
      <c r="I35">
        <f t="array" ref="I35">IFERROR(CONCATENATE(INDEX(L7:L27,SMALL(IF(ISNUMBER(I7:I27),IF(I7:I27&gt;0,IF(L7:L27&lt;&gt;"",ROW(I7:I27)-MIN(ROW(I7:I27))+1))),ROW()-ROW(A$30)+1)),",",TEXT(INDEX(I7:I27,SMALL(IF(ISNUMBER(I7:I27),IF(I7:I27&gt;0,IF(L7:L27&lt;&gt;"",ROW(I7:I27)-MIN(ROW(I7:I27))+1))),ROW()-ROW(A$30)+1)),"##0"),",",SUBSTITUTE(INDEX(IF(PURCHASE_DESCRIPTION&lt;&gt;"",PURCHASE_DESCRIPTION&amp;":","")&amp;A7:A27,SMALL(IF(ISNUMBER(I7:I27),IF(I7:I27&gt;0,IF(L7:L27&lt;&gt;"",ROW(I7:I27)-MIN(ROW(I7:I27))+1))),ROW()-ROW(A$30)+1)),",",";")),"")</f>
        <v>0</v>
      </c>
      <c r="N35">
        <f t="array" ref="N35">IFERROR(CONCATENATE(TEXT(INDEX(N7:N27,SMALL(IF(ISNUMBER(N7:N27),IF(N7:N27&gt;0,IF(Q7:Q27&lt;&gt;"",ROW(N7:N27)-MIN(ROW(N7:N27))+1))),ROW()-ROW(A$30)+1)),"##0"),",",INDEX(Q7:Q27,SMALL(IF(ISNUMBER(N7:N27),IF(N7:N27&gt;0,IF(Q7:Q27&lt;&gt;"",ROW(N7:N27)-MIN(ROW(N7:N27))+1))),ROW()-ROW(A$30)+1)),",",SUBSTITUTE(INDEX(IF(PURCHASE_DESCRIPTION&lt;&gt;"",PURCHASE_DESCRIPTION&amp;":","")&amp;A7:A27,SMALL(IF(ISNUMBER(N7:N27),IF(N7:N27&gt;0,IF(Q7:Q27&lt;&gt;"",ROW(N7:N27)-MIN(ROW(N7:N27))+1))),ROW()-ROW(A$30)+1)),",",";")),"")</f>
        <v>0</v>
      </c>
      <c r="S35">
        <f t="array" ref="S35">IFERROR(CONCATENATE(INDEX(V7:V27,SMALL(IF(ISNUMBER(S7:S27),IF(S7:S27&gt;0,IF(V7:V27&lt;&gt;"",ROW(S7:S27)-MIN(ROW(S7:S27))+1))),ROW()-ROW(A$30)+1))," ",TEXT(INDEX(S7:S27,SMALL(IF(ISNUMBER(S7:S27),IF(S7:S27&gt;0,IF(V7:V27&lt;&gt;"",ROW(S7:S27)-MIN(ROW(S7:S27))+1))),ROW()-ROW(A$30)+1)),"##0")," ",SUBSTITUTE(INDEX(IF(PURCHASE_DESCRIPTION&lt;&gt;"",PURCHASE_DESCRIPTION&amp;":","")&amp;A7:A27,SMALL(IF(ISNUMBER(S7:S27),IF(S7:S27&gt;0,IF(V7:V27&lt;&gt;"",ROW(S7:S27)-MIN(ROW(S7:S27))+1))),ROW()-ROW(A$30)+1))," ",";")),"")</f>
        <v>0</v>
      </c>
      <c r="X35">
        <f t="array" ref="X35">IFERROR(CONCATENATE(TEXT(INDEX(X7:X27,SMALL(IF(ISNUMBER(X7:X27),IF(X7:X27&gt;0,IF(AA7:AA27&lt;&gt;"",ROW(X7:X27)-MIN(ROW(X7:X27))+1))),ROW()-ROW(A$31)+1)),"##0"),",",SUBSTITUTE(INDEX(IF(PURCHASE_DESCRIPTION&lt;&gt;"",PURCHASE_DESCRIPTION&amp;":","")&amp;A7:A27,SMALL(IF(ISNUMBER(X7:X27),IF(X7:X27&gt;0,IF(AA7:AA27&lt;&gt;"",ROW(X7:X27)-MIN(ROW(X7:X27))+1))),ROW()-ROW(A$31)+1)),",",";"),",",SUBSTITUTE(INDEX(IF(PURCHASE_DESCRIPTION&lt;&gt;"",PURCHASE_DESCRIPTION&amp;":","")&amp;C7:C27,SMALL(IF(ISNUMBER(X7:X27),IF(X7:X27&gt;0,IF(AA7:AA27&lt;&gt;"",ROW(X7:X27)-MIN(ROW(X7:X27))+1))),ROW()-ROW(A$31)+1)),",",";"),",",INDEX(AA7:AA27,SMALL(IF(ISNUMBER(X7:X27),IF(X7:X27&gt;0,IF(AA7:AA27&lt;&gt;"",ROW(X7:X27)-MIN(ROW(X7:X27))+1))),ROW()-ROW(A$31)+1))),"")</f>
        <v>0</v>
      </c>
      <c r="AC35">
        <f t="array" ref="AC35">IFERROR(CONCATENATE(INDEX(AF7:AF27,SMALL(IF(ISNUMBER(AC7:AC27),IF(AC7:AC27&gt;0,IF(AF7:AF27&lt;&gt;"",ROW(AC7:AC27)-MIN(ROW(AC7:AC27))+1))),ROW()-ROW(A$30)+1)),"|",TEXT(INDEX(AC7:AC27,SMALL(IF(ISNUMBER(AC7:AC27),IF(AC7:AC27&gt;0,IF(AF7:AF27&lt;&gt;"",ROW(AC7:AC27)-MIN(ROW(AC7:AC27))+1))),ROW()-ROW(A$30)+1)),"##0"),"|",SUBSTITUTE(SUBSTITUTE(INDEX(IF(PURCHASE_DESCRIPTION&lt;&gt;"",PURCHASE_DESCRIPTION&amp;":","")&amp;A7:A27,SMALL(IF(ISNUMBER(AC7:AC27),IF(AC7:AC27&gt;0,IF(AF7:AF27&lt;&gt;"",ROW(AC7:AC27)-MIN(ROW(AC7:AC27))+1))),ROW()-ROW(A$30)+1)),"|",";")," ","_")),"")</f>
        <v>0</v>
      </c>
      <c r="AH35">
        <f t="array" ref="AH35">IFERROR(CONCATENATE(INDEX(AK7:AK27,SMALL(IF(ISNUMBER(AH7:AH27),IF(AH7:AH27&gt;0,IF(AK7:AK27&lt;&gt;"",ROW(AH7:AH27)-MIN(ROW(AH7:AH27))+1))),ROW()-ROW(A$30)+1)),",",TEXT(INDEX(AH7:AH27,SMALL(IF(ISNUMBER(AH7:AH27),IF(AH7:AH27&gt;0,IF(AK7:AK27&lt;&gt;"",ROW(AH7:AH27)-MIN(ROW(AH7:AH27))+1))),ROW()-ROW(A$30)+1)),"##0"),",",SUBSTITUTE(INDEX(IF(PURCHASE_DESCRIPTION&lt;&gt;"",PURCHASE_DESCRIPTION&amp;":","")&amp;A7:A27,SMALL(IF(ISNUMBER(AH7:AH27),IF(AH7:AH27&gt;0,IF(AK7:AK27&lt;&gt;"",ROW(AH7:AH27)-MIN(ROW(AH7:AH27))+1))),ROW()-ROW(A$30)+1)),",",";")),"")</f>
        <v>0</v>
      </c>
      <c r="AM35">
        <f t="array" ref="AM35">IFERROR(CONCATENATE(INDEX(AP7:AP27,SMALL(IF(ISNUMBER(AM7:AM27),IF(AM7:AM27&gt;0,IF(AP7:AP27&lt;&gt;"",ROW(AM7:AM27)-MIN(ROW(AM7:AM27))+1))),ROW()-ROW(A$30)+1))," ",TEXT(INDEX(AM7:AM27,SMALL(IF(ISNUMBER(AM7:AM27),IF(AM7:AM27&gt;0,IF(AP7:AP27&lt;&gt;"",ROW(AM7:AM27)-MIN(ROW(AM7:AM27))+1))),ROW()-ROW(A$30)+1)),"##0")," ",SUBSTITUTE(INDEX(IF(PURCHASE_DESCRIPTION&lt;&gt;"",PURCHASE_DESCRIPTION&amp;":","")&amp;A7:A27,SMALL(IF(ISNUMBER(AM7:AM27),IF(AM7:AM27&gt;0,IF(AP7:AP27&lt;&gt;"",ROW(AM7:AM27)-MIN(ROW(AM7:AM27))+1))),ROW()-ROW(A$30)+1))," ",";")),"")</f>
        <v>0</v>
      </c>
      <c r="AR35">
        <f t="array" ref="AR35">IFERROR(CONCATENATE(INDEX(AU7:AU27,SMALL(IF(ISNUMBER(AR7:AR27),IF(AR7:AR27&gt;0,IF(AU7:AU27&lt;&gt;"",ROW(AR7:AR27)-MIN(ROW(AR7:AR27))+1))),ROW()-ROW(A$30)+1))," ",TEXT(INDEX(AR7:AR27,SMALL(IF(ISNUMBER(AR7:AR27),IF(AR7:AR27&gt;0,IF(AU7:AU27&lt;&gt;"",ROW(AR7:AR27)-MIN(ROW(AR7:AR27))+1))),ROW()-ROW(A$30)+1)),"##0")," ",SUBSTITUTE(INDEX(IF(PURCHASE_DESCRIPTION&lt;&gt;"",PURCHASE_DESCRIPTION&amp;":","")&amp;A7:A27,SMALL(IF(ISNUMBER(AR7:AR27),IF(AR7:AR27&gt;0,IF(AU7:AU27&lt;&gt;"",ROW(AR7:AR27)-MIN(ROW(AR7:AR27))+1))),ROW()-ROW(A$30)+1))," ",";")),"")</f>
        <v>0</v>
      </c>
    </row>
    <row r="36" spans="9:44">
      <c r="I36">
        <f t="array" ref="I36">IFERROR(CONCATENATE(INDEX(L7:L27,SMALL(IF(ISNUMBER(I7:I27),IF(I7:I27&gt;0,IF(L7:L27&lt;&gt;"",ROW(I7:I27)-MIN(ROW(I7:I27))+1))),ROW()-ROW(A$30)+1)),",",TEXT(INDEX(I7:I27,SMALL(IF(ISNUMBER(I7:I27),IF(I7:I27&gt;0,IF(L7:L27&lt;&gt;"",ROW(I7:I27)-MIN(ROW(I7:I27))+1))),ROW()-ROW(A$30)+1)),"##0"),",",SUBSTITUTE(INDEX(IF(PURCHASE_DESCRIPTION&lt;&gt;"",PURCHASE_DESCRIPTION&amp;":","")&amp;A7:A27,SMALL(IF(ISNUMBER(I7:I27),IF(I7:I27&gt;0,IF(L7:L27&lt;&gt;"",ROW(I7:I27)-MIN(ROW(I7:I27))+1))),ROW()-ROW(A$30)+1)),",",";")),"")</f>
        <v>0</v>
      </c>
      <c r="N36">
        <f t="array" ref="N36">IFERROR(CONCATENATE(TEXT(INDEX(N7:N27,SMALL(IF(ISNUMBER(N7:N27),IF(N7:N27&gt;0,IF(Q7:Q27&lt;&gt;"",ROW(N7:N27)-MIN(ROW(N7:N27))+1))),ROW()-ROW(A$30)+1)),"##0"),",",INDEX(Q7:Q27,SMALL(IF(ISNUMBER(N7:N27),IF(N7:N27&gt;0,IF(Q7:Q27&lt;&gt;"",ROW(N7:N27)-MIN(ROW(N7:N27))+1))),ROW()-ROW(A$30)+1)),",",SUBSTITUTE(INDEX(IF(PURCHASE_DESCRIPTION&lt;&gt;"",PURCHASE_DESCRIPTION&amp;":","")&amp;A7:A27,SMALL(IF(ISNUMBER(N7:N27),IF(N7:N27&gt;0,IF(Q7:Q27&lt;&gt;"",ROW(N7:N27)-MIN(ROW(N7:N27))+1))),ROW()-ROW(A$30)+1)),",",";")),"")</f>
        <v>0</v>
      </c>
      <c r="S36">
        <f t="array" ref="S36">IFERROR(CONCATENATE(INDEX(V7:V27,SMALL(IF(ISNUMBER(S7:S27),IF(S7:S27&gt;0,IF(V7:V27&lt;&gt;"",ROW(S7:S27)-MIN(ROW(S7:S27))+1))),ROW()-ROW(A$30)+1))," ",TEXT(INDEX(S7:S27,SMALL(IF(ISNUMBER(S7:S27),IF(S7:S27&gt;0,IF(V7:V27&lt;&gt;"",ROW(S7:S27)-MIN(ROW(S7:S27))+1))),ROW()-ROW(A$30)+1)),"##0")," ",SUBSTITUTE(INDEX(IF(PURCHASE_DESCRIPTION&lt;&gt;"",PURCHASE_DESCRIPTION&amp;":","")&amp;A7:A27,SMALL(IF(ISNUMBER(S7:S27),IF(S7:S27&gt;0,IF(V7:V27&lt;&gt;"",ROW(S7:S27)-MIN(ROW(S7:S27))+1))),ROW()-ROW(A$30)+1))," ",";")),"")</f>
        <v>0</v>
      </c>
      <c r="X36">
        <f t="array" ref="X36">IFERROR(CONCATENATE(TEXT(INDEX(X7:X27,SMALL(IF(ISNUMBER(X7:X27),IF(X7:X27&gt;0,IF(AA7:AA27&lt;&gt;"",ROW(X7:X27)-MIN(ROW(X7:X27))+1))),ROW()-ROW(A$31)+1)),"##0"),",",SUBSTITUTE(INDEX(IF(PURCHASE_DESCRIPTION&lt;&gt;"",PURCHASE_DESCRIPTION&amp;":","")&amp;A7:A27,SMALL(IF(ISNUMBER(X7:X27),IF(X7:X27&gt;0,IF(AA7:AA27&lt;&gt;"",ROW(X7:X27)-MIN(ROW(X7:X27))+1))),ROW()-ROW(A$31)+1)),",",";"),",",SUBSTITUTE(INDEX(IF(PURCHASE_DESCRIPTION&lt;&gt;"",PURCHASE_DESCRIPTION&amp;":","")&amp;C7:C27,SMALL(IF(ISNUMBER(X7:X27),IF(X7:X27&gt;0,IF(AA7:AA27&lt;&gt;"",ROW(X7:X27)-MIN(ROW(X7:X27))+1))),ROW()-ROW(A$31)+1)),",",";"),",",INDEX(AA7:AA27,SMALL(IF(ISNUMBER(X7:X27),IF(X7:X27&gt;0,IF(AA7:AA27&lt;&gt;"",ROW(X7:X27)-MIN(ROW(X7:X27))+1))),ROW()-ROW(A$31)+1))),"")</f>
        <v>0</v>
      </c>
      <c r="AC36">
        <f t="array" ref="AC36">IFERROR(CONCATENATE(INDEX(AF7:AF27,SMALL(IF(ISNUMBER(AC7:AC27),IF(AC7:AC27&gt;0,IF(AF7:AF27&lt;&gt;"",ROW(AC7:AC27)-MIN(ROW(AC7:AC27))+1))),ROW()-ROW(A$30)+1)),"|",TEXT(INDEX(AC7:AC27,SMALL(IF(ISNUMBER(AC7:AC27),IF(AC7:AC27&gt;0,IF(AF7:AF27&lt;&gt;"",ROW(AC7:AC27)-MIN(ROW(AC7:AC27))+1))),ROW()-ROW(A$30)+1)),"##0"),"|",SUBSTITUTE(SUBSTITUTE(INDEX(IF(PURCHASE_DESCRIPTION&lt;&gt;"",PURCHASE_DESCRIPTION&amp;":","")&amp;A7:A27,SMALL(IF(ISNUMBER(AC7:AC27),IF(AC7:AC27&gt;0,IF(AF7:AF27&lt;&gt;"",ROW(AC7:AC27)-MIN(ROW(AC7:AC27))+1))),ROW()-ROW(A$30)+1)),"|",";")," ","_")),"")</f>
        <v>0</v>
      </c>
      <c r="AH36">
        <f t="array" ref="AH36">IFERROR(CONCATENATE(INDEX(AK7:AK27,SMALL(IF(ISNUMBER(AH7:AH27),IF(AH7:AH27&gt;0,IF(AK7:AK27&lt;&gt;"",ROW(AH7:AH27)-MIN(ROW(AH7:AH27))+1))),ROW()-ROW(A$30)+1)),",",TEXT(INDEX(AH7:AH27,SMALL(IF(ISNUMBER(AH7:AH27),IF(AH7:AH27&gt;0,IF(AK7:AK27&lt;&gt;"",ROW(AH7:AH27)-MIN(ROW(AH7:AH27))+1))),ROW()-ROW(A$30)+1)),"##0"),",",SUBSTITUTE(INDEX(IF(PURCHASE_DESCRIPTION&lt;&gt;"",PURCHASE_DESCRIPTION&amp;":","")&amp;A7:A27,SMALL(IF(ISNUMBER(AH7:AH27),IF(AH7:AH27&gt;0,IF(AK7:AK27&lt;&gt;"",ROW(AH7:AH27)-MIN(ROW(AH7:AH27))+1))),ROW()-ROW(A$30)+1)),",",";")),"")</f>
        <v>0</v>
      </c>
      <c r="AM36">
        <f t="array" ref="AM36">IFERROR(CONCATENATE(INDEX(AP7:AP27,SMALL(IF(ISNUMBER(AM7:AM27),IF(AM7:AM27&gt;0,IF(AP7:AP27&lt;&gt;"",ROW(AM7:AM27)-MIN(ROW(AM7:AM27))+1))),ROW()-ROW(A$30)+1))," ",TEXT(INDEX(AM7:AM27,SMALL(IF(ISNUMBER(AM7:AM27),IF(AM7:AM27&gt;0,IF(AP7:AP27&lt;&gt;"",ROW(AM7:AM27)-MIN(ROW(AM7:AM27))+1))),ROW()-ROW(A$30)+1)),"##0")," ",SUBSTITUTE(INDEX(IF(PURCHASE_DESCRIPTION&lt;&gt;"",PURCHASE_DESCRIPTION&amp;":","")&amp;A7:A27,SMALL(IF(ISNUMBER(AM7:AM27),IF(AM7:AM27&gt;0,IF(AP7:AP27&lt;&gt;"",ROW(AM7:AM27)-MIN(ROW(AM7:AM27))+1))),ROW()-ROW(A$30)+1))," ",";")),"")</f>
        <v>0</v>
      </c>
      <c r="AR36">
        <f t="array" ref="AR36">IFERROR(CONCATENATE(INDEX(AU7:AU27,SMALL(IF(ISNUMBER(AR7:AR27),IF(AR7:AR27&gt;0,IF(AU7:AU27&lt;&gt;"",ROW(AR7:AR27)-MIN(ROW(AR7:AR27))+1))),ROW()-ROW(A$30)+1))," ",TEXT(INDEX(AR7:AR27,SMALL(IF(ISNUMBER(AR7:AR27),IF(AR7:AR27&gt;0,IF(AU7:AU27&lt;&gt;"",ROW(AR7:AR27)-MIN(ROW(AR7:AR27))+1))),ROW()-ROW(A$30)+1)),"##0")," ",SUBSTITUTE(INDEX(IF(PURCHASE_DESCRIPTION&lt;&gt;"",PURCHASE_DESCRIPTION&amp;":","")&amp;A7:A27,SMALL(IF(ISNUMBER(AR7:AR27),IF(AR7:AR27&gt;0,IF(AU7:AU27&lt;&gt;"",ROW(AR7:AR27)-MIN(ROW(AR7:AR27))+1))),ROW()-ROW(A$30)+1))," ",";")),"")</f>
        <v>0</v>
      </c>
    </row>
    <row r="37" spans="9:44">
      <c r="I37">
        <f t="array" ref="I37">IFERROR(CONCATENATE(INDEX(L7:L27,SMALL(IF(ISNUMBER(I7:I27),IF(I7:I27&gt;0,IF(L7:L27&lt;&gt;"",ROW(I7:I27)-MIN(ROW(I7:I27))+1))),ROW()-ROW(A$30)+1)),",",TEXT(INDEX(I7:I27,SMALL(IF(ISNUMBER(I7:I27),IF(I7:I27&gt;0,IF(L7:L27&lt;&gt;"",ROW(I7:I27)-MIN(ROW(I7:I27))+1))),ROW()-ROW(A$30)+1)),"##0"),",",SUBSTITUTE(INDEX(IF(PURCHASE_DESCRIPTION&lt;&gt;"",PURCHASE_DESCRIPTION&amp;":","")&amp;A7:A27,SMALL(IF(ISNUMBER(I7:I27),IF(I7:I27&gt;0,IF(L7:L27&lt;&gt;"",ROW(I7:I27)-MIN(ROW(I7:I27))+1))),ROW()-ROW(A$30)+1)),",",";")),"")</f>
        <v>0</v>
      </c>
      <c r="N37">
        <f t="array" ref="N37">IFERROR(CONCATENATE(TEXT(INDEX(N7:N27,SMALL(IF(ISNUMBER(N7:N27),IF(N7:N27&gt;0,IF(Q7:Q27&lt;&gt;"",ROW(N7:N27)-MIN(ROW(N7:N27))+1))),ROW()-ROW(A$30)+1)),"##0"),",",INDEX(Q7:Q27,SMALL(IF(ISNUMBER(N7:N27),IF(N7:N27&gt;0,IF(Q7:Q27&lt;&gt;"",ROW(N7:N27)-MIN(ROW(N7:N27))+1))),ROW()-ROW(A$30)+1)),",",SUBSTITUTE(INDEX(IF(PURCHASE_DESCRIPTION&lt;&gt;"",PURCHASE_DESCRIPTION&amp;":","")&amp;A7:A27,SMALL(IF(ISNUMBER(N7:N27),IF(N7:N27&gt;0,IF(Q7:Q27&lt;&gt;"",ROW(N7:N27)-MIN(ROW(N7:N27))+1))),ROW()-ROW(A$30)+1)),",",";")),"")</f>
        <v>0</v>
      </c>
      <c r="S37">
        <f t="array" ref="S37">IFERROR(CONCATENATE(INDEX(V7:V27,SMALL(IF(ISNUMBER(S7:S27),IF(S7:S27&gt;0,IF(V7:V27&lt;&gt;"",ROW(S7:S27)-MIN(ROW(S7:S27))+1))),ROW()-ROW(A$30)+1))," ",TEXT(INDEX(S7:S27,SMALL(IF(ISNUMBER(S7:S27),IF(S7:S27&gt;0,IF(V7:V27&lt;&gt;"",ROW(S7:S27)-MIN(ROW(S7:S27))+1))),ROW()-ROW(A$30)+1)),"##0")," ",SUBSTITUTE(INDEX(IF(PURCHASE_DESCRIPTION&lt;&gt;"",PURCHASE_DESCRIPTION&amp;":","")&amp;A7:A27,SMALL(IF(ISNUMBER(S7:S27),IF(S7:S27&gt;0,IF(V7:V27&lt;&gt;"",ROW(S7:S27)-MIN(ROW(S7:S27))+1))),ROW()-ROW(A$30)+1))," ",";")),"")</f>
        <v>0</v>
      </c>
      <c r="X37">
        <f t="array" ref="X37">IFERROR(CONCATENATE(TEXT(INDEX(X7:X27,SMALL(IF(ISNUMBER(X7:X27),IF(X7:X27&gt;0,IF(AA7:AA27&lt;&gt;"",ROW(X7:X27)-MIN(ROW(X7:X27))+1))),ROW()-ROW(A$31)+1)),"##0"),",",SUBSTITUTE(INDEX(IF(PURCHASE_DESCRIPTION&lt;&gt;"",PURCHASE_DESCRIPTION&amp;":","")&amp;A7:A27,SMALL(IF(ISNUMBER(X7:X27),IF(X7:X27&gt;0,IF(AA7:AA27&lt;&gt;"",ROW(X7:X27)-MIN(ROW(X7:X27))+1))),ROW()-ROW(A$31)+1)),",",";"),",",SUBSTITUTE(INDEX(IF(PURCHASE_DESCRIPTION&lt;&gt;"",PURCHASE_DESCRIPTION&amp;":","")&amp;C7:C27,SMALL(IF(ISNUMBER(X7:X27),IF(X7:X27&gt;0,IF(AA7:AA27&lt;&gt;"",ROW(X7:X27)-MIN(ROW(X7:X27))+1))),ROW()-ROW(A$31)+1)),",",";"),",",INDEX(AA7:AA27,SMALL(IF(ISNUMBER(X7:X27),IF(X7:X27&gt;0,IF(AA7:AA27&lt;&gt;"",ROW(X7:X27)-MIN(ROW(X7:X27))+1))),ROW()-ROW(A$31)+1))),"")</f>
        <v>0</v>
      </c>
      <c r="AC37">
        <f t="array" ref="AC37">IFERROR(CONCATENATE(INDEX(AF7:AF27,SMALL(IF(ISNUMBER(AC7:AC27),IF(AC7:AC27&gt;0,IF(AF7:AF27&lt;&gt;"",ROW(AC7:AC27)-MIN(ROW(AC7:AC27))+1))),ROW()-ROW(A$30)+1)),"|",TEXT(INDEX(AC7:AC27,SMALL(IF(ISNUMBER(AC7:AC27),IF(AC7:AC27&gt;0,IF(AF7:AF27&lt;&gt;"",ROW(AC7:AC27)-MIN(ROW(AC7:AC27))+1))),ROW()-ROW(A$30)+1)),"##0"),"|",SUBSTITUTE(SUBSTITUTE(INDEX(IF(PURCHASE_DESCRIPTION&lt;&gt;"",PURCHASE_DESCRIPTION&amp;":","")&amp;A7:A27,SMALL(IF(ISNUMBER(AC7:AC27),IF(AC7:AC27&gt;0,IF(AF7:AF27&lt;&gt;"",ROW(AC7:AC27)-MIN(ROW(AC7:AC27))+1))),ROW()-ROW(A$30)+1)),"|",";")," ","_")),"")</f>
        <v>0</v>
      </c>
      <c r="AH37">
        <f t="array" ref="AH37">IFERROR(CONCATENATE(INDEX(AK7:AK27,SMALL(IF(ISNUMBER(AH7:AH27),IF(AH7:AH27&gt;0,IF(AK7:AK27&lt;&gt;"",ROW(AH7:AH27)-MIN(ROW(AH7:AH27))+1))),ROW()-ROW(A$30)+1)),",",TEXT(INDEX(AH7:AH27,SMALL(IF(ISNUMBER(AH7:AH27),IF(AH7:AH27&gt;0,IF(AK7:AK27&lt;&gt;"",ROW(AH7:AH27)-MIN(ROW(AH7:AH27))+1))),ROW()-ROW(A$30)+1)),"##0"),",",SUBSTITUTE(INDEX(IF(PURCHASE_DESCRIPTION&lt;&gt;"",PURCHASE_DESCRIPTION&amp;":","")&amp;A7:A27,SMALL(IF(ISNUMBER(AH7:AH27),IF(AH7:AH27&gt;0,IF(AK7:AK27&lt;&gt;"",ROW(AH7:AH27)-MIN(ROW(AH7:AH27))+1))),ROW()-ROW(A$30)+1)),",",";")),"")</f>
        <v>0</v>
      </c>
      <c r="AM37">
        <f t="array" ref="AM37">IFERROR(CONCATENATE(INDEX(AP7:AP27,SMALL(IF(ISNUMBER(AM7:AM27),IF(AM7:AM27&gt;0,IF(AP7:AP27&lt;&gt;"",ROW(AM7:AM27)-MIN(ROW(AM7:AM27))+1))),ROW()-ROW(A$30)+1))," ",TEXT(INDEX(AM7:AM27,SMALL(IF(ISNUMBER(AM7:AM27),IF(AM7:AM27&gt;0,IF(AP7:AP27&lt;&gt;"",ROW(AM7:AM27)-MIN(ROW(AM7:AM27))+1))),ROW()-ROW(A$30)+1)),"##0")," ",SUBSTITUTE(INDEX(IF(PURCHASE_DESCRIPTION&lt;&gt;"",PURCHASE_DESCRIPTION&amp;":","")&amp;A7:A27,SMALL(IF(ISNUMBER(AM7:AM27),IF(AM7:AM27&gt;0,IF(AP7:AP27&lt;&gt;"",ROW(AM7:AM27)-MIN(ROW(AM7:AM27))+1))),ROW()-ROW(A$30)+1))," ",";")),"")</f>
        <v>0</v>
      </c>
      <c r="AR37">
        <f t="array" ref="AR37">IFERROR(CONCATENATE(INDEX(AU7:AU27,SMALL(IF(ISNUMBER(AR7:AR27),IF(AR7:AR27&gt;0,IF(AU7:AU27&lt;&gt;"",ROW(AR7:AR27)-MIN(ROW(AR7:AR27))+1))),ROW()-ROW(A$30)+1))," ",TEXT(INDEX(AR7:AR27,SMALL(IF(ISNUMBER(AR7:AR27),IF(AR7:AR27&gt;0,IF(AU7:AU27&lt;&gt;"",ROW(AR7:AR27)-MIN(ROW(AR7:AR27))+1))),ROW()-ROW(A$30)+1)),"##0")," ",SUBSTITUTE(INDEX(IF(PURCHASE_DESCRIPTION&lt;&gt;"",PURCHASE_DESCRIPTION&amp;":","")&amp;A7:A27,SMALL(IF(ISNUMBER(AR7:AR27),IF(AR7:AR27&gt;0,IF(AU7:AU27&lt;&gt;"",ROW(AR7:AR27)-MIN(ROW(AR7:AR27))+1))),ROW()-ROW(A$30)+1))," ",";")),"")</f>
        <v>0</v>
      </c>
    </row>
    <row r="38" spans="9:44">
      <c r="I38">
        <f t="array" ref="I38">IFERROR(CONCATENATE(INDEX(L7:L27,SMALL(IF(ISNUMBER(I7:I27),IF(I7:I27&gt;0,IF(L7:L27&lt;&gt;"",ROW(I7:I27)-MIN(ROW(I7:I27))+1))),ROW()-ROW(A$30)+1)),",",TEXT(INDEX(I7:I27,SMALL(IF(ISNUMBER(I7:I27),IF(I7:I27&gt;0,IF(L7:L27&lt;&gt;"",ROW(I7:I27)-MIN(ROW(I7:I27))+1))),ROW()-ROW(A$30)+1)),"##0"),",",SUBSTITUTE(INDEX(IF(PURCHASE_DESCRIPTION&lt;&gt;"",PURCHASE_DESCRIPTION&amp;":","")&amp;A7:A27,SMALL(IF(ISNUMBER(I7:I27),IF(I7:I27&gt;0,IF(L7:L27&lt;&gt;"",ROW(I7:I27)-MIN(ROW(I7:I27))+1))),ROW()-ROW(A$30)+1)),",",";")),"")</f>
        <v>0</v>
      </c>
      <c r="N38">
        <f t="array" ref="N38">IFERROR(CONCATENATE(TEXT(INDEX(N7:N27,SMALL(IF(ISNUMBER(N7:N27),IF(N7:N27&gt;0,IF(Q7:Q27&lt;&gt;"",ROW(N7:N27)-MIN(ROW(N7:N27))+1))),ROW()-ROW(A$30)+1)),"##0"),",",INDEX(Q7:Q27,SMALL(IF(ISNUMBER(N7:N27),IF(N7:N27&gt;0,IF(Q7:Q27&lt;&gt;"",ROW(N7:N27)-MIN(ROW(N7:N27))+1))),ROW()-ROW(A$30)+1)),",",SUBSTITUTE(INDEX(IF(PURCHASE_DESCRIPTION&lt;&gt;"",PURCHASE_DESCRIPTION&amp;":","")&amp;A7:A27,SMALL(IF(ISNUMBER(N7:N27),IF(N7:N27&gt;0,IF(Q7:Q27&lt;&gt;"",ROW(N7:N27)-MIN(ROW(N7:N27))+1))),ROW()-ROW(A$30)+1)),",",";")),"")</f>
        <v>0</v>
      </c>
      <c r="S38">
        <f t="array" ref="S38">IFERROR(CONCATENATE(INDEX(V7:V27,SMALL(IF(ISNUMBER(S7:S27),IF(S7:S27&gt;0,IF(V7:V27&lt;&gt;"",ROW(S7:S27)-MIN(ROW(S7:S27))+1))),ROW()-ROW(A$30)+1))," ",TEXT(INDEX(S7:S27,SMALL(IF(ISNUMBER(S7:S27),IF(S7:S27&gt;0,IF(V7:V27&lt;&gt;"",ROW(S7:S27)-MIN(ROW(S7:S27))+1))),ROW()-ROW(A$30)+1)),"##0")," ",SUBSTITUTE(INDEX(IF(PURCHASE_DESCRIPTION&lt;&gt;"",PURCHASE_DESCRIPTION&amp;":","")&amp;A7:A27,SMALL(IF(ISNUMBER(S7:S27),IF(S7:S27&gt;0,IF(V7:V27&lt;&gt;"",ROW(S7:S27)-MIN(ROW(S7:S27))+1))),ROW()-ROW(A$30)+1))," ",";")),"")</f>
        <v>0</v>
      </c>
      <c r="X38">
        <f t="array" ref="X38">IFERROR(CONCATENATE(TEXT(INDEX(X7:X27,SMALL(IF(ISNUMBER(X7:X27),IF(X7:X27&gt;0,IF(AA7:AA27&lt;&gt;"",ROW(X7:X27)-MIN(ROW(X7:X27))+1))),ROW()-ROW(A$31)+1)),"##0"),",",SUBSTITUTE(INDEX(IF(PURCHASE_DESCRIPTION&lt;&gt;"",PURCHASE_DESCRIPTION&amp;":","")&amp;A7:A27,SMALL(IF(ISNUMBER(X7:X27),IF(X7:X27&gt;0,IF(AA7:AA27&lt;&gt;"",ROW(X7:X27)-MIN(ROW(X7:X27))+1))),ROW()-ROW(A$31)+1)),",",";"),",",SUBSTITUTE(INDEX(IF(PURCHASE_DESCRIPTION&lt;&gt;"",PURCHASE_DESCRIPTION&amp;":","")&amp;C7:C27,SMALL(IF(ISNUMBER(X7:X27),IF(X7:X27&gt;0,IF(AA7:AA27&lt;&gt;"",ROW(X7:X27)-MIN(ROW(X7:X27))+1))),ROW()-ROW(A$31)+1)),",",";"),",",INDEX(AA7:AA27,SMALL(IF(ISNUMBER(X7:X27),IF(X7:X27&gt;0,IF(AA7:AA27&lt;&gt;"",ROW(X7:X27)-MIN(ROW(X7:X27))+1))),ROW()-ROW(A$31)+1))),"")</f>
        <v>0</v>
      </c>
      <c r="AC38">
        <f t="array" ref="AC38">IFERROR(CONCATENATE(INDEX(AF7:AF27,SMALL(IF(ISNUMBER(AC7:AC27),IF(AC7:AC27&gt;0,IF(AF7:AF27&lt;&gt;"",ROW(AC7:AC27)-MIN(ROW(AC7:AC27))+1))),ROW()-ROW(A$30)+1)),"|",TEXT(INDEX(AC7:AC27,SMALL(IF(ISNUMBER(AC7:AC27),IF(AC7:AC27&gt;0,IF(AF7:AF27&lt;&gt;"",ROW(AC7:AC27)-MIN(ROW(AC7:AC27))+1))),ROW()-ROW(A$30)+1)),"##0"),"|",SUBSTITUTE(SUBSTITUTE(INDEX(IF(PURCHASE_DESCRIPTION&lt;&gt;"",PURCHASE_DESCRIPTION&amp;":","")&amp;A7:A27,SMALL(IF(ISNUMBER(AC7:AC27),IF(AC7:AC27&gt;0,IF(AF7:AF27&lt;&gt;"",ROW(AC7:AC27)-MIN(ROW(AC7:AC27))+1))),ROW()-ROW(A$30)+1)),"|",";")," ","_")),"")</f>
        <v>0</v>
      </c>
      <c r="AH38">
        <f t="array" ref="AH38">IFERROR(CONCATENATE(INDEX(AK7:AK27,SMALL(IF(ISNUMBER(AH7:AH27),IF(AH7:AH27&gt;0,IF(AK7:AK27&lt;&gt;"",ROW(AH7:AH27)-MIN(ROW(AH7:AH27))+1))),ROW()-ROW(A$30)+1)),",",TEXT(INDEX(AH7:AH27,SMALL(IF(ISNUMBER(AH7:AH27),IF(AH7:AH27&gt;0,IF(AK7:AK27&lt;&gt;"",ROW(AH7:AH27)-MIN(ROW(AH7:AH27))+1))),ROW()-ROW(A$30)+1)),"##0"),",",SUBSTITUTE(INDEX(IF(PURCHASE_DESCRIPTION&lt;&gt;"",PURCHASE_DESCRIPTION&amp;":","")&amp;A7:A27,SMALL(IF(ISNUMBER(AH7:AH27),IF(AH7:AH27&gt;0,IF(AK7:AK27&lt;&gt;"",ROW(AH7:AH27)-MIN(ROW(AH7:AH27))+1))),ROW()-ROW(A$30)+1)),",",";")),"")</f>
        <v>0</v>
      </c>
      <c r="AM38">
        <f t="array" ref="AM38">IFERROR(CONCATENATE(INDEX(AP7:AP27,SMALL(IF(ISNUMBER(AM7:AM27),IF(AM7:AM27&gt;0,IF(AP7:AP27&lt;&gt;"",ROW(AM7:AM27)-MIN(ROW(AM7:AM27))+1))),ROW()-ROW(A$30)+1))," ",TEXT(INDEX(AM7:AM27,SMALL(IF(ISNUMBER(AM7:AM27),IF(AM7:AM27&gt;0,IF(AP7:AP27&lt;&gt;"",ROW(AM7:AM27)-MIN(ROW(AM7:AM27))+1))),ROW()-ROW(A$30)+1)),"##0")," ",SUBSTITUTE(INDEX(IF(PURCHASE_DESCRIPTION&lt;&gt;"",PURCHASE_DESCRIPTION&amp;":","")&amp;A7:A27,SMALL(IF(ISNUMBER(AM7:AM27),IF(AM7:AM27&gt;0,IF(AP7:AP27&lt;&gt;"",ROW(AM7:AM27)-MIN(ROW(AM7:AM27))+1))),ROW()-ROW(A$30)+1))," ",";")),"")</f>
        <v>0</v>
      </c>
      <c r="AR38">
        <f t="array" ref="AR38">IFERROR(CONCATENATE(INDEX(AU7:AU27,SMALL(IF(ISNUMBER(AR7:AR27),IF(AR7:AR27&gt;0,IF(AU7:AU27&lt;&gt;"",ROW(AR7:AR27)-MIN(ROW(AR7:AR27))+1))),ROW()-ROW(A$30)+1))," ",TEXT(INDEX(AR7:AR27,SMALL(IF(ISNUMBER(AR7:AR27),IF(AR7:AR27&gt;0,IF(AU7:AU27&lt;&gt;"",ROW(AR7:AR27)-MIN(ROW(AR7:AR27))+1))),ROW()-ROW(A$30)+1)),"##0")," ",SUBSTITUTE(INDEX(IF(PURCHASE_DESCRIPTION&lt;&gt;"",PURCHASE_DESCRIPTION&amp;":","")&amp;A7:A27,SMALL(IF(ISNUMBER(AR7:AR27),IF(AR7:AR27&gt;0,IF(AU7:AU27&lt;&gt;"",ROW(AR7:AR27)-MIN(ROW(AR7:AR27))+1))),ROW()-ROW(A$30)+1))," ",";")),"")</f>
        <v>0</v>
      </c>
    </row>
    <row r="39" spans="9:44">
      <c r="I39">
        <f t="array" ref="I39">IFERROR(CONCATENATE(INDEX(L7:L27,SMALL(IF(ISNUMBER(I7:I27),IF(I7:I27&gt;0,IF(L7:L27&lt;&gt;"",ROW(I7:I27)-MIN(ROW(I7:I27))+1))),ROW()-ROW(A$30)+1)),",",TEXT(INDEX(I7:I27,SMALL(IF(ISNUMBER(I7:I27),IF(I7:I27&gt;0,IF(L7:L27&lt;&gt;"",ROW(I7:I27)-MIN(ROW(I7:I27))+1))),ROW()-ROW(A$30)+1)),"##0"),",",SUBSTITUTE(INDEX(IF(PURCHASE_DESCRIPTION&lt;&gt;"",PURCHASE_DESCRIPTION&amp;":","")&amp;A7:A27,SMALL(IF(ISNUMBER(I7:I27),IF(I7:I27&gt;0,IF(L7:L27&lt;&gt;"",ROW(I7:I27)-MIN(ROW(I7:I27))+1))),ROW()-ROW(A$30)+1)),",",";")),"")</f>
        <v>0</v>
      </c>
      <c r="N39">
        <f t="array" ref="N39">IFERROR(CONCATENATE(TEXT(INDEX(N7:N27,SMALL(IF(ISNUMBER(N7:N27),IF(N7:N27&gt;0,IF(Q7:Q27&lt;&gt;"",ROW(N7:N27)-MIN(ROW(N7:N27))+1))),ROW()-ROW(A$30)+1)),"##0"),",",INDEX(Q7:Q27,SMALL(IF(ISNUMBER(N7:N27),IF(N7:N27&gt;0,IF(Q7:Q27&lt;&gt;"",ROW(N7:N27)-MIN(ROW(N7:N27))+1))),ROW()-ROW(A$30)+1)),",",SUBSTITUTE(INDEX(IF(PURCHASE_DESCRIPTION&lt;&gt;"",PURCHASE_DESCRIPTION&amp;":","")&amp;A7:A27,SMALL(IF(ISNUMBER(N7:N27),IF(N7:N27&gt;0,IF(Q7:Q27&lt;&gt;"",ROW(N7:N27)-MIN(ROW(N7:N27))+1))),ROW()-ROW(A$30)+1)),",",";")),"")</f>
        <v>0</v>
      </c>
      <c r="S39">
        <f t="array" ref="S39">IFERROR(CONCATENATE(INDEX(V7:V27,SMALL(IF(ISNUMBER(S7:S27),IF(S7:S27&gt;0,IF(V7:V27&lt;&gt;"",ROW(S7:S27)-MIN(ROW(S7:S27))+1))),ROW()-ROW(A$30)+1))," ",TEXT(INDEX(S7:S27,SMALL(IF(ISNUMBER(S7:S27),IF(S7:S27&gt;0,IF(V7:V27&lt;&gt;"",ROW(S7:S27)-MIN(ROW(S7:S27))+1))),ROW()-ROW(A$30)+1)),"##0")," ",SUBSTITUTE(INDEX(IF(PURCHASE_DESCRIPTION&lt;&gt;"",PURCHASE_DESCRIPTION&amp;":","")&amp;A7:A27,SMALL(IF(ISNUMBER(S7:S27),IF(S7:S27&gt;0,IF(V7:V27&lt;&gt;"",ROW(S7:S27)-MIN(ROW(S7:S27))+1))),ROW()-ROW(A$30)+1))," ",";")),"")</f>
        <v>0</v>
      </c>
      <c r="X39">
        <f t="array" ref="X39">IFERROR(CONCATENATE(TEXT(INDEX(X7:X27,SMALL(IF(ISNUMBER(X7:X27),IF(X7:X27&gt;0,IF(AA7:AA27&lt;&gt;"",ROW(X7:X27)-MIN(ROW(X7:X27))+1))),ROW()-ROW(A$31)+1)),"##0"),",",SUBSTITUTE(INDEX(IF(PURCHASE_DESCRIPTION&lt;&gt;"",PURCHASE_DESCRIPTION&amp;":","")&amp;A7:A27,SMALL(IF(ISNUMBER(X7:X27),IF(X7:X27&gt;0,IF(AA7:AA27&lt;&gt;"",ROW(X7:X27)-MIN(ROW(X7:X27))+1))),ROW()-ROW(A$31)+1)),",",";"),",",SUBSTITUTE(INDEX(IF(PURCHASE_DESCRIPTION&lt;&gt;"",PURCHASE_DESCRIPTION&amp;":","")&amp;C7:C27,SMALL(IF(ISNUMBER(X7:X27),IF(X7:X27&gt;0,IF(AA7:AA27&lt;&gt;"",ROW(X7:X27)-MIN(ROW(X7:X27))+1))),ROW()-ROW(A$31)+1)),",",";"),",",INDEX(AA7:AA27,SMALL(IF(ISNUMBER(X7:X27),IF(X7:X27&gt;0,IF(AA7:AA27&lt;&gt;"",ROW(X7:X27)-MIN(ROW(X7:X27))+1))),ROW()-ROW(A$31)+1))),"")</f>
        <v>0</v>
      </c>
      <c r="AC39">
        <f t="array" ref="AC39">IFERROR(CONCATENATE(INDEX(AF7:AF27,SMALL(IF(ISNUMBER(AC7:AC27),IF(AC7:AC27&gt;0,IF(AF7:AF27&lt;&gt;"",ROW(AC7:AC27)-MIN(ROW(AC7:AC27))+1))),ROW()-ROW(A$30)+1)),"|",TEXT(INDEX(AC7:AC27,SMALL(IF(ISNUMBER(AC7:AC27),IF(AC7:AC27&gt;0,IF(AF7:AF27&lt;&gt;"",ROW(AC7:AC27)-MIN(ROW(AC7:AC27))+1))),ROW()-ROW(A$30)+1)),"##0"),"|",SUBSTITUTE(SUBSTITUTE(INDEX(IF(PURCHASE_DESCRIPTION&lt;&gt;"",PURCHASE_DESCRIPTION&amp;":","")&amp;A7:A27,SMALL(IF(ISNUMBER(AC7:AC27),IF(AC7:AC27&gt;0,IF(AF7:AF27&lt;&gt;"",ROW(AC7:AC27)-MIN(ROW(AC7:AC27))+1))),ROW()-ROW(A$30)+1)),"|",";")," ","_")),"")</f>
        <v>0</v>
      </c>
      <c r="AH39">
        <f t="array" ref="AH39">IFERROR(CONCATENATE(INDEX(AK7:AK27,SMALL(IF(ISNUMBER(AH7:AH27),IF(AH7:AH27&gt;0,IF(AK7:AK27&lt;&gt;"",ROW(AH7:AH27)-MIN(ROW(AH7:AH27))+1))),ROW()-ROW(A$30)+1)),",",TEXT(INDEX(AH7:AH27,SMALL(IF(ISNUMBER(AH7:AH27),IF(AH7:AH27&gt;0,IF(AK7:AK27&lt;&gt;"",ROW(AH7:AH27)-MIN(ROW(AH7:AH27))+1))),ROW()-ROW(A$30)+1)),"##0"),",",SUBSTITUTE(INDEX(IF(PURCHASE_DESCRIPTION&lt;&gt;"",PURCHASE_DESCRIPTION&amp;":","")&amp;A7:A27,SMALL(IF(ISNUMBER(AH7:AH27),IF(AH7:AH27&gt;0,IF(AK7:AK27&lt;&gt;"",ROW(AH7:AH27)-MIN(ROW(AH7:AH27))+1))),ROW()-ROW(A$30)+1)),",",";")),"")</f>
        <v>0</v>
      </c>
      <c r="AM39">
        <f t="array" ref="AM39">IFERROR(CONCATENATE(INDEX(AP7:AP27,SMALL(IF(ISNUMBER(AM7:AM27),IF(AM7:AM27&gt;0,IF(AP7:AP27&lt;&gt;"",ROW(AM7:AM27)-MIN(ROW(AM7:AM27))+1))),ROW()-ROW(A$30)+1))," ",TEXT(INDEX(AM7:AM27,SMALL(IF(ISNUMBER(AM7:AM27),IF(AM7:AM27&gt;0,IF(AP7:AP27&lt;&gt;"",ROW(AM7:AM27)-MIN(ROW(AM7:AM27))+1))),ROW()-ROW(A$30)+1)),"##0")," ",SUBSTITUTE(INDEX(IF(PURCHASE_DESCRIPTION&lt;&gt;"",PURCHASE_DESCRIPTION&amp;":","")&amp;A7:A27,SMALL(IF(ISNUMBER(AM7:AM27),IF(AM7:AM27&gt;0,IF(AP7:AP27&lt;&gt;"",ROW(AM7:AM27)-MIN(ROW(AM7:AM27))+1))),ROW()-ROW(A$30)+1))," ",";")),"")</f>
        <v>0</v>
      </c>
      <c r="AR39">
        <f t="array" ref="AR39">IFERROR(CONCATENATE(INDEX(AU7:AU27,SMALL(IF(ISNUMBER(AR7:AR27),IF(AR7:AR27&gt;0,IF(AU7:AU27&lt;&gt;"",ROW(AR7:AR27)-MIN(ROW(AR7:AR27))+1))),ROW()-ROW(A$30)+1))," ",TEXT(INDEX(AR7:AR27,SMALL(IF(ISNUMBER(AR7:AR27),IF(AR7:AR27&gt;0,IF(AU7:AU27&lt;&gt;"",ROW(AR7:AR27)-MIN(ROW(AR7:AR27))+1))),ROW()-ROW(A$30)+1)),"##0")," ",SUBSTITUTE(INDEX(IF(PURCHASE_DESCRIPTION&lt;&gt;"",PURCHASE_DESCRIPTION&amp;":","")&amp;A7:A27,SMALL(IF(ISNUMBER(AR7:AR27),IF(AR7:AR27&gt;0,IF(AU7:AU27&lt;&gt;"",ROW(AR7:AR27)-MIN(ROW(AR7:AR27))+1))),ROW()-ROW(A$30)+1))," ",";")),"")</f>
        <v>0</v>
      </c>
    </row>
    <row r="40" spans="9:44">
      <c r="I40">
        <f t="array" ref="I40">IFERROR(CONCATENATE(INDEX(L7:L27,SMALL(IF(ISNUMBER(I7:I27),IF(I7:I27&gt;0,IF(L7:L27&lt;&gt;"",ROW(I7:I27)-MIN(ROW(I7:I27))+1))),ROW()-ROW(A$30)+1)),",",TEXT(INDEX(I7:I27,SMALL(IF(ISNUMBER(I7:I27),IF(I7:I27&gt;0,IF(L7:L27&lt;&gt;"",ROW(I7:I27)-MIN(ROW(I7:I27))+1))),ROW()-ROW(A$30)+1)),"##0"),",",SUBSTITUTE(INDEX(IF(PURCHASE_DESCRIPTION&lt;&gt;"",PURCHASE_DESCRIPTION&amp;":","")&amp;A7:A27,SMALL(IF(ISNUMBER(I7:I27),IF(I7:I27&gt;0,IF(L7:L27&lt;&gt;"",ROW(I7:I27)-MIN(ROW(I7:I27))+1))),ROW()-ROW(A$30)+1)),",",";")),"")</f>
        <v>0</v>
      </c>
      <c r="N40">
        <f t="array" ref="N40">IFERROR(CONCATENATE(TEXT(INDEX(N7:N27,SMALL(IF(ISNUMBER(N7:N27),IF(N7:N27&gt;0,IF(Q7:Q27&lt;&gt;"",ROW(N7:N27)-MIN(ROW(N7:N27))+1))),ROW()-ROW(A$30)+1)),"##0"),",",INDEX(Q7:Q27,SMALL(IF(ISNUMBER(N7:N27),IF(N7:N27&gt;0,IF(Q7:Q27&lt;&gt;"",ROW(N7:N27)-MIN(ROW(N7:N27))+1))),ROW()-ROW(A$30)+1)),",",SUBSTITUTE(INDEX(IF(PURCHASE_DESCRIPTION&lt;&gt;"",PURCHASE_DESCRIPTION&amp;":","")&amp;A7:A27,SMALL(IF(ISNUMBER(N7:N27),IF(N7:N27&gt;0,IF(Q7:Q27&lt;&gt;"",ROW(N7:N27)-MIN(ROW(N7:N27))+1))),ROW()-ROW(A$30)+1)),",",";")),"")</f>
        <v>0</v>
      </c>
      <c r="S40">
        <f t="array" ref="S40">IFERROR(CONCATENATE(INDEX(V7:V27,SMALL(IF(ISNUMBER(S7:S27),IF(S7:S27&gt;0,IF(V7:V27&lt;&gt;"",ROW(S7:S27)-MIN(ROW(S7:S27))+1))),ROW()-ROW(A$30)+1))," ",TEXT(INDEX(S7:S27,SMALL(IF(ISNUMBER(S7:S27),IF(S7:S27&gt;0,IF(V7:V27&lt;&gt;"",ROW(S7:S27)-MIN(ROW(S7:S27))+1))),ROW()-ROW(A$30)+1)),"##0")," ",SUBSTITUTE(INDEX(IF(PURCHASE_DESCRIPTION&lt;&gt;"",PURCHASE_DESCRIPTION&amp;":","")&amp;A7:A27,SMALL(IF(ISNUMBER(S7:S27),IF(S7:S27&gt;0,IF(V7:V27&lt;&gt;"",ROW(S7:S27)-MIN(ROW(S7:S27))+1))),ROW()-ROW(A$30)+1))," ",";")),"")</f>
        <v>0</v>
      </c>
      <c r="X40">
        <f t="array" ref="X40">IFERROR(CONCATENATE(TEXT(INDEX(X7:X27,SMALL(IF(ISNUMBER(X7:X27),IF(X7:X27&gt;0,IF(AA7:AA27&lt;&gt;"",ROW(X7:X27)-MIN(ROW(X7:X27))+1))),ROW()-ROW(A$31)+1)),"##0"),",",SUBSTITUTE(INDEX(IF(PURCHASE_DESCRIPTION&lt;&gt;"",PURCHASE_DESCRIPTION&amp;":","")&amp;A7:A27,SMALL(IF(ISNUMBER(X7:X27),IF(X7:X27&gt;0,IF(AA7:AA27&lt;&gt;"",ROW(X7:X27)-MIN(ROW(X7:X27))+1))),ROW()-ROW(A$31)+1)),",",";"),",",SUBSTITUTE(INDEX(IF(PURCHASE_DESCRIPTION&lt;&gt;"",PURCHASE_DESCRIPTION&amp;":","")&amp;C7:C27,SMALL(IF(ISNUMBER(X7:X27),IF(X7:X27&gt;0,IF(AA7:AA27&lt;&gt;"",ROW(X7:X27)-MIN(ROW(X7:X27))+1))),ROW()-ROW(A$31)+1)),",",";"),",",INDEX(AA7:AA27,SMALL(IF(ISNUMBER(X7:X27),IF(X7:X27&gt;0,IF(AA7:AA27&lt;&gt;"",ROW(X7:X27)-MIN(ROW(X7:X27))+1))),ROW()-ROW(A$31)+1))),"")</f>
        <v>0</v>
      </c>
      <c r="AC40">
        <f t="array" ref="AC40">IFERROR(CONCATENATE(INDEX(AF7:AF27,SMALL(IF(ISNUMBER(AC7:AC27),IF(AC7:AC27&gt;0,IF(AF7:AF27&lt;&gt;"",ROW(AC7:AC27)-MIN(ROW(AC7:AC27))+1))),ROW()-ROW(A$30)+1)),"|",TEXT(INDEX(AC7:AC27,SMALL(IF(ISNUMBER(AC7:AC27),IF(AC7:AC27&gt;0,IF(AF7:AF27&lt;&gt;"",ROW(AC7:AC27)-MIN(ROW(AC7:AC27))+1))),ROW()-ROW(A$30)+1)),"##0"),"|",SUBSTITUTE(SUBSTITUTE(INDEX(IF(PURCHASE_DESCRIPTION&lt;&gt;"",PURCHASE_DESCRIPTION&amp;":","")&amp;A7:A27,SMALL(IF(ISNUMBER(AC7:AC27),IF(AC7:AC27&gt;0,IF(AF7:AF27&lt;&gt;"",ROW(AC7:AC27)-MIN(ROW(AC7:AC27))+1))),ROW()-ROW(A$30)+1)),"|",";")," ","_")),"")</f>
        <v>0</v>
      </c>
      <c r="AH40">
        <f t="array" ref="AH40">IFERROR(CONCATENATE(INDEX(AK7:AK27,SMALL(IF(ISNUMBER(AH7:AH27),IF(AH7:AH27&gt;0,IF(AK7:AK27&lt;&gt;"",ROW(AH7:AH27)-MIN(ROW(AH7:AH27))+1))),ROW()-ROW(A$30)+1)),",",TEXT(INDEX(AH7:AH27,SMALL(IF(ISNUMBER(AH7:AH27),IF(AH7:AH27&gt;0,IF(AK7:AK27&lt;&gt;"",ROW(AH7:AH27)-MIN(ROW(AH7:AH27))+1))),ROW()-ROW(A$30)+1)),"##0"),",",SUBSTITUTE(INDEX(IF(PURCHASE_DESCRIPTION&lt;&gt;"",PURCHASE_DESCRIPTION&amp;":","")&amp;A7:A27,SMALL(IF(ISNUMBER(AH7:AH27),IF(AH7:AH27&gt;0,IF(AK7:AK27&lt;&gt;"",ROW(AH7:AH27)-MIN(ROW(AH7:AH27))+1))),ROW()-ROW(A$30)+1)),",",";")),"")</f>
        <v>0</v>
      </c>
      <c r="AM40">
        <f t="array" ref="AM40">IFERROR(CONCATENATE(INDEX(AP7:AP27,SMALL(IF(ISNUMBER(AM7:AM27),IF(AM7:AM27&gt;0,IF(AP7:AP27&lt;&gt;"",ROW(AM7:AM27)-MIN(ROW(AM7:AM27))+1))),ROW()-ROW(A$30)+1))," ",TEXT(INDEX(AM7:AM27,SMALL(IF(ISNUMBER(AM7:AM27),IF(AM7:AM27&gt;0,IF(AP7:AP27&lt;&gt;"",ROW(AM7:AM27)-MIN(ROW(AM7:AM27))+1))),ROW()-ROW(A$30)+1)),"##0")," ",SUBSTITUTE(INDEX(IF(PURCHASE_DESCRIPTION&lt;&gt;"",PURCHASE_DESCRIPTION&amp;":","")&amp;A7:A27,SMALL(IF(ISNUMBER(AM7:AM27),IF(AM7:AM27&gt;0,IF(AP7:AP27&lt;&gt;"",ROW(AM7:AM27)-MIN(ROW(AM7:AM27))+1))),ROW()-ROW(A$30)+1))," ",";")),"")</f>
        <v>0</v>
      </c>
      <c r="AR40">
        <f t="array" ref="AR40">IFERROR(CONCATENATE(INDEX(AU7:AU27,SMALL(IF(ISNUMBER(AR7:AR27),IF(AR7:AR27&gt;0,IF(AU7:AU27&lt;&gt;"",ROW(AR7:AR27)-MIN(ROW(AR7:AR27))+1))),ROW()-ROW(A$30)+1))," ",TEXT(INDEX(AR7:AR27,SMALL(IF(ISNUMBER(AR7:AR27),IF(AR7:AR27&gt;0,IF(AU7:AU27&lt;&gt;"",ROW(AR7:AR27)-MIN(ROW(AR7:AR27))+1))),ROW()-ROW(A$30)+1)),"##0")," ",SUBSTITUTE(INDEX(IF(PURCHASE_DESCRIPTION&lt;&gt;"",PURCHASE_DESCRIPTION&amp;":","")&amp;A7:A27,SMALL(IF(ISNUMBER(AR7:AR27),IF(AR7:AR27&gt;0,IF(AU7:AU27&lt;&gt;"",ROW(AR7:AR27)-MIN(ROW(AR7:AR27))+1))),ROW()-ROW(A$30)+1))," ",";")),"")</f>
        <v>0</v>
      </c>
    </row>
    <row r="41" spans="9:44">
      <c r="I41">
        <f t="array" ref="I41">IFERROR(CONCATENATE(INDEX(L7:L27,SMALL(IF(ISNUMBER(I7:I27),IF(I7:I27&gt;0,IF(L7:L27&lt;&gt;"",ROW(I7:I27)-MIN(ROW(I7:I27))+1))),ROW()-ROW(A$30)+1)),",",TEXT(INDEX(I7:I27,SMALL(IF(ISNUMBER(I7:I27),IF(I7:I27&gt;0,IF(L7:L27&lt;&gt;"",ROW(I7:I27)-MIN(ROW(I7:I27))+1))),ROW()-ROW(A$30)+1)),"##0"),",",SUBSTITUTE(INDEX(IF(PURCHASE_DESCRIPTION&lt;&gt;"",PURCHASE_DESCRIPTION&amp;":","")&amp;A7:A27,SMALL(IF(ISNUMBER(I7:I27),IF(I7:I27&gt;0,IF(L7:L27&lt;&gt;"",ROW(I7:I27)-MIN(ROW(I7:I27))+1))),ROW()-ROW(A$30)+1)),",",";")),"")</f>
        <v>0</v>
      </c>
      <c r="N41">
        <f t="array" ref="N41">IFERROR(CONCATENATE(TEXT(INDEX(N7:N27,SMALL(IF(ISNUMBER(N7:N27),IF(N7:N27&gt;0,IF(Q7:Q27&lt;&gt;"",ROW(N7:N27)-MIN(ROW(N7:N27))+1))),ROW()-ROW(A$30)+1)),"##0"),",",INDEX(Q7:Q27,SMALL(IF(ISNUMBER(N7:N27),IF(N7:N27&gt;0,IF(Q7:Q27&lt;&gt;"",ROW(N7:N27)-MIN(ROW(N7:N27))+1))),ROW()-ROW(A$30)+1)),",",SUBSTITUTE(INDEX(IF(PURCHASE_DESCRIPTION&lt;&gt;"",PURCHASE_DESCRIPTION&amp;":","")&amp;A7:A27,SMALL(IF(ISNUMBER(N7:N27),IF(N7:N27&gt;0,IF(Q7:Q27&lt;&gt;"",ROW(N7:N27)-MIN(ROW(N7:N27))+1))),ROW()-ROW(A$30)+1)),",",";")),"")</f>
        <v>0</v>
      </c>
      <c r="S41">
        <f t="array" ref="S41">IFERROR(CONCATENATE(INDEX(V7:V27,SMALL(IF(ISNUMBER(S7:S27),IF(S7:S27&gt;0,IF(V7:V27&lt;&gt;"",ROW(S7:S27)-MIN(ROW(S7:S27))+1))),ROW()-ROW(A$30)+1))," ",TEXT(INDEX(S7:S27,SMALL(IF(ISNUMBER(S7:S27),IF(S7:S27&gt;0,IF(V7:V27&lt;&gt;"",ROW(S7:S27)-MIN(ROW(S7:S27))+1))),ROW()-ROW(A$30)+1)),"##0")," ",SUBSTITUTE(INDEX(IF(PURCHASE_DESCRIPTION&lt;&gt;"",PURCHASE_DESCRIPTION&amp;":","")&amp;A7:A27,SMALL(IF(ISNUMBER(S7:S27),IF(S7:S27&gt;0,IF(V7:V27&lt;&gt;"",ROW(S7:S27)-MIN(ROW(S7:S27))+1))),ROW()-ROW(A$30)+1))," ",";")),"")</f>
        <v>0</v>
      </c>
      <c r="X41">
        <f t="array" ref="X41">IFERROR(CONCATENATE(TEXT(INDEX(X7:X27,SMALL(IF(ISNUMBER(X7:X27),IF(X7:X27&gt;0,IF(AA7:AA27&lt;&gt;"",ROW(X7:X27)-MIN(ROW(X7:X27))+1))),ROW()-ROW(A$31)+1)),"##0"),",",SUBSTITUTE(INDEX(IF(PURCHASE_DESCRIPTION&lt;&gt;"",PURCHASE_DESCRIPTION&amp;":","")&amp;A7:A27,SMALL(IF(ISNUMBER(X7:X27),IF(X7:X27&gt;0,IF(AA7:AA27&lt;&gt;"",ROW(X7:X27)-MIN(ROW(X7:X27))+1))),ROW()-ROW(A$31)+1)),",",";"),",",SUBSTITUTE(INDEX(IF(PURCHASE_DESCRIPTION&lt;&gt;"",PURCHASE_DESCRIPTION&amp;":","")&amp;C7:C27,SMALL(IF(ISNUMBER(X7:X27),IF(X7:X27&gt;0,IF(AA7:AA27&lt;&gt;"",ROW(X7:X27)-MIN(ROW(X7:X27))+1))),ROW()-ROW(A$31)+1)),",",";"),",",INDEX(AA7:AA27,SMALL(IF(ISNUMBER(X7:X27),IF(X7:X27&gt;0,IF(AA7:AA27&lt;&gt;"",ROW(X7:X27)-MIN(ROW(X7:X27))+1))),ROW()-ROW(A$31)+1))),"")</f>
        <v>0</v>
      </c>
      <c r="AC41">
        <f t="array" ref="AC41">IFERROR(CONCATENATE(INDEX(AF7:AF27,SMALL(IF(ISNUMBER(AC7:AC27),IF(AC7:AC27&gt;0,IF(AF7:AF27&lt;&gt;"",ROW(AC7:AC27)-MIN(ROW(AC7:AC27))+1))),ROW()-ROW(A$30)+1)),"|",TEXT(INDEX(AC7:AC27,SMALL(IF(ISNUMBER(AC7:AC27),IF(AC7:AC27&gt;0,IF(AF7:AF27&lt;&gt;"",ROW(AC7:AC27)-MIN(ROW(AC7:AC27))+1))),ROW()-ROW(A$30)+1)),"##0"),"|",SUBSTITUTE(SUBSTITUTE(INDEX(IF(PURCHASE_DESCRIPTION&lt;&gt;"",PURCHASE_DESCRIPTION&amp;":","")&amp;A7:A27,SMALL(IF(ISNUMBER(AC7:AC27),IF(AC7:AC27&gt;0,IF(AF7:AF27&lt;&gt;"",ROW(AC7:AC27)-MIN(ROW(AC7:AC27))+1))),ROW()-ROW(A$30)+1)),"|",";")," ","_")),"")</f>
        <v>0</v>
      </c>
      <c r="AH41">
        <f t="array" ref="AH41">IFERROR(CONCATENATE(INDEX(AK7:AK27,SMALL(IF(ISNUMBER(AH7:AH27),IF(AH7:AH27&gt;0,IF(AK7:AK27&lt;&gt;"",ROW(AH7:AH27)-MIN(ROW(AH7:AH27))+1))),ROW()-ROW(A$30)+1)),",",TEXT(INDEX(AH7:AH27,SMALL(IF(ISNUMBER(AH7:AH27),IF(AH7:AH27&gt;0,IF(AK7:AK27&lt;&gt;"",ROW(AH7:AH27)-MIN(ROW(AH7:AH27))+1))),ROW()-ROW(A$30)+1)),"##0"),",",SUBSTITUTE(INDEX(IF(PURCHASE_DESCRIPTION&lt;&gt;"",PURCHASE_DESCRIPTION&amp;":","")&amp;A7:A27,SMALL(IF(ISNUMBER(AH7:AH27),IF(AH7:AH27&gt;0,IF(AK7:AK27&lt;&gt;"",ROW(AH7:AH27)-MIN(ROW(AH7:AH27))+1))),ROW()-ROW(A$30)+1)),",",";")),"")</f>
        <v>0</v>
      </c>
      <c r="AM41">
        <f t="array" ref="AM41">IFERROR(CONCATENATE(INDEX(AP7:AP27,SMALL(IF(ISNUMBER(AM7:AM27),IF(AM7:AM27&gt;0,IF(AP7:AP27&lt;&gt;"",ROW(AM7:AM27)-MIN(ROW(AM7:AM27))+1))),ROW()-ROW(A$30)+1))," ",TEXT(INDEX(AM7:AM27,SMALL(IF(ISNUMBER(AM7:AM27),IF(AM7:AM27&gt;0,IF(AP7:AP27&lt;&gt;"",ROW(AM7:AM27)-MIN(ROW(AM7:AM27))+1))),ROW()-ROW(A$30)+1)),"##0")," ",SUBSTITUTE(INDEX(IF(PURCHASE_DESCRIPTION&lt;&gt;"",PURCHASE_DESCRIPTION&amp;":","")&amp;A7:A27,SMALL(IF(ISNUMBER(AM7:AM27),IF(AM7:AM27&gt;0,IF(AP7:AP27&lt;&gt;"",ROW(AM7:AM27)-MIN(ROW(AM7:AM27))+1))),ROW()-ROW(A$30)+1))," ",";")),"")</f>
        <v>0</v>
      </c>
      <c r="AR41">
        <f t="array" ref="AR41">IFERROR(CONCATENATE(INDEX(AU7:AU27,SMALL(IF(ISNUMBER(AR7:AR27),IF(AR7:AR27&gt;0,IF(AU7:AU27&lt;&gt;"",ROW(AR7:AR27)-MIN(ROW(AR7:AR27))+1))),ROW()-ROW(A$30)+1))," ",TEXT(INDEX(AR7:AR27,SMALL(IF(ISNUMBER(AR7:AR27),IF(AR7:AR27&gt;0,IF(AU7:AU27&lt;&gt;"",ROW(AR7:AR27)-MIN(ROW(AR7:AR27))+1))),ROW()-ROW(A$30)+1)),"##0")," ",SUBSTITUTE(INDEX(IF(PURCHASE_DESCRIPTION&lt;&gt;"",PURCHASE_DESCRIPTION&amp;":","")&amp;A7:A27,SMALL(IF(ISNUMBER(AR7:AR27),IF(AR7:AR27&gt;0,IF(AU7:AU27&lt;&gt;"",ROW(AR7:AR27)-MIN(ROW(AR7:AR27))+1))),ROW()-ROW(A$30)+1))," ",";")),"")</f>
        <v>0</v>
      </c>
    </row>
    <row r="42" spans="9:44">
      <c r="I42">
        <f t="array" ref="I42">IFERROR(CONCATENATE(INDEX(L7:L27,SMALL(IF(ISNUMBER(I7:I27),IF(I7:I27&gt;0,IF(L7:L27&lt;&gt;"",ROW(I7:I27)-MIN(ROW(I7:I27))+1))),ROW()-ROW(A$30)+1)),",",TEXT(INDEX(I7:I27,SMALL(IF(ISNUMBER(I7:I27),IF(I7:I27&gt;0,IF(L7:L27&lt;&gt;"",ROW(I7:I27)-MIN(ROW(I7:I27))+1))),ROW()-ROW(A$30)+1)),"##0"),",",SUBSTITUTE(INDEX(IF(PURCHASE_DESCRIPTION&lt;&gt;"",PURCHASE_DESCRIPTION&amp;":","")&amp;A7:A27,SMALL(IF(ISNUMBER(I7:I27),IF(I7:I27&gt;0,IF(L7:L27&lt;&gt;"",ROW(I7:I27)-MIN(ROW(I7:I27))+1))),ROW()-ROW(A$30)+1)),",",";")),"")</f>
        <v>0</v>
      </c>
      <c r="N42">
        <f t="array" ref="N42">IFERROR(CONCATENATE(TEXT(INDEX(N7:N27,SMALL(IF(ISNUMBER(N7:N27),IF(N7:N27&gt;0,IF(Q7:Q27&lt;&gt;"",ROW(N7:N27)-MIN(ROW(N7:N27))+1))),ROW()-ROW(A$30)+1)),"##0"),",",INDEX(Q7:Q27,SMALL(IF(ISNUMBER(N7:N27),IF(N7:N27&gt;0,IF(Q7:Q27&lt;&gt;"",ROW(N7:N27)-MIN(ROW(N7:N27))+1))),ROW()-ROW(A$30)+1)),",",SUBSTITUTE(INDEX(IF(PURCHASE_DESCRIPTION&lt;&gt;"",PURCHASE_DESCRIPTION&amp;":","")&amp;A7:A27,SMALL(IF(ISNUMBER(N7:N27),IF(N7:N27&gt;0,IF(Q7:Q27&lt;&gt;"",ROW(N7:N27)-MIN(ROW(N7:N27))+1))),ROW()-ROW(A$30)+1)),",",";")),"")</f>
        <v>0</v>
      </c>
      <c r="S42">
        <f t="array" ref="S42">IFERROR(CONCATENATE(INDEX(V7:V27,SMALL(IF(ISNUMBER(S7:S27),IF(S7:S27&gt;0,IF(V7:V27&lt;&gt;"",ROW(S7:S27)-MIN(ROW(S7:S27))+1))),ROW()-ROW(A$30)+1))," ",TEXT(INDEX(S7:S27,SMALL(IF(ISNUMBER(S7:S27),IF(S7:S27&gt;0,IF(V7:V27&lt;&gt;"",ROW(S7:S27)-MIN(ROW(S7:S27))+1))),ROW()-ROW(A$30)+1)),"##0")," ",SUBSTITUTE(INDEX(IF(PURCHASE_DESCRIPTION&lt;&gt;"",PURCHASE_DESCRIPTION&amp;":","")&amp;A7:A27,SMALL(IF(ISNUMBER(S7:S27),IF(S7:S27&gt;0,IF(V7:V27&lt;&gt;"",ROW(S7:S27)-MIN(ROW(S7:S27))+1))),ROW()-ROW(A$30)+1))," ",";")),"")</f>
        <v>0</v>
      </c>
      <c r="X42">
        <f t="array" ref="X42">IFERROR(CONCATENATE(TEXT(INDEX(X7:X27,SMALL(IF(ISNUMBER(X7:X27),IF(X7:X27&gt;0,IF(AA7:AA27&lt;&gt;"",ROW(X7:X27)-MIN(ROW(X7:X27))+1))),ROW()-ROW(A$31)+1)),"##0"),",",SUBSTITUTE(INDEX(IF(PURCHASE_DESCRIPTION&lt;&gt;"",PURCHASE_DESCRIPTION&amp;":","")&amp;A7:A27,SMALL(IF(ISNUMBER(X7:X27),IF(X7:X27&gt;0,IF(AA7:AA27&lt;&gt;"",ROW(X7:X27)-MIN(ROW(X7:X27))+1))),ROW()-ROW(A$31)+1)),",",";"),",",SUBSTITUTE(INDEX(IF(PURCHASE_DESCRIPTION&lt;&gt;"",PURCHASE_DESCRIPTION&amp;":","")&amp;C7:C27,SMALL(IF(ISNUMBER(X7:X27),IF(X7:X27&gt;0,IF(AA7:AA27&lt;&gt;"",ROW(X7:X27)-MIN(ROW(X7:X27))+1))),ROW()-ROW(A$31)+1)),",",";"),",",INDEX(AA7:AA27,SMALL(IF(ISNUMBER(X7:X27),IF(X7:X27&gt;0,IF(AA7:AA27&lt;&gt;"",ROW(X7:X27)-MIN(ROW(X7:X27))+1))),ROW()-ROW(A$31)+1))),"")</f>
        <v>0</v>
      </c>
      <c r="AC42">
        <f t="array" ref="AC42">IFERROR(CONCATENATE(INDEX(AF7:AF27,SMALL(IF(ISNUMBER(AC7:AC27),IF(AC7:AC27&gt;0,IF(AF7:AF27&lt;&gt;"",ROW(AC7:AC27)-MIN(ROW(AC7:AC27))+1))),ROW()-ROW(A$30)+1)),"|",TEXT(INDEX(AC7:AC27,SMALL(IF(ISNUMBER(AC7:AC27),IF(AC7:AC27&gt;0,IF(AF7:AF27&lt;&gt;"",ROW(AC7:AC27)-MIN(ROW(AC7:AC27))+1))),ROW()-ROW(A$30)+1)),"##0"),"|",SUBSTITUTE(SUBSTITUTE(INDEX(IF(PURCHASE_DESCRIPTION&lt;&gt;"",PURCHASE_DESCRIPTION&amp;":","")&amp;A7:A27,SMALL(IF(ISNUMBER(AC7:AC27),IF(AC7:AC27&gt;0,IF(AF7:AF27&lt;&gt;"",ROW(AC7:AC27)-MIN(ROW(AC7:AC27))+1))),ROW()-ROW(A$30)+1)),"|",";")," ","_")),"")</f>
        <v>0</v>
      </c>
      <c r="AH42">
        <f t="array" ref="AH42">IFERROR(CONCATENATE(INDEX(AK7:AK27,SMALL(IF(ISNUMBER(AH7:AH27),IF(AH7:AH27&gt;0,IF(AK7:AK27&lt;&gt;"",ROW(AH7:AH27)-MIN(ROW(AH7:AH27))+1))),ROW()-ROW(A$30)+1)),",",TEXT(INDEX(AH7:AH27,SMALL(IF(ISNUMBER(AH7:AH27),IF(AH7:AH27&gt;0,IF(AK7:AK27&lt;&gt;"",ROW(AH7:AH27)-MIN(ROW(AH7:AH27))+1))),ROW()-ROW(A$30)+1)),"##0"),",",SUBSTITUTE(INDEX(IF(PURCHASE_DESCRIPTION&lt;&gt;"",PURCHASE_DESCRIPTION&amp;":","")&amp;A7:A27,SMALL(IF(ISNUMBER(AH7:AH27),IF(AH7:AH27&gt;0,IF(AK7:AK27&lt;&gt;"",ROW(AH7:AH27)-MIN(ROW(AH7:AH27))+1))),ROW()-ROW(A$30)+1)),",",";")),"")</f>
        <v>0</v>
      </c>
      <c r="AM42">
        <f t="array" ref="AM42">IFERROR(CONCATENATE(INDEX(AP7:AP27,SMALL(IF(ISNUMBER(AM7:AM27),IF(AM7:AM27&gt;0,IF(AP7:AP27&lt;&gt;"",ROW(AM7:AM27)-MIN(ROW(AM7:AM27))+1))),ROW()-ROW(A$30)+1))," ",TEXT(INDEX(AM7:AM27,SMALL(IF(ISNUMBER(AM7:AM27),IF(AM7:AM27&gt;0,IF(AP7:AP27&lt;&gt;"",ROW(AM7:AM27)-MIN(ROW(AM7:AM27))+1))),ROW()-ROW(A$30)+1)),"##0")," ",SUBSTITUTE(INDEX(IF(PURCHASE_DESCRIPTION&lt;&gt;"",PURCHASE_DESCRIPTION&amp;":","")&amp;A7:A27,SMALL(IF(ISNUMBER(AM7:AM27),IF(AM7:AM27&gt;0,IF(AP7:AP27&lt;&gt;"",ROW(AM7:AM27)-MIN(ROW(AM7:AM27))+1))),ROW()-ROW(A$30)+1))," ",";")),"")</f>
        <v>0</v>
      </c>
      <c r="AR42">
        <f t="array" ref="AR42">IFERROR(CONCATENATE(INDEX(AU7:AU27,SMALL(IF(ISNUMBER(AR7:AR27),IF(AR7:AR27&gt;0,IF(AU7:AU27&lt;&gt;"",ROW(AR7:AR27)-MIN(ROW(AR7:AR27))+1))),ROW()-ROW(A$30)+1))," ",TEXT(INDEX(AR7:AR27,SMALL(IF(ISNUMBER(AR7:AR27),IF(AR7:AR27&gt;0,IF(AU7:AU27&lt;&gt;"",ROW(AR7:AR27)-MIN(ROW(AR7:AR27))+1))),ROW()-ROW(A$30)+1)),"##0")," ",SUBSTITUTE(INDEX(IF(PURCHASE_DESCRIPTION&lt;&gt;"",PURCHASE_DESCRIPTION&amp;":","")&amp;A7:A27,SMALL(IF(ISNUMBER(AR7:AR27),IF(AR7:AR27&gt;0,IF(AU7:AU27&lt;&gt;"",ROW(AR7:AR27)-MIN(ROW(AR7:AR27))+1))),ROW()-ROW(A$30)+1))," ",";")),"")</f>
        <v>0</v>
      </c>
    </row>
    <row r="43" spans="9:44">
      <c r="I43">
        <f t="array" ref="I43">IFERROR(CONCATENATE(INDEX(L7:L27,SMALL(IF(ISNUMBER(I7:I27),IF(I7:I27&gt;0,IF(L7:L27&lt;&gt;"",ROW(I7:I27)-MIN(ROW(I7:I27))+1))),ROW()-ROW(A$30)+1)),",",TEXT(INDEX(I7:I27,SMALL(IF(ISNUMBER(I7:I27),IF(I7:I27&gt;0,IF(L7:L27&lt;&gt;"",ROW(I7:I27)-MIN(ROW(I7:I27))+1))),ROW()-ROW(A$30)+1)),"##0"),",",SUBSTITUTE(INDEX(IF(PURCHASE_DESCRIPTION&lt;&gt;"",PURCHASE_DESCRIPTION&amp;":","")&amp;A7:A27,SMALL(IF(ISNUMBER(I7:I27),IF(I7:I27&gt;0,IF(L7:L27&lt;&gt;"",ROW(I7:I27)-MIN(ROW(I7:I27))+1))),ROW()-ROW(A$30)+1)),",",";")),"")</f>
        <v>0</v>
      </c>
      <c r="N43">
        <f t="array" ref="N43">IFERROR(CONCATENATE(TEXT(INDEX(N7:N27,SMALL(IF(ISNUMBER(N7:N27),IF(N7:N27&gt;0,IF(Q7:Q27&lt;&gt;"",ROW(N7:N27)-MIN(ROW(N7:N27))+1))),ROW()-ROW(A$30)+1)),"##0"),",",INDEX(Q7:Q27,SMALL(IF(ISNUMBER(N7:N27),IF(N7:N27&gt;0,IF(Q7:Q27&lt;&gt;"",ROW(N7:N27)-MIN(ROW(N7:N27))+1))),ROW()-ROW(A$30)+1)),",",SUBSTITUTE(INDEX(IF(PURCHASE_DESCRIPTION&lt;&gt;"",PURCHASE_DESCRIPTION&amp;":","")&amp;A7:A27,SMALL(IF(ISNUMBER(N7:N27),IF(N7:N27&gt;0,IF(Q7:Q27&lt;&gt;"",ROW(N7:N27)-MIN(ROW(N7:N27))+1))),ROW()-ROW(A$30)+1)),",",";")),"")</f>
        <v>0</v>
      </c>
      <c r="S43">
        <f t="array" ref="S43">IFERROR(CONCATENATE(INDEX(V7:V27,SMALL(IF(ISNUMBER(S7:S27),IF(S7:S27&gt;0,IF(V7:V27&lt;&gt;"",ROW(S7:S27)-MIN(ROW(S7:S27))+1))),ROW()-ROW(A$30)+1))," ",TEXT(INDEX(S7:S27,SMALL(IF(ISNUMBER(S7:S27),IF(S7:S27&gt;0,IF(V7:V27&lt;&gt;"",ROW(S7:S27)-MIN(ROW(S7:S27))+1))),ROW()-ROW(A$30)+1)),"##0")," ",SUBSTITUTE(INDEX(IF(PURCHASE_DESCRIPTION&lt;&gt;"",PURCHASE_DESCRIPTION&amp;":","")&amp;A7:A27,SMALL(IF(ISNUMBER(S7:S27),IF(S7:S27&gt;0,IF(V7:V27&lt;&gt;"",ROW(S7:S27)-MIN(ROW(S7:S27))+1))),ROW()-ROW(A$30)+1))," ",";")),"")</f>
        <v>0</v>
      </c>
      <c r="X43">
        <f t="array" ref="X43">IFERROR(CONCATENATE(TEXT(INDEX(X7:X27,SMALL(IF(ISNUMBER(X7:X27),IF(X7:X27&gt;0,IF(AA7:AA27&lt;&gt;"",ROW(X7:X27)-MIN(ROW(X7:X27))+1))),ROW()-ROW(A$31)+1)),"##0"),",",SUBSTITUTE(INDEX(IF(PURCHASE_DESCRIPTION&lt;&gt;"",PURCHASE_DESCRIPTION&amp;":","")&amp;A7:A27,SMALL(IF(ISNUMBER(X7:X27),IF(X7:X27&gt;0,IF(AA7:AA27&lt;&gt;"",ROW(X7:X27)-MIN(ROW(X7:X27))+1))),ROW()-ROW(A$31)+1)),",",";"),",",SUBSTITUTE(INDEX(IF(PURCHASE_DESCRIPTION&lt;&gt;"",PURCHASE_DESCRIPTION&amp;":","")&amp;C7:C27,SMALL(IF(ISNUMBER(X7:X27),IF(X7:X27&gt;0,IF(AA7:AA27&lt;&gt;"",ROW(X7:X27)-MIN(ROW(X7:X27))+1))),ROW()-ROW(A$31)+1)),",",";"),",",INDEX(AA7:AA27,SMALL(IF(ISNUMBER(X7:X27),IF(X7:X27&gt;0,IF(AA7:AA27&lt;&gt;"",ROW(X7:X27)-MIN(ROW(X7:X27))+1))),ROW()-ROW(A$31)+1))),"")</f>
        <v>0</v>
      </c>
      <c r="AC43">
        <f t="array" ref="AC43">IFERROR(CONCATENATE(INDEX(AF7:AF27,SMALL(IF(ISNUMBER(AC7:AC27),IF(AC7:AC27&gt;0,IF(AF7:AF27&lt;&gt;"",ROW(AC7:AC27)-MIN(ROW(AC7:AC27))+1))),ROW()-ROW(A$30)+1)),"|",TEXT(INDEX(AC7:AC27,SMALL(IF(ISNUMBER(AC7:AC27),IF(AC7:AC27&gt;0,IF(AF7:AF27&lt;&gt;"",ROW(AC7:AC27)-MIN(ROW(AC7:AC27))+1))),ROW()-ROW(A$30)+1)),"##0"),"|",SUBSTITUTE(SUBSTITUTE(INDEX(IF(PURCHASE_DESCRIPTION&lt;&gt;"",PURCHASE_DESCRIPTION&amp;":","")&amp;A7:A27,SMALL(IF(ISNUMBER(AC7:AC27),IF(AC7:AC27&gt;0,IF(AF7:AF27&lt;&gt;"",ROW(AC7:AC27)-MIN(ROW(AC7:AC27))+1))),ROW()-ROW(A$30)+1)),"|",";")," ","_")),"")</f>
        <v>0</v>
      </c>
      <c r="AH43">
        <f t="array" ref="AH43">IFERROR(CONCATENATE(INDEX(AK7:AK27,SMALL(IF(ISNUMBER(AH7:AH27),IF(AH7:AH27&gt;0,IF(AK7:AK27&lt;&gt;"",ROW(AH7:AH27)-MIN(ROW(AH7:AH27))+1))),ROW()-ROW(A$30)+1)),",",TEXT(INDEX(AH7:AH27,SMALL(IF(ISNUMBER(AH7:AH27),IF(AH7:AH27&gt;0,IF(AK7:AK27&lt;&gt;"",ROW(AH7:AH27)-MIN(ROW(AH7:AH27))+1))),ROW()-ROW(A$30)+1)),"##0"),",",SUBSTITUTE(INDEX(IF(PURCHASE_DESCRIPTION&lt;&gt;"",PURCHASE_DESCRIPTION&amp;":","")&amp;A7:A27,SMALL(IF(ISNUMBER(AH7:AH27),IF(AH7:AH27&gt;0,IF(AK7:AK27&lt;&gt;"",ROW(AH7:AH27)-MIN(ROW(AH7:AH27))+1))),ROW()-ROW(A$30)+1)),",",";")),"")</f>
        <v>0</v>
      </c>
      <c r="AM43">
        <f t="array" ref="AM43">IFERROR(CONCATENATE(INDEX(AP7:AP27,SMALL(IF(ISNUMBER(AM7:AM27),IF(AM7:AM27&gt;0,IF(AP7:AP27&lt;&gt;"",ROW(AM7:AM27)-MIN(ROW(AM7:AM27))+1))),ROW()-ROW(A$30)+1))," ",TEXT(INDEX(AM7:AM27,SMALL(IF(ISNUMBER(AM7:AM27),IF(AM7:AM27&gt;0,IF(AP7:AP27&lt;&gt;"",ROW(AM7:AM27)-MIN(ROW(AM7:AM27))+1))),ROW()-ROW(A$30)+1)),"##0")," ",SUBSTITUTE(INDEX(IF(PURCHASE_DESCRIPTION&lt;&gt;"",PURCHASE_DESCRIPTION&amp;":","")&amp;A7:A27,SMALL(IF(ISNUMBER(AM7:AM27),IF(AM7:AM27&gt;0,IF(AP7:AP27&lt;&gt;"",ROW(AM7:AM27)-MIN(ROW(AM7:AM27))+1))),ROW()-ROW(A$30)+1))," ",";")),"")</f>
        <v>0</v>
      </c>
      <c r="AR43">
        <f t="array" ref="AR43">IFERROR(CONCATENATE(INDEX(AU7:AU27,SMALL(IF(ISNUMBER(AR7:AR27),IF(AR7:AR27&gt;0,IF(AU7:AU27&lt;&gt;"",ROW(AR7:AR27)-MIN(ROW(AR7:AR27))+1))),ROW()-ROW(A$30)+1))," ",TEXT(INDEX(AR7:AR27,SMALL(IF(ISNUMBER(AR7:AR27),IF(AR7:AR27&gt;0,IF(AU7:AU27&lt;&gt;"",ROW(AR7:AR27)-MIN(ROW(AR7:AR27))+1))),ROW()-ROW(A$30)+1)),"##0")," ",SUBSTITUTE(INDEX(IF(PURCHASE_DESCRIPTION&lt;&gt;"",PURCHASE_DESCRIPTION&amp;":","")&amp;A7:A27,SMALL(IF(ISNUMBER(AR7:AR27),IF(AR7:AR27&gt;0,IF(AU7:AU27&lt;&gt;"",ROW(AR7:AR27)-MIN(ROW(AR7:AR27))+1))),ROW()-ROW(A$30)+1))," ",";")),"")</f>
        <v>0</v>
      </c>
    </row>
    <row r="44" spans="9:44">
      <c r="I44">
        <f t="array" ref="I44">IFERROR(CONCATENATE(INDEX(L7:L27,SMALL(IF(ISNUMBER(I7:I27),IF(I7:I27&gt;0,IF(L7:L27&lt;&gt;"",ROW(I7:I27)-MIN(ROW(I7:I27))+1))),ROW()-ROW(A$30)+1)),",",TEXT(INDEX(I7:I27,SMALL(IF(ISNUMBER(I7:I27),IF(I7:I27&gt;0,IF(L7:L27&lt;&gt;"",ROW(I7:I27)-MIN(ROW(I7:I27))+1))),ROW()-ROW(A$30)+1)),"##0"),",",SUBSTITUTE(INDEX(IF(PURCHASE_DESCRIPTION&lt;&gt;"",PURCHASE_DESCRIPTION&amp;":","")&amp;A7:A27,SMALL(IF(ISNUMBER(I7:I27),IF(I7:I27&gt;0,IF(L7:L27&lt;&gt;"",ROW(I7:I27)-MIN(ROW(I7:I27))+1))),ROW()-ROW(A$30)+1)),",",";")),"")</f>
        <v>0</v>
      </c>
      <c r="N44">
        <f t="array" ref="N44">IFERROR(CONCATENATE(TEXT(INDEX(N7:N27,SMALL(IF(ISNUMBER(N7:N27),IF(N7:N27&gt;0,IF(Q7:Q27&lt;&gt;"",ROW(N7:N27)-MIN(ROW(N7:N27))+1))),ROW()-ROW(A$30)+1)),"##0"),",",INDEX(Q7:Q27,SMALL(IF(ISNUMBER(N7:N27),IF(N7:N27&gt;0,IF(Q7:Q27&lt;&gt;"",ROW(N7:N27)-MIN(ROW(N7:N27))+1))),ROW()-ROW(A$30)+1)),",",SUBSTITUTE(INDEX(IF(PURCHASE_DESCRIPTION&lt;&gt;"",PURCHASE_DESCRIPTION&amp;":","")&amp;A7:A27,SMALL(IF(ISNUMBER(N7:N27),IF(N7:N27&gt;0,IF(Q7:Q27&lt;&gt;"",ROW(N7:N27)-MIN(ROW(N7:N27))+1))),ROW()-ROW(A$30)+1)),",",";")),"")</f>
        <v>0</v>
      </c>
      <c r="S44">
        <f t="array" ref="S44">IFERROR(CONCATENATE(INDEX(V7:V27,SMALL(IF(ISNUMBER(S7:S27),IF(S7:S27&gt;0,IF(V7:V27&lt;&gt;"",ROW(S7:S27)-MIN(ROW(S7:S27))+1))),ROW()-ROW(A$30)+1))," ",TEXT(INDEX(S7:S27,SMALL(IF(ISNUMBER(S7:S27),IF(S7:S27&gt;0,IF(V7:V27&lt;&gt;"",ROW(S7:S27)-MIN(ROW(S7:S27))+1))),ROW()-ROW(A$30)+1)),"##0")," ",SUBSTITUTE(INDEX(IF(PURCHASE_DESCRIPTION&lt;&gt;"",PURCHASE_DESCRIPTION&amp;":","")&amp;A7:A27,SMALL(IF(ISNUMBER(S7:S27),IF(S7:S27&gt;0,IF(V7:V27&lt;&gt;"",ROW(S7:S27)-MIN(ROW(S7:S27))+1))),ROW()-ROW(A$30)+1))," ",";")),"")</f>
        <v>0</v>
      </c>
      <c r="X44">
        <f t="array" ref="X44">IFERROR(CONCATENATE(TEXT(INDEX(X7:X27,SMALL(IF(ISNUMBER(X7:X27),IF(X7:X27&gt;0,IF(AA7:AA27&lt;&gt;"",ROW(X7:X27)-MIN(ROW(X7:X27))+1))),ROW()-ROW(A$31)+1)),"##0"),",",SUBSTITUTE(INDEX(IF(PURCHASE_DESCRIPTION&lt;&gt;"",PURCHASE_DESCRIPTION&amp;":","")&amp;A7:A27,SMALL(IF(ISNUMBER(X7:X27),IF(X7:X27&gt;0,IF(AA7:AA27&lt;&gt;"",ROW(X7:X27)-MIN(ROW(X7:X27))+1))),ROW()-ROW(A$31)+1)),",",";"),",",SUBSTITUTE(INDEX(IF(PURCHASE_DESCRIPTION&lt;&gt;"",PURCHASE_DESCRIPTION&amp;":","")&amp;C7:C27,SMALL(IF(ISNUMBER(X7:X27),IF(X7:X27&gt;0,IF(AA7:AA27&lt;&gt;"",ROW(X7:X27)-MIN(ROW(X7:X27))+1))),ROW()-ROW(A$31)+1)),",",";"),",",INDEX(AA7:AA27,SMALL(IF(ISNUMBER(X7:X27),IF(X7:X27&gt;0,IF(AA7:AA27&lt;&gt;"",ROW(X7:X27)-MIN(ROW(X7:X27))+1))),ROW()-ROW(A$31)+1))),"")</f>
        <v>0</v>
      </c>
      <c r="AC44">
        <f t="array" ref="AC44">IFERROR(CONCATENATE(INDEX(AF7:AF27,SMALL(IF(ISNUMBER(AC7:AC27),IF(AC7:AC27&gt;0,IF(AF7:AF27&lt;&gt;"",ROW(AC7:AC27)-MIN(ROW(AC7:AC27))+1))),ROW()-ROW(A$30)+1)),"|",TEXT(INDEX(AC7:AC27,SMALL(IF(ISNUMBER(AC7:AC27),IF(AC7:AC27&gt;0,IF(AF7:AF27&lt;&gt;"",ROW(AC7:AC27)-MIN(ROW(AC7:AC27))+1))),ROW()-ROW(A$30)+1)),"##0"),"|",SUBSTITUTE(SUBSTITUTE(INDEX(IF(PURCHASE_DESCRIPTION&lt;&gt;"",PURCHASE_DESCRIPTION&amp;":","")&amp;A7:A27,SMALL(IF(ISNUMBER(AC7:AC27),IF(AC7:AC27&gt;0,IF(AF7:AF27&lt;&gt;"",ROW(AC7:AC27)-MIN(ROW(AC7:AC27))+1))),ROW()-ROW(A$30)+1)),"|",";")," ","_")),"")</f>
        <v>0</v>
      </c>
      <c r="AH44">
        <f t="array" ref="AH44">IFERROR(CONCATENATE(INDEX(AK7:AK27,SMALL(IF(ISNUMBER(AH7:AH27),IF(AH7:AH27&gt;0,IF(AK7:AK27&lt;&gt;"",ROW(AH7:AH27)-MIN(ROW(AH7:AH27))+1))),ROW()-ROW(A$30)+1)),",",TEXT(INDEX(AH7:AH27,SMALL(IF(ISNUMBER(AH7:AH27),IF(AH7:AH27&gt;0,IF(AK7:AK27&lt;&gt;"",ROW(AH7:AH27)-MIN(ROW(AH7:AH27))+1))),ROW()-ROW(A$30)+1)),"##0"),",",SUBSTITUTE(INDEX(IF(PURCHASE_DESCRIPTION&lt;&gt;"",PURCHASE_DESCRIPTION&amp;":","")&amp;A7:A27,SMALL(IF(ISNUMBER(AH7:AH27),IF(AH7:AH27&gt;0,IF(AK7:AK27&lt;&gt;"",ROW(AH7:AH27)-MIN(ROW(AH7:AH27))+1))),ROW()-ROW(A$30)+1)),",",";")),"")</f>
        <v>0</v>
      </c>
      <c r="AM44">
        <f t="array" ref="AM44">IFERROR(CONCATENATE(INDEX(AP7:AP27,SMALL(IF(ISNUMBER(AM7:AM27),IF(AM7:AM27&gt;0,IF(AP7:AP27&lt;&gt;"",ROW(AM7:AM27)-MIN(ROW(AM7:AM27))+1))),ROW()-ROW(A$30)+1))," ",TEXT(INDEX(AM7:AM27,SMALL(IF(ISNUMBER(AM7:AM27),IF(AM7:AM27&gt;0,IF(AP7:AP27&lt;&gt;"",ROW(AM7:AM27)-MIN(ROW(AM7:AM27))+1))),ROW()-ROW(A$30)+1)),"##0")," ",SUBSTITUTE(INDEX(IF(PURCHASE_DESCRIPTION&lt;&gt;"",PURCHASE_DESCRIPTION&amp;":","")&amp;A7:A27,SMALL(IF(ISNUMBER(AM7:AM27),IF(AM7:AM27&gt;0,IF(AP7:AP27&lt;&gt;"",ROW(AM7:AM27)-MIN(ROW(AM7:AM27))+1))),ROW()-ROW(A$30)+1))," ",";")),"")</f>
        <v>0</v>
      </c>
      <c r="AR44">
        <f t="array" ref="AR44">IFERROR(CONCATENATE(INDEX(AU7:AU27,SMALL(IF(ISNUMBER(AR7:AR27),IF(AR7:AR27&gt;0,IF(AU7:AU27&lt;&gt;"",ROW(AR7:AR27)-MIN(ROW(AR7:AR27))+1))),ROW()-ROW(A$30)+1))," ",TEXT(INDEX(AR7:AR27,SMALL(IF(ISNUMBER(AR7:AR27),IF(AR7:AR27&gt;0,IF(AU7:AU27&lt;&gt;"",ROW(AR7:AR27)-MIN(ROW(AR7:AR27))+1))),ROW()-ROW(A$30)+1)),"##0")," ",SUBSTITUTE(INDEX(IF(PURCHASE_DESCRIPTION&lt;&gt;"",PURCHASE_DESCRIPTION&amp;":","")&amp;A7:A27,SMALL(IF(ISNUMBER(AR7:AR27),IF(AR7:AR27&gt;0,IF(AU7:AU27&lt;&gt;"",ROW(AR7:AR27)-MIN(ROW(AR7:AR27))+1))),ROW()-ROW(A$30)+1))," ",";")),"")</f>
        <v>0</v>
      </c>
    </row>
    <row r="45" spans="9:44">
      <c r="I45">
        <f t="array" ref="I45">IFERROR(CONCATENATE(INDEX(L7:L27,SMALL(IF(ISNUMBER(I7:I27),IF(I7:I27&gt;0,IF(L7:L27&lt;&gt;"",ROW(I7:I27)-MIN(ROW(I7:I27))+1))),ROW()-ROW(A$30)+1)),",",TEXT(INDEX(I7:I27,SMALL(IF(ISNUMBER(I7:I27),IF(I7:I27&gt;0,IF(L7:L27&lt;&gt;"",ROW(I7:I27)-MIN(ROW(I7:I27))+1))),ROW()-ROW(A$30)+1)),"##0"),",",SUBSTITUTE(INDEX(IF(PURCHASE_DESCRIPTION&lt;&gt;"",PURCHASE_DESCRIPTION&amp;":","")&amp;A7:A27,SMALL(IF(ISNUMBER(I7:I27),IF(I7:I27&gt;0,IF(L7:L27&lt;&gt;"",ROW(I7:I27)-MIN(ROW(I7:I27))+1))),ROW()-ROW(A$30)+1)),",",";")),"")</f>
        <v>0</v>
      </c>
      <c r="N45">
        <f t="array" ref="N45">IFERROR(CONCATENATE(TEXT(INDEX(N7:N27,SMALL(IF(ISNUMBER(N7:N27),IF(N7:N27&gt;0,IF(Q7:Q27&lt;&gt;"",ROW(N7:N27)-MIN(ROW(N7:N27))+1))),ROW()-ROW(A$30)+1)),"##0"),",",INDEX(Q7:Q27,SMALL(IF(ISNUMBER(N7:N27),IF(N7:N27&gt;0,IF(Q7:Q27&lt;&gt;"",ROW(N7:N27)-MIN(ROW(N7:N27))+1))),ROW()-ROW(A$30)+1)),",",SUBSTITUTE(INDEX(IF(PURCHASE_DESCRIPTION&lt;&gt;"",PURCHASE_DESCRIPTION&amp;":","")&amp;A7:A27,SMALL(IF(ISNUMBER(N7:N27),IF(N7:N27&gt;0,IF(Q7:Q27&lt;&gt;"",ROW(N7:N27)-MIN(ROW(N7:N27))+1))),ROW()-ROW(A$30)+1)),",",";")),"")</f>
        <v>0</v>
      </c>
      <c r="S45">
        <f t="array" ref="S45">IFERROR(CONCATENATE(INDEX(V7:V27,SMALL(IF(ISNUMBER(S7:S27),IF(S7:S27&gt;0,IF(V7:V27&lt;&gt;"",ROW(S7:S27)-MIN(ROW(S7:S27))+1))),ROW()-ROW(A$30)+1))," ",TEXT(INDEX(S7:S27,SMALL(IF(ISNUMBER(S7:S27),IF(S7:S27&gt;0,IF(V7:V27&lt;&gt;"",ROW(S7:S27)-MIN(ROW(S7:S27))+1))),ROW()-ROW(A$30)+1)),"##0")," ",SUBSTITUTE(INDEX(IF(PURCHASE_DESCRIPTION&lt;&gt;"",PURCHASE_DESCRIPTION&amp;":","")&amp;A7:A27,SMALL(IF(ISNUMBER(S7:S27),IF(S7:S27&gt;0,IF(V7:V27&lt;&gt;"",ROW(S7:S27)-MIN(ROW(S7:S27))+1))),ROW()-ROW(A$30)+1))," ",";")),"")</f>
        <v>0</v>
      </c>
      <c r="X45">
        <f t="array" ref="X45">IFERROR(CONCATENATE(TEXT(INDEX(X7:X27,SMALL(IF(ISNUMBER(X7:X27),IF(X7:X27&gt;0,IF(AA7:AA27&lt;&gt;"",ROW(X7:X27)-MIN(ROW(X7:X27))+1))),ROW()-ROW(A$31)+1)),"##0"),",",SUBSTITUTE(INDEX(IF(PURCHASE_DESCRIPTION&lt;&gt;"",PURCHASE_DESCRIPTION&amp;":","")&amp;A7:A27,SMALL(IF(ISNUMBER(X7:X27),IF(X7:X27&gt;0,IF(AA7:AA27&lt;&gt;"",ROW(X7:X27)-MIN(ROW(X7:X27))+1))),ROW()-ROW(A$31)+1)),",",";"),",",SUBSTITUTE(INDEX(IF(PURCHASE_DESCRIPTION&lt;&gt;"",PURCHASE_DESCRIPTION&amp;":","")&amp;C7:C27,SMALL(IF(ISNUMBER(X7:X27),IF(X7:X27&gt;0,IF(AA7:AA27&lt;&gt;"",ROW(X7:X27)-MIN(ROW(X7:X27))+1))),ROW()-ROW(A$31)+1)),",",";"),",",INDEX(AA7:AA27,SMALL(IF(ISNUMBER(X7:X27),IF(X7:X27&gt;0,IF(AA7:AA27&lt;&gt;"",ROW(X7:X27)-MIN(ROW(X7:X27))+1))),ROW()-ROW(A$31)+1))),"")</f>
        <v>0</v>
      </c>
      <c r="AC45">
        <f t="array" ref="AC45">IFERROR(CONCATENATE(INDEX(AF7:AF27,SMALL(IF(ISNUMBER(AC7:AC27),IF(AC7:AC27&gt;0,IF(AF7:AF27&lt;&gt;"",ROW(AC7:AC27)-MIN(ROW(AC7:AC27))+1))),ROW()-ROW(A$30)+1)),"|",TEXT(INDEX(AC7:AC27,SMALL(IF(ISNUMBER(AC7:AC27),IF(AC7:AC27&gt;0,IF(AF7:AF27&lt;&gt;"",ROW(AC7:AC27)-MIN(ROW(AC7:AC27))+1))),ROW()-ROW(A$30)+1)),"##0"),"|",SUBSTITUTE(SUBSTITUTE(INDEX(IF(PURCHASE_DESCRIPTION&lt;&gt;"",PURCHASE_DESCRIPTION&amp;":","")&amp;A7:A27,SMALL(IF(ISNUMBER(AC7:AC27),IF(AC7:AC27&gt;0,IF(AF7:AF27&lt;&gt;"",ROW(AC7:AC27)-MIN(ROW(AC7:AC27))+1))),ROW()-ROW(A$30)+1)),"|",";")," ","_")),"")</f>
        <v>0</v>
      </c>
      <c r="AH45">
        <f t="array" ref="AH45">IFERROR(CONCATENATE(INDEX(AK7:AK27,SMALL(IF(ISNUMBER(AH7:AH27),IF(AH7:AH27&gt;0,IF(AK7:AK27&lt;&gt;"",ROW(AH7:AH27)-MIN(ROW(AH7:AH27))+1))),ROW()-ROW(A$30)+1)),",",TEXT(INDEX(AH7:AH27,SMALL(IF(ISNUMBER(AH7:AH27),IF(AH7:AH27&gt;0,IF(AK7:AK27&lt;&gt;"",ROW(AH7:AH27)-MIN(ROW(AH7:AH27))+1))),ROW()-ROW(A$30)+1)),"##0"),",",SUBSTITUTE(INDEX(IF(PURCHASE_DESCRIPTION&lt;&gt;"",PURCHASE_DESCRIPTION&amp;":","")&amp;A7:A27,SMALL(IF(ISNUMBER(AH7:AH27),IF(AH7:AH27&gt;0,IF(AK7:AK27&lt;&gt;"",ROW(AH7:AH27)-MIN(ROW(AH7:AH27))+1))),ROW()-ROW(A$30)+1)),",",";")),"")</f>
        <v>0</v>
      </c>
      <c r="AM45">
        <f t="array" ref="AM45">IFERROR(CONCATENATE(INDEX(AP7:AP27,SMALL(IF(ISNUMBER(AM7:AM27),IF(AM7:AM27&gt;0,IF(AP7:AP27&lt;&gt;"",ROW(AM7:AM27)-MIN(ROW(AM7:AM27))+1))),ROW()-ROW(A$30)+1))," ",TEXT(INDEX(AM7:AM27,SMALL(IF(ISNUMBER(AM7:AM27),IF(AM7:AM27&gt;0,IF(AP7:AP27&lt;&gt;"",ROW(AM7:AM27)-MIN(ROW(AM7:AM27))+1))),ROW()-ROW(A$30)+1)),"##0")," ",SUBSTITUTE(INDEX(IF(PURCHASE_DESCRIPTION&lt;&gt;"",PURCHASE_DESCRIPTION&amp;":","")&amp;A7:A27,SMALL(IF(ISNUMBER(AM7:AM27),IF(AM7:AM27&gt;0,IF(AP7:AP27&lt;&gt;"",ROW(AM7:AM27)-MIN(ROW(AM7:AM27))+1))),ROW()-ROW(A$30)+1))," ",";")),"")</f>
        <v>0</v>
      </c>
      <c r="AR45">
        <f t="array" ref="AR45">IFERROR(CONCATENATE(INDEX(AU7:AU27,SMALL(IF(ISNUMBER(AR7:AR27),IF(AR7:AR27&gt;0,IF(AU7:AU27&lt;&gt;"",ROW(AR7:AR27)-MIN(ROW(AR7:AR27))+1))),ROW()-ROW(A$30)+1))," ",TEXT(INDEX(AR7:AR27,SMALL(IF(ISNUMBER(AR7:AR27),IF(AR7:AR27&gt;0,IF(AU7:AU27&lt;&gt;"",ROW(AR7:AR27)-MIN(ROW(AR7:AR27))+1))),ROW()-ROW(A$30)+1)),"##0")," ",SUBSTITUTE(INDEX(IF(PURCHASE_DESCRIPTION&lt;&gt;"",PURCHASE_DESCRIPTION&amp;":","")&amp;A7:A27,SMALL(IF(ISNUMBER(AR7:AR27),IF(AR7:AR27&gt;0,IF(AU7:AU27&lt;&gt;"",ROW(AR7:AR27)-MIN(ROW(AR7:AR27))+1))),ROW()-ROW(A$30)+1))," ",";")),"")</f>
        <v>0</v>
      </c>
    </row>
    <row r="46" spans="9:44">
      <c r="I46">
        <f t="array" ref="I46">IFERROR(CONCATENATE(INDEX(L7:L27,SMALL(IF(ISNUMBER(I7:I27),IF(I7:I27&gt;0,IF(L7:L27&lt;&gt;"",ROW(I7:I27)-MIN(ROW(I7:I27))+1))),ROW()-ROW(A$30)+1)),",",TEXT(INDEX(I7:I27,SMALL(IF(ISNUMBER(I7:I27),IF(I7:I27&gt;0,IF(L7:L27&lt;&gt;"",ROW(I7:I27)-MIN(ROW(I7:I27))+1))),ROW()-ROW(A$30)+1)),"##0"),",",SUBSTITUTE(INDEX(IF(PURCHASE_DESCRIPTION&lt;&gt;"",PURCHASE_DESCRIPTION&amp;":","")&amp;A7:A27,SMALL(IF(ISNUMBER(I7:I27),IF(I7:I27&gt;0,IF(L7:L27&lt;&gt;"",ROW(I7:I27)-MIN(ROW(I7:I27))+1))),ROW()-ROW(A$30)+1)),",",";")),"")</f>
        <v>0</v>
      </c>
      <c r="N46">
        <f t="array" ref="N46">IFERROR(CONCATENATE(TEXT(INDEX(N7:N27,SMALL(IF(ISNUMBER(N7:N27),IF(N7:N27&gt;0,IF(Q7:Q27&lt;&gt;"",ROW(N7:N27)-MIN(ROW(N7:N27))+1))),ROW()-ROW(A$30)+1)),"##0"),",",INDEX(Q7:Q27,SMALL(IF(ISNUMBER(N7:N27),IF(N7:N27&gt;0,IF(Q7:Q27&lt;&gt;"",ROW(N7:N27)-MIN(ROW(N7:N27))+1))),ROW()-ROW(A$30)+1)),",",SUBSTITUTE(INDEX(IF(PURCHASE_DESCRIPTION&lt;&gt;"",PURCHASE_DESCRIPTION&amp;":","")&amp;A7:A27,SMALL(IF(ISNUMBER(N7:N27),IF(N7:N27&gt;0,IF(Q7:Q27&lt;&gt;"",ROW(N7:N27)-MIN(ROW(N7:N27))+1))),ROW()-ROW(A$30)+1)),",",";")),"")</f>
        <v>0</v>
      </c>
      <c r="S46">
        <f t="array" ref="S46">IFERROR(CONCATENATE(INDEX(V7:V27,SMALL(IF(ISNUMBER(S7:S27),IF(S7:S27&gt;0,IF(V7:V27&lt;&gt;"",ROW(S7:S27)-MIN(ROW(S7:S27))+1))),ROW()-ROW(A$30)+1))," ",TEXT(INDEX(S7:S27,SMALL(IF(ISNUMBER(S7:S27),IF(S7:S27&gt;0,IF(V7:V27&lt;&gt;"",ROW(S7:S27)-MIN(ROW(S7:S27))+1))),ROW()-ROW(A$30)+1)),"##0")," ",SUBSTITUTE(INDEX(IF(PURCHASE_DESCRIPTION&lt;&gt;"",PURCHASE_DESCRIPTION&amp;":","")&amp;A7:A27,SMALL(IF(ISNUMBER(S7:S27),IF(S7:S27&gt;0,IF(V7:V27&lt;&gt;"",ROW(S7:S27)-MIN(ROW(S7:S27))+1))),ROW()-ROW(A$30)+1))," ",";")),"")</f>
        <v>0</v>
      </c>
      <c r="X46">
        <f t="array" ref="X46">IFERROR(CONCATENATE(TEXT(INDEX(X7:X27,SMALL(IF(ISNUMBER(X7:X27),IF(X7:X27&gt;0,IF(AA7:AA27&lt;&gt;"",ROW(X7:X27)-MIN(ROW(X7:X27))+1))),ROW()-ROW(A$31)+1)),"##0"),",",SUBSTITUTE(INDEX(IF(PURCHASE_DESCRIPTION&lt;&gt;"",PURCHASE_DESCRIPTION&amp;":","")&amp;A7:A27,SMALL(IF(ISNUMBER(X7:X27),IF(X7:X27&gt;0,IF(AA7:AA27&lt;&gt;"",ROW(X7:X27)-MIN(ROW(X7:X27))+1))),ROW()-ROW(A$31)+1)),",",";"),",",SUBSTITUTE(INDEX(IF(PURCHASE_DESCRIPTION&lt;&gt;"",PURCHASE_DESCRIPTION&amp;":","")&amp;C7:C27,SMALL(IF(ISNUMBER(X7:X27),IF(X7:X27&gt;0,IF(AA7:AA27&lt;&gt;"",ROW(X7:X27)-MIN(ROW(X7:X27))+1))),ROW()-ROW(A$31)+1)),",",";"),",",INDEX(AA7:AA27,SMALL(IF(ISNUMBER(X7:X27),IF(X7:X27&gt;0,IF(AA7:AA27&lt;&gt;"",ROW(X7:X27)-MIN(ROW(X7:X27))+1))),ROW()-ROW(A$31)+1))),"")</f>
        <v>0</v>
      </c>
      <c r="AC46">
        <f t="array" ref="AC46">IFERROR(CONCATENATE(INDEX(AF7:AF27,SMALL(IF(ISNUMBER(AC7:AC27),IF(AC7:AC27&gt;0,IF(AF7:AF27&lt;&gt;"",ROW(AC7:AC27)-MIN(ROW(AC7:AC27))+1))),ROW()-ROW(A$30)+1)),"|",TEXT(INDEX(AC7:AC27,SMALL(IF(ISNUMBER(AC7:AC27),IF(AC7:AC27&gt;0,IF(AF7:AF27&lt;&gt;"",ROW(AC7:AC27)-MIN(ROW(AC7:AC27))+1))),ROW()-ROW(A$30)+1)),"##0"),"|",SUBSTITUTE(SUBSTITUTE(INDEX(IF(PURCHASE_DESCRIPTION&lt;&gt;"",PURCHASE_DESCRIPTION&amp;":","")&amp;A7:A27,SMALL(IF(ISNUMBER(AC7:AC27),IF(AC7:AC27&gt;0,IF(AF7:AF27&lt;&gt;"",ROW(AC7:AC27)-MIN(ROW(AC7:AC27))+1))),ROW()-ROW(A$30)+1)),"|",";")," ","_")),"")</f>
        <v>0</v>
      </c>
      <c r="AH46">
        <f t="array" ref="AH46">IFERROR(CONCATENATE(INDEX(AK7:AK27,SMALL(IF(ISNUMBER(AH7:AH27),IF(AH7:AH27&gt;0,IF(AK7:AK27&lt;&gt;"",ROW(AH7:AH27)-MIN(ROW(AH7:AH27))+1))),ROW()-ROW(A$30)+1)),",",TEXT(INDEX(AH7:AH27,SMALL(IF(ISNUMBER(AH7:AH27),IF(AH7:AH27&gt;0,IF(AK7:AK27&lt;&gt;"",ROW(AH7:AH27)-MIN(ROW(AH7:AH27))+1))),ROW()-ROW(A$30)+1)),"##0"),",",SUBSTITUTE(INDEX(IF(PURCHASE_DESCRIPTION&lt;&gt;"",PURCHASE_DESCRIPTION&amp;":","")&amp;A7:A27,SMALL(IF(ISNUMBER(AH7:AH27),IF(AH7:AH27&gt;0,IF(AK7:AK27&lt;&gt;"",ROW(AH7:AH27)-MIN(ROW(AH7:AH27))+1))),ROW()-ROW(A$30)+1)),",",";")),"")</f>
        <v>0</v>
      </c>
      <c r="AM46">
        <f t="array" ref="AM46">IFERROR(CONCATENATE(INDEX(AP7:AP27,SMALL(IF(ISNUMBER(AM7:AM27),IF(AM7:AM27&gt;0,IF(AP7:AP27&lt;&gt;"",ROW(AM7:AM27)-MIN(ROW(AM7:AM27))+1))),ROW()-ROW(A$30)+1))," ",TEXT(INDEX(AM7:AM27,SMALL(IF(ISNUMBER(AM7:AM27),IF(AM7:AM27&gt;0,IF(AP7:AP27&lt;&gt;"",ROW(AM7:AM27)-MIN(ROW(AM7:AM27))+1))),ROW()-ROW(A$30)+1)),"##0")," ",SUBSTITUTE(INDEX(IF(PURCHASE_DESCRIPTION&lt;&gt;"",PURCHASE_DESCRIPTION&amp;":","")&amp;A7:A27,SMALL(IF(ISNUMBER(AM7:AM27),IF(AM7:AM27&gt;0,IF(AP7:AP27&lt;&gt;"",ROW(AM7:AM27)-MIN(ROW(AM7:AM27))+1))),ROW()-ROW(A$30)+1))," ",";")),"")</f>
        <v>0</v>
      </c>
      <c r="AR46">
        <f t="array" ref="AR46">IFERROR(CONCATENATE(INDEX(AU7:AU27,SMALL(IF(ISNUMBER(AR7:AR27),IF(AR7:AR27&gt;0,IF(AU7:AU27&lt;&gt;"",ROW(AR7:AR27)-MIN(ROW(AR7:AR27))+1))),ROW()-ROW(A$30)+1))," ",TEXT(INDEX(AR7:AR27,SMALL(IF(ISNUMBER(AR7:AR27),IF(AR7:AR27&gt;0,IF(AU7:AU27&lt;&gt;"",ROW(AR7:AR27)-MIN(ROW(AR7:AR27))+1))),ROW()-ROW(A$30)+1)),"##0")," ",SUBSTITUTE(INDEX(IF(PURCHASE_DESCRIPTION&lt;&gt;"",PURCHASE_DESCRIPTION&amp;":","")&amp;A7:A27,SMALL(IF(ISNUMBER(AR7:AR27),IF(AR7:AR27&gt;0,IF(AU7:AU27&lt;&gt;"",ROW(AR7:AR27)-MIN(ROW(AR7:AR27))+1))),ROW()-ROW(A$30)+1))," ",";")),"")</f>
        <v>0</v>
      </c>
    </row>
    <row r="47" spans="9:44">
      <c r="I47">
        <f t="array" ref="I47">IFERROR(CONCATENATE(INDEX(L7:L27,SMALL(IF(ISNUMBER(I7:I27),IF(I7:I27&gt;0,IF(L7:L27&lt;&gt;"",ROW(I7:I27)-MIN(ROW(I7:I27))+1))),ROW()-ROW(A$30)+1)),",",TEXT(INDEX(I7:I27,SMALL(IF(ISNUMBER(I7:I27),IF(I7:I27&gt;0,IF(L7:L27&lt;&gt;"",ROW(I7:I27)-MIN(ROW(I7:I27))+1))),ROW()-ROW(A$30)+1)),"##0"),",",SUBSTITUTE(INDEX(IF(PURCHASE_DESCRIPTION&lt;&gt;"",PURCHASE_DESCRIPTION&amp;":","")&amp;A7:A27,SMALL(IF(ISNUMBER(I7:I27),IF(I7:I27&gt;0,IF(L7:L27&lt;&gt;"",ROW(I7:I27)-MIN(ROW(I7:I27))+1))),ROW()-ROW(A$30)+1)),",",";")),"")</f>
        <v>0</v>
      </c>
      <c r="N47">
        <f t="array" ref="N47">IFERROR(CONCATENATE(TEXT(INDEX(N7:N27,SMALL(IF(ISNUMBER(N7:N27),IF(N7:N27&gt;0,IF(Q7:Q27&lt;&gt;"",ROW(N7:N27)-MIN(ROW(N7:N27))+1))),ROW()-ROW(A$30)+1)),"##0"),",",INDEX(Q7:Q27,SMALL(IF(ISNUMBER(N7:N27),IF(N7:N27&gt;0,IF(Q7:Q27&lt;&gt;"",ROW(N7:N27)-MIN(ROW(N7:N27))+1))),ROW()-ROW(A$30)+1)),",",SUBSTITUTE(INDEX(IF(PURCHASE_DESCRIPTION&lt;&gt;"",PURCHASE_DESCRIPTION&amp;":","")&amp;A7:A27,SMALL(IF(ISNUMBER(N7:N27),IF(N7:N27&gt;0,IF(Q7:Q27&lt;&gt;"",ROW(N7:N27)-MIN(ROW(N7:N27))+1))),ROW()-ROW(A$30)+1)),",",";")),"")</f>
        <v>0</v>
      </c>
      <c r="S47">
        <f t="array" ref="S47">IFERROR(CONCATENATE(INDEX(V7:V27,SMALL(IF(ISNUMBER(S7:S27),IF(S7:S27&gt;0,IF(V7:V27&lt;&gt;"",ROW(S7:S27)-MIN(ROW(S7:S27))+1))),ROW()-ROW(A$30)+1))," ",TEXT(INDEX(S7:S27,SMALL(IF(ISNUMBER(S7:S27),IF(S7:S27&gt;0,IF(V7:V27&lt;&gt;"",ROW(S7:S27)-MIN(ROW(S7:S27))+1))),ROW()-ROW(A$30)+1)),"##0")," ",SUBSTITUTE(INDEX(IF(PURCHASE_DESCRIPTION&lt;&gt;"",PURCHASE_DESCRIPTION&amp;":","")&amp;A7:A27,SMALL(IF(ISNUMBER(S7:S27),IF(S7:S27&gt;0,IF(V7:V27&lt;&gt;"",ROW(S7:S27)-MIN(ROW(S7:S27))+1))),ROW()-ROW(A$30)+1))," ",";")),"")</f>
        <v>0</v>
      </c>
      <c r="X47">
        <f t="array" ref="X47">IFERROR(CONCATENATE(TEXT(INDEX(X7:X27,SMALL(IF(ISNUMBER(X7:X27),IF(X7:X27&gt;0,IF(AA7:AA27&lt;&gt;"",ROW(X7:X27)-MIN(ROW(X7:X27))+1))),ROW()-ROW(A$31)+1)),"##0"),",",SUBSTITUTE(INDEX(IF(PURCHASE_DESCRIPTION&lt;&gt;"",PURCHASE_DESCRIPTION&amp;":","")&amp;A7:A27,SMALL(IF(ISNUMBER(X7:X27),IF(X7:X27&gt;0,IF(AA7:AA27&lt;&gt;"",ROW(X7:X27)-MIN(ROW(X7:X27))+1))),ROW()-ROW(A$31)+1)),",",";"),",",SUBSTITUTE(INDEX(IF(PURCHASE_DESCRIPTION&lt;&gt;"",PURCHASE_DESCRIPTION&amp;":","")&amp;C7:C27,SMALL(IF(ISNUMBER(X7:X27),IF(X7:X27&gt;0,IF(AA7:AA27&lt;&gt;"",ROW(X7:X27)-MIN(ROW(X7:X27))+1))),ROW()-ROW(A$31)+1)),",",";"),",",INDEX(AA7:AA27,SMALL(IF(ISNUMBER(X7:X27),IF(X7:X27&gt;0,IF(AA7:AA27&lt;&gt;"",ROW(X7:X27)-MIN(ROW(X7:X27))+1))),ROW()-ROW(A$31)+1))),"")</f>
        <v>0</v>
      </c>
      <c r="AC47">
        <f t="array" ref="AC47">IFERROR(CONCATENATE(INDEX(AF7:AF27,SMALL(IF(ISNUMBER(AC7:AC27),IF(AC7:AC27&gt;0,IF(AF7:AF27&lt;&gt;"",ROW(AC7:AC27)-MIN(ROW(AC7:AC27))+1))),ROW()-ROW(A$30)+1)),"|",TEXT(INDEX(AC7:AC27,SMALL(IF(ISNUMBER(AC7:AC27),IF(AC7:AC27&gt;0,IF(AF7:AF27&lt;&gt;"",ROW(AC7:AC27)-MIN(ROW(AC7:AC27))+1))),ROW()-ROW(A$30)+1)),"##0"),"|",SUBSTITUTE(SUBSTITUTE(INDEX(IF(PURCHASE_DESCRIPTION&lt;&gt;"",PURCHASE_DESCRIPTION&amp;":","")&amp;A7:A27,SMALL(IF(ISNUMBER(AC7:AC27),IF(AC7:AC27&gt;0,IF(AF7:AF27&lt;&gt;"",ROW(AC7:AC27)-MIN(ROW(AC7:AC27))+1))),ROW()-ROW(A$30)+1)),"|",";")," ","_")),"")</f>
        <v>0</v>
      </c>
      <c r="AH47">
        <f t="array" ref="AH47">IFERROR(CONCATENATE(INDEX(AK7:AK27,SMALL(IF(ISNUMBER(AH7:AH27),IF(AH7:AH27&gt;0,IF(AK7:AK27&lt;&gt;"",ROW(AH7:AH27)-MIN(ROW(AH7:AH27))+1))),ROW()-ROW(A$30)+1)),",",TEXT(INDEX(AH7:AH27,SMALL(IF(ISNUMBER(AH7:AH27),IF(AH7:AH27&gt;0,IF(AK7:AK27&lt;&gt;"",ROW(AH7:AH27)-MIN(ROW(AH7:AH27))+1))),ROW()-ROW(A$30)+1)),"##0"),",",SUBSTITUTE(INDEX(IF(PURCHASE_DESCRIPTION&lt;&gt;"",PURCHASE_DESCRIPTION&amp;":","")&amp;A7:A27,SMALL(IF(ISNUMBER(AH7:AH27),IF(AH7:AH27&gt;0,IF(AK7:AK27&lt;&gt;"",ROW(AH7:AH27)-MIN(ROW(AH7:AH27))+1))),ROW()-ROW(A$30)+1)),",",";")),"")</f>
        <v>0</v>
      </c>
      <c r="AM47">
        <f t="array" ref="AM47">IFERROR(CONCATENATE(INDEX(AP7:AP27,SMALL(IF(ISNUMBER(AM7:AM27),IF(AM7:AM27&gt;0,IF(AP7:AP27&lt;&gt;"",ROW(AM7:AM27)-MIN(ROW(AM7:AM27))+1))),ROW()-ROW(A$30)+1))," ",TEXT(INDEX(AM7:AM27,SMALL(IF(ISNUMBER(AM7:AM27),IF(AM7:AM27&gt;0,IF(AP7:AP27&lt;&gt;"",ROW(AM7:AM27)-MIN(ROW(AM7:AM27))+1))),ROW()-ROW(A$30)+1)),"##0")," ",SUBSTITUTE(INDEX(IF(PURCHASE_DESCRIPTION&lt;&gt;"",PURCHASE_DESCRIPTION&amp;":","")&amp;A7:A27,SMALL(IF(ISNUMBER(AM7:AM27),IF(AM7:AM27&gt;0,IF(AP7:AP27&lt;&gt;"",ROW(AM7:AM27)-MIN(ROW(AM7:AM27))+1))),ROW()-ROW(A$30)+1))," ",";")),"")</f>
        <v>0</v>
      </c>
      <c r="AR47">
        <f t="array" ref="AR47">IFERROR(CONCATENATE(INDEX(AU7:AU27,SMALL(IF(ISNUMBER(AR7:AR27),IF(AR7:AR27&gt;0,IF(AU7:AU27&lt;&gt;"",ROW(AR7:AR27)-MIN(ROW(AR7:AR27))+1))),ROW()-ROW(A$30)+1))," ",TEXT(INDEX(AR7:AR27,SMALL(IF(ISNUMBER(AR7:AR27),IF(AR7:AR27&gt;0,IF(AU7:AU27&lt;&gt;"",ROW(AR7:AR27)-MIN(ROW(AR7:AR27))+1))),ROW()-ROW(A$30)+1)),"##0")," ",SUBSTITUTE(INDEX(IF(PURCHASE_DESCRIPTION&lt;&gt;"",PURCHASE_DESCRIPTION&amp;":","")&amp;A7:A27,SMALL(IF(ISNUMBER(AR7:AR27),IF(AR7:AR27&gt;0,IF(AU7:AU27&lt;&gt;"",ROW(AR7:AR27)-MIN(ROW(AR7:AR27))+1))),ROW()-ROW(A$30)+1))," ",";")),"")</f>
        <v>0</v>
      </c>
    </row>
    <row r="48" spans="9:44">
      <c r="I48">
        <f t="array" ref="I48">IFERROR(CONCATENATE(INDEX(L7:L27,SMALL(IF(ISNUMBER(I7:I27),IF(I7:I27&gt;0,IF(L7:L27&lt;&gt;"",ROW(I7:I27)-MIN(ROW(I7:I27))+1))),ROW()-ROW(A$30)+1)),",",TEXT(INDEX(I7:I27,SMALL(IF(ISNUMBER(I7:I27),IF(I7:I27&gt;0,IF(L7:L27&lt;&gt;"",ROW(I7:I27)-MIN(ROW(I7:I27))+1))),ROW()-ROW(A$30)+1)),"##0"),",",SUBSTITUTE(INDEX(IF(PURCHASE_DESCRIPTION&lt;&gt;"",PURCHASE_DESCRIPTION&amp;":","")&amp;A7:A27,SMALL(IF(ISNUMBER(I7:I27),IF(I7:I27&gt;0,IF(L7:L27&lt;&gt;"",ROW(I7:I27)-MIN(ROW(I7:I27))+1))),ROW()-ROW(A$30)+1)),",",";")),"")</f>
        <v>0</v>
      </c>
      <c r="N48">
        <f t="array" ref="N48">IFERROR(CONCATENATE(TEXT(INDEX(N7:N27,SMALL(IF(ISNUMBER(N7:N27),IF(N7:N27&gt;0,IF(Q7:Q27&lt;&gt;"",ROW(N7:N27)-MIN(ROW(N7:N27))+1))),ROW()-ROW(A$30)+1)),"##0"),",",INDEX(Q7:Q27,SMALL(IF(ISNUMBER(N7:N27),IF(N7:N27&gt;0,IF(Q7:Q27&lt;&gt;"",ROW(N7:N27)-MIN(ROW(N7:N27))+1))),ROW()-ROW(A$30)+1)),",",SUBSTITUTE(INDEX(IF(PURCHASE_DESCRIPTION&lt;&gt;"",PURCHASE_DESCRIPTION&amp;":","")&amp;A7:A27,SMALL(IF(ISNUMBER(N7:N27),IF(N7:N27&gt;0,IF(Q7:Q27&lt;&gt;"",ROW(N7:N27)-MIN(ROW(N7:N27))+1))),ROW()-ROW(A$30)+1)),",",";")),"")</f>
        <v>0</v>
      </c>
      <c r="S48">
        <f t="array" ref="S48">IFERROR(CONCATENATE(INDEX(V7:V27,SMALL(IF(ISNUMBER(S7:S27),IF(S7:S27&gt;0,IF(V7:V27&lt;&gt;"",ROW(S7:S27)-MIN(ROW(S7:S27))+1))),ROW()-ROW(A$30)+1))," ",TEXT(INDEX(S7:S27,SMALL(IF(ISNUMBER(S7:S27),IF(S7:S27&gt;0,IF(V7:V27&lt;&gt;"",ROW(S7:S27)-MIN(ROW(S7:S27))+1))),ROW()-ROW(A$30)+1)),"##0")," ",SUBSTITUTE(INDEX(IF(PURCHASE_DESCRIPTION&lt;&gt;"",PURCHASE_DESCRIPTION&amp;":","")&amp;A7:A27,SMALL(IF(ISNUMBER(S7:S27),IF(S7:S27&gt;0,IF(V7:V27&lt;&gt;"",ROW(S7:S27)-MIN(ROW(S7:S27))+1))),ROW()-ROW(A$30)+1))," ",";")),"")</f>
        <v>0</v>
      </c>
      <c r="X48">
        <f t="array" ref="X48">IFERROR(CONCATENATE(TEXT(INDEX(X7:X27,SMALL(IF(ISNUMBER(X7:X27),IF(X7:X27&gt;0,IF(AA7:AA27&lt;&gt;"",ROW(X7:X27)-MIN(ROW(X7:X27))+1))),ROW()-ROW(A$31)+1)),"##0"),",",SUBSTITUTE(INDEX(IF(PURCHASE_DESCRIPTION&lt;&gt;"",PURCHASE_DESCRIPTION&amp;":","")&amp;A7:A27,SMALL(IF(ISNUMBER(X7:X27),IF(X7:X27&gt;0,IF(AA7:AA27&lt;&gt;"",ROW(X7:X27)-MIN(ROW(X7:X27))+1))),ROW()-ROW(A$31)+1)),",",";"),",",SUBSTITUTE(INDEX(IF(PURCHASE_DESCRIPTION&lt;&gt;"",PURCHASE_DESCRIPTION&amp;":","")&amp;C7:C27,SMALL(IF(ISNUMBER(X7:X27),IF(X7:X27&gt;0,IF(AA7:AA27&lt;&gt;"",ROW(X7:X27)-MIN(ROW(X7:X27))+1))),ROW()-ROW(A$31)+1)),",",";"),",",INDEX(AA7:AA27,SMALL(IF(ISNUMBER(X7:X27),IF(X7:X27&gt;0,IF(AA7:AA27&lt;&gt;"",ROW(X7:X27)-MIN(ROW(X7:X27))+1))),ROW()-ROW(A$31)+1))),"")</f>
        <v>0</v>
      </c>
      <c r="AC48">
        <f t="array" ref="AC48">IFERROR(CONCATENATE(INDEX(AF7:AF27,SMALL(IF(ISNUMBER(AC7:AC27),IF(AC7:AC27&gt;0,IF(AF7:AF27&lt;&gt;"",ROW(AC7:AC27)-MIN(ROW(AC7:AC27))+1))),ROW()-ROW(A$30)+1)),"|",TEXT(INDEX(AC7:AC27,SMALL(IF(ISNUMBER(AC7:AC27),IF(AC7:AC27&gt;0,IF(AF7:AF27&lt;&gt;"",ROW(AC7:AC27)-MIN(ROW(AC7:AC27))+1))),ROW()-ROW(A$30)+1)),"##0"),"|",SUBSTITUTE(SUBSTITUTE(INDEX(IF(PURCHASE_DESCRIPTION&lt;&gt;"",PURCHASE_DESCRIPTION&amp;":","")&amp;A7:A27,SMALL(IF(ISNUMBER(AC7:AC27),IF(AC7:AC27&gt;0,IF(AF7:AF27&lt;&gt;"",ROW(AC7:AC27)-MIN(ROW(AC7:AC27))+1))),ROW()-ROW(A$30)+1)),"|",";")," ","_")),"")</f>
        <v>0</v>
      </c>
      <c r="AH48">
        <f t="array" ref="AH48">IFERROR(CONCATENATE(INDEX(AK7:AK27,SMALL(IF(ISNUMBER(AH7:AH27),IF(AH7:AH27&gt;0,IF(AK7:AK27&lt;&gt;"",ROW(AH7:AH27)-MIN(ROW(AH7:AH27))+1))),ROW()-ROW(A$30)+1)),",",TEXT(INDEX(AH7:AH27,SMALL(IF(ISNUMBER(AH7:AH27),IF(AH7:AH27&gt;0,IF(AK7:AK27&lt;&gt;"",ROW(AH7:AH27)-MIN(ROW(AH7:AH27))+1))),ROW()-ROW(A$30)+1)),"##0"),",",SUBSTITUTE(INDEX(IF(PURCHASE_DESCRIPTION&lt;&gt;"",PURCHASE_DESCRIPTION&amp;":","")&amp;A7:A27,SMALL(IF(ISNUMBER(AH7:AH27),IF(AH7:AH27&gt;0,IF(AK7:AK27&lt;&gt;"",ROW(AH7:AH27)-MIN(ROW(AH7:AH27))+1))),ROW()-ROW(A$30)+1)),",",";")),"")</f>
        <v>0</v>
      </c>
      <c r="AM48">
        <f t="array" ref="AM48">IFERROR(CONCATENATE(INDEX(AP7:AP27,SMALL(IF(ISNUMBER(AM7:AM27),IF(AM7:AM27&gt;0,IF(AP7:AP27&lt;&gt;"",ROW(AM7:AM27)-MIN(ROW(AM7:AM27))+1))),ROW()-ROW(A$30)+1))," ",TEXT(INDEX(AM7:AM27,SMALL(IF(ISNUMBER(AM7:AM27),IF(AM7:AM27&gt;0,IF(AP7:AP27&lt;&gt;"",ROW(AM7:AM27)-MIN(ROW(AM7:AM27))+1))),ROW()-ROW(A$30)+1)),"##0")," ",SUBSTITUTE(INDEX(IF(PURCHASE_DESCRIPTION&lt;&gt;"",PURCHASE_DESCRIPTION&amp;":","")&amp;A7:A27,SMALL(IF(ISNUMBER(AM7:AM27),IF(AM7:AM27&gt;0,IF(AP7:AP27&lt;&gt;"",ROW(AM7:AM27)-MIN(ROW(AM7:AM27))+1))),ROW()-ROW(A$30)+1))," ",";")),"")</f>
        <v>0</v>
      </c>
      <c r="AR48">
        <f t="array" ref="AR48">IFERROR(CONCATENATE(INDEX(AU7:AU27,SMALL(IF(ISNUMBER(AR7:AR27),IF(AR7:AR27&gt;0,IF(AU7:AU27&lt;&gt;"",ROW(AR7:AR27)-MIN(ROW(AR7:AR27))+1))),ROW()-ROW(A$30)+1))," ",TEXT(INDEX(AR7:AR27,SMALL(IF(ISNUMBER(AR7:AR27),IF(AR7:AR27&gt;0,IF(AU7:AU27&lt;&gt;"",ROW(AR7:AR27)-MIN(ROW(AR7:AR27))+1))),ROW()-ROW(A$30)+1)),"##0")," ",SUBSTITUTE(INDEX(IF(PURCHASE_DESCRIPTION&lt;&gt;"",PURCHASE_DESCRIPTION&amp;":","")&amp;A7:A27,SMALL(IF(ISNUMBER(AR7:AR27),IF(AR7:AR27&gt;0,IF(AU7:AU27&lt;&gt;"",ROW(AR7:AR27)-MIN(ROW(AR7:AR27))+1))),ROW()-ROW(A$30)+1))," ",";")),"")</f>
        <v>0</v>
      </c>
    </row>
    <row r="49" spans="9:44">
      <c r="I49">
        <f t="array" ref="I49">IFERROR(CONCATENATE(INDEX(L7:L27,SMALL(IF(ISNUMBER(I7:I27),IF(I7:I27&gt;0,IF(L7:L27&lt;&gt;"",ROW(I7:I27)-MIN(ROW(I7:I27))+1))),ROW()-ROW(A$30)+1)),",",TEXT(INDEX(I7:I27,SMALL(IF(ISNUMBER(I7:I27),IF(I7:I27&gt;0,IF(L7:L27&lt;&gt;"",ROW(I7:I27)-MIN(ROW(I7:I27))+1))),ROW()-ROW(A$30)+1)),"##0"),",",SUBSTITUTE(INDEX(IF(PURCHASE_DESCRIPTION&lt;&gt;"",PURCHASE_DESCRIPTION&amp;":","")&amp;A7:A27,SMALL(IF(ISNUMBER(I7:I27),IF(I7:I27&gt;0,IF(L7:L27&lt;&gt;"",ROW(I7:I27)-MIN(ROW(I7:I27))+1))),ROW()-ROW(A$30)+1)),",",";")),"")</f>
        <v>0</v>
      </c>
      <c r="N49">
        <f t="array" ref="N49">IFERROR(CONCATENATE(TEXT(INDEX(N7:N27,SMALL(IF(ISNUMBER(N7:N27),IF(N7:N27&gt;0,IF(Q7:Q27&lt;&gt;"",ROW(N7:N27)-MIN(ROW(N7:N27))+1))),ROW()-ROW(A$30)+1)),"##0"),",",INDEX(Q7:Q27,SMALL(IF(ISNUMBER(N7:N27),IF(N7:N27&gt;0,IF(Q7:Q27&lt;&gt;"",ROW(N7:N27)-MIN(ROW(N7:N27))+1))),ROW()-ROW(A$30)+1)),",",SUBSTITUTE(INDEX(IF(PURCHASE_DESCRIPTION&lt;&gt;"",PURCHASE_DESCRIPTION&amp;":","")&amp;A7:A27,SMALL(IF(ISNUMBER(N7:N27),IF(N7:N27&gt;0,IF(Q7:Q27&lt;&gt;"",ROW(N7:N27)-MIN(ROW(N7:N27))+1))),ROW()-ROW(A$30)+1)),",",";")),"")</f>
        <v>0</v>
      </c>
      <c r="S49">
        <f t="array" ref="S49">IFERROR(CONCATENATE(INDEX(V7:V27,SMALL(IF(ISNUMBER(S7:S27),IF(S7:S27&gt;0,IF(V7:V27&lt;&gt;"",ROW(S7:S27)-MIN(ROW(S7:S27))+1))),ROW()-ROW(A$30)+1))," ",TEXT(INDEX(S7:S27,SMALL(IF(ISNUMBER(S7:S27),IF(S7:S27&gt;0,IF(V7:V27&lt;&gt;"",ROW(S7:S27)-MIN(ROW(S7:S27))+1))),ROW()-ROW(A$30)+1)),"##0")," ",SUBSTITUTE(INDEX(IF(PURCHASE_DESCRIPTION&lt;&gt;"",PURCHASE_DESCRIPTION&amp;":","")&amp;A7:A27,SMALL(IF(ISNUMBER(S7:S27),IF(S7:S27&gt;0,IF(V7:V27&lt;&gt;"",ROW(S7:S27)-MIN(ROW(S7:S27))+1))),ROW()-ROW(A$30)+1))," ",";")),"")</f>
        <v>0</v>
      </c>
      <c r="X49">
        <f t="array" ref="X49">IFERROR(CONCATENATE(TEXT(INDEX(X7:X27,SMALL(IF(ISNUMBER(X7:X27),IF(X7:X27&gt;0,IF(AA7:AA27&lt;&gt;"",ROW(X7:X27)-MIN(ROW(X7:X27))+1))),ROW()-ROW(A$31)+1)),"##0"),",",SUBSTITUTE(INDEX(IF(PURCHASE_DESCRIPTION&lt;&gt;"",PURCHASE_DESCRIPTION&amp;":","")&amp;A7:A27,SMALL(IF(ISNUMBER(X7:X27),IF(X7:X27&gt;0,IF(AA7:AA27&lt;&gt;"",ROW(X7:X27)-MIN(ROW(X7:X27))+1))),ROW()-ROW(A$31)+1)),",",";"),",",SUBSTITUTE(INDEX(IF(PURCHASE_DESCRIPTION&lt;&gt;"",PURCHASE_DESCRIPTION&amp;":","")&amp;C7:C27,SMALL(IF(ISNUMBER(X7:X27),IF(X7:X27&gt;0,IF(AA7:AA27&lt;&gt;"",ROW(X7:X27)-MIN(ROW(X7:X27))+1))),ROW()-ROW(A$31)+1)),",",";"),",",INDEX(AA7:AA27,SMALL(IF(ISNUMBER(X7:X27),IF(X7:X27&gt;0,IF(AA7:AA27&lt;&gt;"",ROW(X7:X27)-MIN(ROW(X7:X27))+1))),ROW()-ROW(A$31)+1))),"")</f>
        <v>0</v>
      </c>
      <c r="AC49">
        <f t="array" ref="AC49">IFERROR(CONCATENATE(INDEX(AF7:AF27,SMALL(IF(ISNUMBER(AC7:AC27),IF(AC7:AC27&gt;0,IF(AF7:AF27&lt;&gt;"",ROW(AC7:AC27)-MIN(ROW(AC7:AC27))+1))),ROW()-ROW(A$30)+1)),"|",TEXT(INDEX(AC7:AC27,SMALL(IF(ISNUMBER(AC7:AC27),IF(AC7:AC27&gt;0,IF(AF7:AF27&lt;&gt;"",ROW(AC7:AC27)-MIN(ROW(AC7:AC27))+1))),ROW()-ROW(A$30)+1)),"##0"),"|",SUBSTITUTE(SUBSTITUTE(INDEX(IF(PURCHASE_DESCRIPTION&lt;&gt;"",PURCHASE_DESCRIPTION&amp;":","")&amp;A7:A27,SMALL(IF(ISNUMBER(AC7:AC27),IF(AC7:AC27&gt;0,IF(AF7:AF27&lt;&gt;"",ROW(AC7:AC27)-MIN(ROW(AC7:AC27))+1))),ROW()-ROW(A$30)+1)),"|",";")," ","_")),"")</f>
        <v>0</v>
      </c>
      <c r="AH49">
        <f t="array" ref="AH49">IFERROR(CONCATENATE(INDEX(AK7:AK27,SMALL(IF(ISNUMBER(AH7:AH27),IF(AH7:AH27&gt;0,IF(AK7:AK27&lt;&gt;"",ROW(AH7:AH27)-MIN(ROW(AH7:AH27))+1))),ROW()-ROW(A$30)+1)),",",TEXT(INDEX(AH7:AH27,SMALL(IF(ISNUMBER(AH7:AH27),IF(AH7:AH27&gt;0,IF(AK7:AK27&lt;&gt;"",ROW(AH7:AH27)-MIN(ROW(AH7:AH27))+1))),ROW()-ROW(A$30)+1)),"##0"),",",SUBSTITUTE(INDEX(IF(PURCHASE_DESCRIPTION&lt;&gt;"",PURCHASE_DESCRIPTION&amp;":","")&amp;A7:A27,SMALL(IF(ISNUMBER(AH7:AH27),IF(AH7:AH27&gt;0,IF(AK7:AK27&lt;&gt;"",ROW(AH7:AH27)-MIN(ROW(AH7:AH27))+1))),ROW()-ROW(A$30)+1)),",",";")),"")</f>
        <v>0</v>
      </c>
      <c r="AM49">
        <f t="array" ref="AM49">IFERROR(CONCATENATE(INDEX(AP7:AP27,SMALL(IF(ISNUMBER(AM7:AM27),IF(AM7:AM27&gt;0,IF(AP7:AP27&lt;&gt;"",ROW(AM7:AM27)-MIN(ROW(AM7:AM27))+1))),ROW()-ROW(A$30)+1))," ",TEXT(INDEX(AM7:AM27,SMALL(IF(ISNUMBER(AM7:AM27),IF(AM7:AM27&gt;0,IF(AP7:AP27&lt;&gt;"",ROW(AM7:AM27)-MIN(ROW(AM7:AM27))+1))),ROW()-ROW(A$30)+1)),"##0")," ",SUBSTITUTE(INDEX(IF(PURCHASE_DESCRIPTION&lt;&gt;"",PURCHASE_DESCRIPTION&amp;":","")&amp;A7:A27,SMALL(IF(ISNUMBER(AM7:AM27),IF(AM7:AM27&gt;0,IF(AP7:AP27&lt;&gt;"",ROW(AM7:AM27)-MIN(ROW(AM7:AM27))+1))),ROW()-ROW(A$30)+1))," ",";")),"")</f>
        <v>0</v>
      </c>
      <c r="AR49">
        <f t="array" ref="AR49">IFERROR(CONCATENATE(INDEX(AU7:AU27,SMALL(IF(ISNUMBER(AR7:AR27),IF(AR7:AR27&gt;0,IF(AU7:AU27&lt;&gt;"",ROW(AR7:AR27)-MIN(ROW(AR7:AR27))+1))),ROW()-ROW(A$30)+1))," ",TEXT(INDEX(AR7:AR27,SMALL(IF(ISNUMBER(AR7:AR27),IF(AR7:AR27&gt;0,IF(AU7:AU27&lt;&gt;"",ROW(AR7:AR27)-MIN(ROW(AR7:AR27))+1))),ROW()-ROW(A$30)+1)),"##0")," ",SUBSTITUTE(INDEX(IF(PURCHASE_DESCRIPTION&lt;&gt;"",PURCHASE_DESCRIPTION&amp;":","")&amp;A7:A27,SMALL(IF(ISNUMBER(AR7:AR27),IF(AR7:AR27&gt;0,IF(AU7:AU27&lt;&gt;"",ROW(AR7:AR27)-MIN(ROW(AR7:AR27))+1))),ROW()-ROW(A$30)+1))," ",";")),"")</f>
        <v>0</v>
      </c>
    </row>
    <row r="50" spans="9:44">
      <c r="I50">
        <f t="array" ref="I50">IFERROR(CONCATENATE(INDEX(L7:L27,SMALL(IF(ISNUMBER(I7:I27),IF(I7:I27&gt;0,IF(L7:L27&lt;&gt;"",ROW(I7:I27)-MIN(ROW(I7:I27))+1))),ROW()-ROW(A$30)+1)),",",TEXT(INDEX(I7:I27,SMALL(IF(ISNUMBER(I7:I27),IF(I7:I27&gt;0,IF(L7:L27&lt;&gt;"",ROW(I7:I27)-MIN(ROW(I7:I27))+1))),ROW()-ROW(A$30)+1)),"##0"),",",SUBSTITUTE(INDEX(IF(PURCHASE_DESCRIPTION&lt;&gt;"",PURCHASE_DESCRIPTION&amp;":","")&amp;A7:A27,SMALL(IF(ISNUMBER(I7:I27),IF(I7:I27&gt;0,IF(L7:L27&lt;&gt;"",ROW(I7:I27)-MIN(ROW(I7:I27))+1))),ROW()-ROW(A$30)+1)),",",";")),"")</f>
        <v>0</v>
      </c>
      <c r="N50">
        <f t="array" ref="N50">IFERROR(CONCATENATE(TEXT(INDEX(N7:N27,SMALL(IF(ISNUMBER(N7:N27),IF(N7:N27&gt;0,IF(Q7:Q27&lt;&gt;"",ROW(N7:N27)-MIN(ROW(N7:N27))+1))),ROW()-ROW(A$30)+1)),"##0"),",",INDEX(Q7:Q27,SMALL(IF(ISNUMBER(N7:N27),IF(N7:N27&gt;0,IF(Q7:Q27&lt;&gt;"",ROW(N7:N27)-MIN(ROW(N7:N27))+1))),ROW()-ROW(A$30)+1)),",",SUBSTITUTE(INDEX(IF(PURCHASE_DESCRIPTION&lt;&gt;"",PURCHASE_DESCRIPTION&amp;":","")&amp;A7:A27,SMALL(IF(ISNUMBER(N7:N27),IF(N7:N27&gt;0,IF(Q7:Q27&lt;&gt;"",ROW(N7:N27)-MIN(ROW(N7:N27))+1))),ROW()-ROW(A$30)+1)),",",";")),"")</f>
        <v>0</v>
      </c>
      <c r="S50">
        <f t="array" ref="S50">IFERROR(CONCATENATE(INDEX(V7:V27,SMALL(IF(ISNUMBER(S7:S27),IF(S7:S27&gt;0,IF(V7:V27&lt;&gt;"",ROW(S7:S27)-MIN(ROW(S7:S27))+1))),ROW()-ROW(A$30)+1))," ",TEXT(INDEX(S7:S27,SMALL(IF(ISNUMBER(S7:S27),IF(S7:S27&gt;0,IF(V7:V27&lt;&gt;"",ROW(S7:S27)-MIN(ROW(S7:S27))+1))),ROW()-ROW(A$30)+1)),"##0")," ",SUBSTITUTE(INDEX(IF(PURCHASE_DESCRIPTION&lt;&gt;"",PURCHASE_DESCRIPTION&amp;":","")&amp;A7:A27,SMALL(IF(ISNUMBER(S7:S27),IF(S7:S27&gt;0,IF(V7:V27&lt;&gt;"",ROW(S7:S27)-MIN(ROW(S7:S27))+1))),ROW()-ROW(A$30)+1))," ",";")),"")</f>
        <v>0</v>
      </c>
      <c r="X50">
        <f t="array" ref="X50">IFERROR(CONCATENATE(TEXT(INDEX(X7:X27,SMALL(IF(ISNUMBER(X7:X27),IF(X7:X27&gt;0,IF(AA7:AA27&lt;&gt;"",ROW(X7:X27)-MIN(ROW(X7:X27))+1))),ROW()-ROW(A$31)+1)),"##0"),",",SUBSTITUTE(INDEX(IF(PURCHASE_DESCRIPTION&lt;&gt;"",PURCHASE_DESCRIPTION&amp;":","")&amp;A7:A27,SMALL(IF(ISNUMBER(X7:X27),IF(X7:X27&gt;0,IF(AA7:AA27&lt;&gt;"",ROW(X7:X27)-MIN(ROW(X7:X27))+1))),ROW()-ROW(A$31)+1)),",",";"),",",SUBSTITUTE(INDEX(IF(PURCHASE_DESCRIPTION&lt;&gt;"",PURCHASE_DESCRIPTION&amp;":","")&amp;C7:C27,SMALL(IF(ISNUMBER(X7:X27),IF(X7:X27&gt;0,IF(AA7:AA27&lt;&gt;"",ROW(X7:X27)-MIN(ROW(X7:X27))+1))),ROW()-ROW(A$31)+1)),",",";"),",",INDEX(AA7:AA27,SMALL(IF(ISNUMBER(X7:X27),IF(X7:X27&gt;0,IF(AA7:AA27&lt;&gt;"",ROW(X7:X27)-MIN(ROW(X7:X27))+1))),ROW()-ROW(A$31)+1))),"")</f>
        <v>0</v>
      </c>
      <c r="AC50">
        <f t="array" ref="AC50">IFERROR(CONCATENATE(INDEX(AF7:AF27,SMALL(IF(ISNUMBER(AC7:AC27),IF(AC7:AC27&gt;0,IF(AF7:AF27&lt;&gt;"",ROW(AC7:AC27)-MIN(ROW(AC7:AC27))+1))),ROW()-ROW(A$30)+1)),"|",TEXT(INDEX(AC7:AC27,SMALL(IF(ISNUMBER(AC7:AC27),IF(AC7:AC27&gt;0,IF(AF7:AF27&lt;&gt;"",ROW(AC7:AC27)-MIN(ROW(AC7:AC27))+1))),ROW()-ROW(A$30)+1)),"##0"),"|",SUBSTITUTE(SUBSTITUTE(INDEX(IF(PURCHASE_DESCRIPTION&lt;&gt;"",PURCHASE_DESCRIPTION&amp;":","")&amp;A7:A27,SMALL(IF(ISNUMBER(AC7:AC27),IF(AC7:AC27&gt;0,IF(AF7:AF27&lt;&gt;"",ROW(AC7:AC27)-MIN(ROW(AC7:AC27))+1))),ROW()-ROW(A$30)+1)),"|",";")," ","_")),"")</f>
        <v>0</v>
      </c>
      <c r="AH50">
        <f t="array" ref="AH50">IFERROR(CONCATENATE(INDEX(AK7:AK27,SMALL(IF(ISNUMBER(AH7:AH27),IF(AH7:AH27&gt;0,IF(AK7:AK27&lt;&gt;"",ROW(AH7:AH27)-MIN(ROW(AH7:AH27))+1))),ROW()-ROW(A$30)+1)),",",TEXT(INDEX(AH7:AH27,SMALL(IF(ISNUMBER(AH7:AH27),IF(AH7:AH27&gt;0,IF(AK7:AK27&lt;&gt;"",ROW(AH7:AH27)-MIN(ROW(AH7:AH27))+1))),ROW()-ROW(A$30)+1)),"##0"),",",SUBSTITUTE(INDEX(IF(PURCHASE_DESCRIPTION&lt;&gt;"",PURCHASE_DESCRIPTION&amp;":","")&amp;A7:A27,SMALL(IF(ISNUMBER(AH7:AH27),IF(AH7:AH27&gt;0,IF(AK7:AK27&lt;&gt;"",ROW(AH7:AH27)-MIN(ROW(AH7:AH27))+1))),ROW()-ROW(A$30)+1)),",",";")),"")</f>
        <v>0</v>
      </c>
      <c r="AM50">
        <f t="array" ref="AM50">IFERROR(CONCATENATE(INDEX(AP7:AP27,SMALL(IF(ISNUMBER(AM7:AM27),IF(AM7:AM27&gt;0,IF(AP7:AP27&lt;&gt;"",ROW(AM7:AM27)-MIN(ROW(AM7:AM27))+1))),ROW()-ROW(A$30)+1))," ",TEXT(INDEX(AM7:AM27,SMALL(IF(ISNUMBER(AM7:AM27),IF(AM7:AM27&gt;0,IF(AP7:AP27&lt;&gt;"",ROW(AM7:AM27)-MIN(ROW(AM7:AM27))+1))),ROW()-ROW(A$30)+1)),"##0")," ",SUBSTITUTE(INDEX(IF(PURCHASE_DESCRIPTION&lt;&gt;"",PURCHASE_DESCRIPTION&amp;":","")&amp;A7:A27,SMALL(IF(ISNUMBER(AM7:AM27),IF(AM7:AM27&gt;0,IF(AP7:AP27&lt;&gt;"",ROW(AM7:AM27)-MIN(ROW(AM7:AM27))+1))),ROW()-ROW(A$30)+1))," ",";")),"")</f>
        <v>0</v>
      </c>
      <c r="AR50">
        <f t="array" ref="AR50">IFERROR(CONCATENATE(INDEX(AU7:AU27,SMALL(IF(ISNUMBER(AR7:AR27),IF(AR7:AR27&gt;0,IF(AU7:AU27&lt;&gt;"",ROW(AR7:AR27)-MIN(ROW(AR7:AR27))+1))),ROW()-ROW(A$30)+1))," ",TEXT(INDEX(AR7:AR27,SMALL(IF(ISNUMBER(AR7:AR27),IF(AR7:AR27&gt;0,IF(AU7:AU27&lt;&gt;"",ROW(AR7:AR27)-MIN(ROW(AR7:AR27))+1))),ROW()-ROW(A$30)+1)),"##0")," ",SUBSTITUTE(INDEX(IF(PURCHASE_DESCRIPTION&lt;&gt;"",PURCHASE_DESCRIPTION&amp;":","")&amp;A7:A27,SMALL(IF(ISNUMBER(AR7:AR27),IF(AR7:AR27&gt;0,IF(AU7:AU27&lt;&gt;"",ROW(AR7:AR27)-MIN(ROW(AR7:AR27))+1))),ROW()-ROW(A$30)+1))," ",";")),"")</f>
        <v>0</v>
      </c>
    </row>
    <row r="51" spans="9:44">
      <c r="X51">
        <f t="array" ref="X51">IFERROR(CONCATENATE(TEXT(INDEX(X7:X27,SMALL(IF(ISNUMBER(X7:X27),IF(X7:X27&gt;0,IF(AA7:AA27&lt;&gt;"",ROW(X7:X27)-MIN(ROW(X7:X27))+1))),ROW()-ROW(A$31)+1)),"##0"),",",SUBSTITUTE(INDEX(IF(PURCHASE_DESCRIPTION&lt;&gt;"",PURCHASE_DESCRIPTION&amp;":","")&amp;A7:A27,SMALL(IF(ISNUMBER(X7:X27),IF(X7:X27&gt;0,IF(AA7:AA27&lt;&gt;"",ROW(X7:X27)-MIN(ROW(X7:X27))+1))),ROW()-ROW(A$31)+1)),",",";"),",",SUBSTITUTE(INDEX(IF(PURCHASE_DESCRIPTION&lt;&gt;"",PURCHASE_DESCRIPTION&amp;":","")&amp;C7:C27,SMALL(IF(ISNUMBER(X7:X27),IF(X7:X27&gt;0,IF(AA7:AA27&lt;&gt;"",ROW(X7:X27)-MIN(ROW(X7:X27))+1))),ROW()-ROW(A$31)+1)),",",";"),",",INDEX(AA7:AA27,SMALL(IF(ISNUMBER(X7:X27),IF(X7:X27&gt;0,IF(AA7:AA27&lt;&gt;"",ROW(X7:X27)-MIN(ROW(X7:X27))+1))),ROW()-ROW(A$31)+1))),"")</f>
        <v>0</v>
      </c>
    </row>
  </sheetData>
  <mergeCells count="9">
    <mergeCell ref="A5:G5"/>
    <mergeCell ref="H5:L5"/>
    <mergeCell ref="M5:Q5"/>
    <mergeCell ref="R5:V5"/>
    <mergeCell ref="W5:AA5"/>
    <mergeCell ref="AB5:AF5"/>
    <mergeCell ref="AG5:AK5"/>
    <mergeCell ref="AL5:AP5"/>
    <mergeCell ref="AQ5:AU5"/>
  </mergeCells>
  <conditionalFormatting sqref="AB10">
    <cfRule type="cellIs" dxfId="1" priority="245" operator="equal">
      <formula>0</formula>
    </cfRule>
    <cfRule type="cellIs" dxfId="2" priority="246" operator="lessThan">
      <formula>E10</formula>
    </cfRule>
  </conditionalFormatting>
  <conditionalFormatting sqref="AB11">
    <cfRule type="cellIs" dxfId="1" priority="250" operator="equal">
      <formula>0</formula>
    </cfRule>
    <cfRule type="cellIs" dxfId="2" priority="251" operator="lessThan">
      <formula>E11</formula>
    </cfRule>
  </conditionalFormatting>
  <conditionalFormatting sqref="AB14">
    <cfRule type="cellIs" dxfId="1" priority="255" operator="equal">
      <formula>0</formula>
    </cfRule>
    <cfRule type="cellIs" dxfId="2" priority="256" operator="lessThan">
      <formula>E14</formula>
    </cfRule>
  </conditionalFormatting>
  <conditionalFormatting sqref="AB18">
    <cfRule type="cellIs" dxfId="1" priority="260" operator="equal">
      <formula>0</formula>
    </cfRule>
    <cfRule type="cellIs" dxfId="2" priority="261" operator="lessThan">
      <formula>E18</formula>
    </cfRule>
  </conditionalFormatting>
  <conditionalFormatting sqref="AB19">
    <cfRule type="cellIs" dxfId="1" priority="265" operator="equal">
      <formula>0</formula>
    </cfRule>
    <cfRule type="cellIs" dxfId="2" priority="266" operator="lessThan">
      <formula>E19</formula>
    </cfRule>
  </conditionalFormatting>
  <conditionalFormatting sqref="AB21">
    <cfRule type="cellIs" dxfId="1" priority="270" operator="equal">
      <formula>0</formula>
    </cfRule>
    <cfRule type="cellIs" dxfId="2" priority="271" operator="lessThan">
      <formula>E21</formula>
    </cfRule>
  </conditionalFormatting>
  <conditionalFormatting sqref="AB22">
    <cfRule type="cellIs" dxfId="1" priority="275" operator="equal">
      <formula>0</formula>
    </cfRule>
    <cfRule type="cellIs" dxfId="2" priority="276" operator="lessThan">
      <formula>E22</formula>
    </cfRule>
  </conditionalFormatting>
  <conditionalFormatting sqref="AB23">
    <cfRule type="cellIs" dxfId="1" priority="280" operator="equal">
      <formula>0</formula>
    </cfRule>
    <cfRule type="cellIs" dxfId="2" priority="281" operator="lessThan">
      <formula>E23</formula>
    </cfRule>
  </conditionalFormatting>
  <conditionalFormatting sqref="AB24">
    <cfRule type="cellIs" dxfId="1" priority="285" operator="equal">
      <formula>0</formula>
    </cfRule>
    <cfRule type="cellIs" dxfId="2" priority="286" operator="lessThan">
      <formula>E24</formula>
    </cfRule>
  </conditionalFormatting>
  <conditionalFormatting sqref="AB25">
    <cfRule type="cellIs" dxfId="1" priority="290" operator="equal">
      <formula>0</formula>
    </cfRule>
    <cfRule type="cellIs" dxfId="2" priority="291" operator="lessThan">
      <formula>E25</formula>
    </cfRule>
  </conditionalFormatting>
  <conditionalFormatting sqref="AB26">
    <cfRule type="cellIs" dxfId="1" priority="295" operator="equal">
      <formula>0</formula>
    </cfRule>
    <cfRule type="cellIs" dxfId="2" priority="296" operator="lessThan">
      <formula>E26</formula>
    </cfRule>
  </conditionalFormatting>
  <conditionalFormatting sqref="AB7">
    <cfRule type="cellIs" dxfId="1" priority="230" operator="equal">
      <formula>0</formula>
    </cfRule>
    <cfRule type="cellIs" dxfId="2" priority="231" operator="lessThan">
      <formula>E7</formula>
    </cfRule>
  </conditionalFormatting>
  <conditionalFormatting sqref="AB8">
    <cfRule type="cellIs" dxfId="1" priority="235" operator="equal">
      <formula>0</formula>
    </cfRule>
    <cfRule type="cellIs" dxfId="2" priority="236" operator="lessThan">
      <formula>E8</formula>
    </cfRule>
  </conditionalFormatting>
  <conditionalFormatting sqref="AB9">
    <cfRule type="cellIs" dxfId="1" priority="240" operator="equal">
      <formula>0</formula>
    </cfRule>
    <cfRule type="cellIs" dxfId="2" priority="241" operator="lessThan">
      <formula>E9</formula>
    </cfRule>
  </conditionalFormatting>
  <conditionalFormatting sqref="AC10">
    <cfRule type="cellIs" dxfId="1" priority="247" operator="greaterThan">
      <formula>AB10</formula>
    </cfRule>
  </conditionalFormatting>
  <conditionalFormatting sqref="AC11">
    <cfRule type="cellIs" dxfId="1" priority="252" operator="greaterThan">
      <formula>AB11</formula>
    </cfRule>
  </conditionalFormatting>
  <conditionalFormatting sqref="AC14">
    <cfRule type="cellIs" dxfId="1" priority="257" operator="greaterThan">
      <formula>AB14</formula>
    </cfRule>
  </conditionalFormatting>
  <conditionalFormatting sqref="AC18">
    <cfRule type="cellIs" dxfId="1" priority="262" operator="greaterThan">
      <formula>AB18</formula>
    </cfRule>
  </conditionalFormatting>
  <conditionalFormatting sqref="AC19">
    <cfRule type="cellIs" dxfId="1" priority="267" operator="greaterThan">
      <formula>AB19</formula>
    </cfRule>
  </conditionalFormatting>
  <conditionalFormatting sqref="AC21">
    <cfRule type="cellIs" dxfId="1" priority="272" operator="greaterThan">
      <formula>AB21</formula>
    </cfRule>
  </conditionalFormatting>
  <conditionalFormatting sqref="AC22">
    <cfRule type="cellIs" dxfId="1" priority="277" operator="greaterThan">
      <formula>AB22</formula>
    </cfRule>
  </conditionalFormatting>
  <conditionalFormatting sqref="AC23">
    <cfRule type="cellIs" dxfId="1" priority="282" operator="greaterThan">
      <formula>AB23</formula>
    </cfRule>
  </conditionalFormatting>
  <conditionalFormatting sqref="AC24">
    <cfRule type="cellIs" dxfId="1" priority="287" operator="greaterThan">
      <formula>AB24</formula>
    </cfRule>
  </conditionalFormatting>
  <conditionalFormatting sqref="AC25">
    <cfRule type="cellIs" dxfId="1" priority="292" operator="greaterThan">
      <formula>AB25</formula>
    </cfRule>
  </conditionalFormatting>
  <conditionalFormatting sqref="AC26">
    <cfRule type="cellIs" dxfId="1" priority="297" operator="greaterThan">
      <formula>AB26</formula>
    </cfRule>
  </conditionalFormatting>
  <conditionalFormatting sqref="AC7">
    <cfRule type="cellIs" dxfId="1" priority="232" operator="greaterThan">
      <formula>AB7</formula>
    </cfRule>
  </conditionalFormatting>
  <conditionalFormatting sqref="AC8">
    <cfRule type="cellIs" dxfId="1" priority="237" operator="greaterThan">
      <formula>AB8</formula>
    </cfRule>
  </conditionalFormatting>
  <conditionalFormatting sqref="AC9">
    <cfRule type="cellIs" dxfId="1" priority="242" operator="greaterThan">
      <formula>AB9</formula>
    </cfRule>
  </conditionalFormatting>
  <conditionalFormatting sqref="AD10">
    <cfRule type="cellIs" dxfId="4" priority="249" operator="lessThanOrEqual">
      <formula>F10</formula>
    </cfRule>
  </conditionalFormatting>
  <conditionalFormatting sqref="AD11">
    <cfRule type="cellIs" dxfId="4" priority="254" operator="lessThanOrEqual">
      <formula>F11</formula>
    </cfRule>
  </conditionalFormatting>
  <conditionalFormatting sqref="AD14">
    <cfRule type="cellIs" dxfId="4" priority="259" operator="lessThanOrEqual">
      <formula>F14</formula>
    </cfRule>
  </conditionalFormatting>
  <conditionalFormatting sqref="AD18">
    <cfRule type="cellIs" dxfId="4" priority="264" operator="lessThanOrEqual">
      <formula>F18</formula>
    </cfRule>
  </conditionalFormatting>
  <conditionalFormatting sqref="AD19">
    <cfRule type="cellIs" dxfId="4" priority="269" operator="lessThanOrEqual">
      <formula>F19</formula>
    </cfRule>
  </conditionalFormatting>
  <conditionalFormatting sqref="AD21">
    <cfRule type="cellIs" dxfId="4" priority="274" operator="lessThanOrEqual">
      <formula>F21</formula>
    </cfRule>
  </conditionalFormatting>
  <conditionalFormatting sqref="AD22">
    <cfRule type="cellIs" dxfId="4" priority="279" operator="lessThanOrEqual">
      <formula>F22</formula>
    </cfRule>
  </conditionalFormatting>
  <conditionalFormatting sqref="AD23">
    <cfRule type="cellIs" dxfId="4" priority="284" operator="lessThanOrEqual">
      <formula>F23</formula>
    </cfRule>
  </conditionalFormatting>
  <conditionalFormatting sqref="AD24">
    <cfRule type="cellIs" dxfId="4" priority="289" operator="lessThanOrEqual">
      <formula>F24</formula>
    </cfRule>
  </conditionalFormatting>
  <conditionalFormatting sqref="AD25">
    <cfRule type="cellIs" dxfId="4" priority="294" operator="lessThanOrEqual">
      <formula>F25</formula>
    </cfRule>
  </conditionalFormatting>
  <conditionalFormatting sqref="AD26">
    <cfRule type="cellIs" dxfId="4" priority="299" operator="lessThanOrEqual">
      <formula>F26</formula>
    </cfRule>
  </conditionalFormatting>
  <conditionalFormatting sqref="AD7">
    <cfRule type="cellIs" dxfId="4" priority="234" operator="lessThanOrEqual">
      <formula>F7</formula>
    </cfRule>
  </conditionalFormatting>
  <conditionalFormatting sqref="AD8">
    <cfRule type="cellIs" dxfId="4" priority="239" operator="lessThanOrEqual">
      <formula>F8</formula>
    </cfRule>
  </conditionalFormatting>
  <conditionalFormatting sqref="AD9">
    <cfRule type="cellIs" dxfId="4" priority="244" operator="lessThanOrEqual">
      <formula>F9</formula>
    </cfRule>
  </conditionalFormatting>
  <conditionalFormatting sqref="AE10">
    <cfRule type="cellIs" dxfId="4" priority="248" operator="lessThanOrEqual">
      <formula>G10</formula>
    </cfRule>
  </conditionalFormatting>
  <conditionalFormatting sqref="AE11">
    <cfRule type="cellIs" dxfId="4" priority="253" operator="lessThanOrEqual">
      <formula>G11</formula>
    </cfRule>
  </conditionalFormatting>
  <conditionalFormatting sqref="AE14">
    <cfRule type="cellIs" dxfId="4" priority="258" operator="lessThanOrEqual">
      <formula>G14</formula>
    </cfRule>
  </conditionalFormatting>
  <conditionalFormatting sqref="AE18">
    <cfRule type="cellIs" dxfId="4" priority="263" operator="lessThanOrEqual">
      <formula>G18</formula>
    </cfRule>
  </conditionalFormatting>
  <conditionalFormatting sqref="AE19">
    <cfRule type="cellIs" dxfId="4" priority="268" operator="lessThanOrEqual">
      <formula>G19</formula>
    </cfRule>
  </conditionalFormatting>
  <conditionalFormatting sqref="AE21">
    <cfRule type="cellIs" dxfId="4" priority="273" operator="lessThanOrEqual">
      <formula>G21</formula>
    </cfRule>
  </conditionalFormatting>
  <conditionalFormatting sqref="AE22">
    <cfRule type="cellIs" dxfId="4" priority="278" operator="lessThanOrEqual">
      <formula>G22</formula>
    </cfRule>
  </conditionalFormatting>
  <conditionalFormatting sqref="AE23">
    <cfRule type="cellIs" dxfId="4" priority="283" operator="lessThanOrEqual">
      <formula>G23</formula>
    </cfRule>
  </conditionalFormatting>
  <conditionalFormatting sqref="AE24">
    <cfRule type="cellIs" dxfId="4" priority="288" operator="lessThanOrEqual">
      <formula>G24</formula>
    </cfRule>
  </conditionalFormatting>
  <conditionalFormatting sqref="AE25">
    <cfRule type="cellIs" dxfId="4" priority="293" operator="lessThanOrEqual">
      <formula>G25</formula>
    </cfRule>
  </conditionalFormatting>
  <conditionalFormatting sqref="AE26">
    <cfRule type="cellIs" dxfId="4" priority="298" operator="lessThanOrEqual">
      <formula>G26</formula>
    </cfRule>
  </conditionalFormatting>
  <conditionalFormatting sqref="AE7">
    <cfRule type="cellIs" dxfId="4" priority="233" operator="lessThanOrEqual">
      <formula>G7</formula>
    </cfRule>
  </conditionalFormatting>
  <conditionalFormatting sqref="AE8">
    <cfRule type="cellIs" dxfId="4" priority="238" operator="lessThanOrEqual">
      <formula>G8</formula>
    </cfRule>
  </conditionalFormatting>
  <conditionalFormatting sqref="AE9">
    <cfRule type="cellIs" dxfId="4" priority="243" operator="lessThanOrEqual">
      <formula>G9</formula>
    </cfRule>
  </conditionalFormatting>
  <conditionalFormatting sqref="AG10">
    <cfRule type="cellIs" dxfId="1" priority="311" operator="equal">
      <formula>0</formula>
    </cfRule>
    <cfRule type="cellIs" dxfId="2" priority="312" operator="lessThan">
      <formula>E10</formula>
    </cfRule>
  </conditionalFormatting>
  <conditionalFormatting sqref="AG11">
    <cfRule type="cellIs" dxfId="1" priority="317" operator="equal">
      <formula>0</formula>
    </cfRule>
    <cfRule type="cellIs" dxfId="2" priority="318" operator="lessThan">
      <formula>E11</formula>
    </cfRule>
  </conditionalFormatting>
  <conditionalFormatting sqref="AG14">
    <cfRule type="cellIs" dxfId="1" priority="323" operator="equal">
      <formula>0</formula>
    </cfRule>
    <cfRule type="cellIs" dxfId="2" priority="324" operator="lessThan">
      <formula>E14</formula>
    </cfRule>
  </conditionalFormatting>
  <conditionalFormatting sqref="AG18">
    <cfRule type="cellIs" dxfId="1" priority="328" operator="equal">
      <formula>0</formula>
    </cfRule>
    <cfRule type="cellIs" dxfId="2" priority="329" operator="lessThan">
      <formula>E18</formula>
    </cfRule>
  </conditionalFormatting>
  <conditionalFormatting sqref="AG19">
    <cfRule type="cellIs" dxfId="1" priority="334" operator="equal">
      <formula>0</formula>
    </cfRule>
    <cfRule type="cellIs" dxfId="2" priority="335" operator="lessThan">
      <formula>E19</formula>
    </cfRule>
  </conditionalFormatting>
  <conditionalFormatting sqref="AG24">
    <cfRule type="cellIs" dxfId="1" priority="340" operator="equal">
      <formula>0</formula>
    </cfRule>
    <cfRule type="cellIs" dxfId="2" priority="341" operator="lessThan">
      <formula>E24</formula>
    </cfRule>
  </conditionalFormatting>
  <conditionalFormatting sqref="AG25">
    <cfRule type="cellIs" dxfId="1" priority="346" operator="equal">
      <formula>0</formula>
    </cfRule>
    <cfRule type="cellIs" dxfId="2" priority="347" operator="lessThan">
      <formula>E25</formula>
    </cfRule>
  </conditionalFormatting>
  <conditionalFormatting sqref="AG26">
    <cfRule type="cellIs" dxfId="1" priority="352" operator="equal">
      <formula>0</formula>
    </cfRule>
    <cfRule type="cellIs" dxfId="2" priority="353" operator="lessThan">
      <formula>E26</formula>
    </cfRule>
  </conditionalFormatting>
  <conditionalFormatting sqref="AG7">
    <cfRule type="cellIs" dxfId="1" priority="300" operator="equal">
      <formula>0</formula>
    </cfRule>
    <cfRule type="cellIs" dxfId="2" priority="301" operator="lessThan">
      <formula>E7</formula>
    </cfRule>
  </conditionalFormatting>
  <conditionalFormatting sqref="AG9">
    <cfRule type="cellIs" dxfId="1" priority="305" operator="equal">
      <formula>0</formula>
    </cfRule>
    <cfRule type="cellIs" dxfId="2" priority="306" operator="lessThan">
      <formula>E9</formula>
    </cfRule>
  </conditionalFormatting>
  <conditionalFormatting sqref="AH10">
    <cfRule type="expression" dxfId="3" priority="313">
      <formula>AND(AH10&gt;0,AH10&lt;5)</formula>
    </cfRule>
    <cfRule type="cellIs" dxfId="1" priority="314" operator="greaterThan">
      <formula>AG10</formula>
    </cfRule>
  </conditionalFormatting>
  <conditionalFormatting sqref="AH11">
    <cfRule type="expression" dxfId="3" priority="319">
      <formula>AND(AH11&gt;0,AH11&lt;5)</formula>
    </cfRule>
    <cfRule type="cellIs" dxfId="1" priority="320" operator="greaterThan">
      <formula>AG11</formula>
    </cfRule>
  </conditionalFormatting>
  <conditionalFormatting sqref="AH14">
    <cfRule type="cellIs" dxfId="1" priority="325" operator="greaterThan">
      <formula>AG14</formula>
    </cfRule>
  </conditionalFormatting>
  <conditionalFormatting sqref="AH18">
    <cfRule type="expression" dxfId="3" priority="330">
      <formula>AND(AH18&gt;0,AH18&lt;5)</formula>
    </cfRule>
    <cfRule type="cellIs" dxfId="1" priority="331" operator="greaterThan">
      <formula>AG18</formula>
    </cfRule>
  </conditionalFormatting>
  <conditionalFormatting sqref="AH19">
    <cfRule type="expression" dxfId="3" priority="336">
      <formula>AND(AH19&gt;0,AH19&lt;5)</formula>
    </cfRule>
    <cfRule type="cellIs" dxfId="1" priority="337" operator="greaterThan">
      <formula>AG19</formula>
    </cfRule>
  </conditionalFormatting>
  <conditionalFormatting sqref="AH24">
    <cfRule type="expression" dxfId="3" priority="342">
      <formula>AND(AH24&gt;0,AH24&lt;5000)</formula>
    </cfRule>
    <cfRule type="cellIs" dxfId="1" priority="343" operator="greaterThan">
      <formula>AG24</formula>
    </cfRule>
  </conditionalFormatting>
  <conditionalFormatting sqref="AH25">
    <cfRule type="expression" dxfId="3" priority="348">
      <formula>AND(AH25&gt;0,AH25&lt;5)</formula>
    </cfRule>
    <cfRule type="cellIs" dxfId="1" priority="349" operator="greaterThan">
      <formula>AG25</formula>
    </cfRule>
  </conditionalFormatting>
  <conditionalFormatting sqref="AH26">
    <cfRule type="cellIs" dxfId="1" priority="354" operator="greaterThan">
      <formula>AG26</formula>
    </cfRule>
  </conditionalFormatting>
  <conditionalFormatting sqref="AH7">
    <cfRule type="cellIs" dxfId="1" priority="302" operator="greaterThan">
      <formula>AG7</formula>
    </cfRule>
  </conditionalFormatting>
  <conditionalFormatting sqref="AH9">
    <cfRule type="expression" dxfId="3" priority="307">
      <formula>AND(AH9&gt;0,AH9&lt;24000)</formula>
    </cfRule>
    <cfRule type="cellIs" dxfId="1" priority="308" operator="greaterThan">
      <formula>AG9</formula>
    </cfRule>
  </conditionalFormatting>
  <conditionalFormatting sqref="AI10">
    <cfRule type="cellIs" dxfId="4" priority="316" operator="lessThanOrEqual">
      <formula>F10</formula>
    </cfRule>
  </conditionalFormatting>
  <conditionalFormatting sqref="AI11">
    <cfRule type="cellIs" dxfId="4" priority="322" operator="lessThanOrEqual">
      <formula>F11</formula>
    </cfRule>
  </conditionalFormatting>
  <conditionalFormatting sqref="AI14">
    <cfRule type="cellIs" dxfId="4" priority="327" operator="lessThanOrEqual">
      <formula>F14</formula>
    </cfRule>
  </conditionalFormatting>
  <conditionalFormatting sqref="AI18">
    <cfRule type="cellIs" dxfId="4" priority="333" operator="lessThanOrEqual">
      <formula>F18</formula>
    </cfRule>
  </conditionalFormatting>
  <conditionalFormatting sqref="AI19">
    <cfRule type="cellIs" dxfId="4" priority="339" operator="lessThanOrEqual">
      <formula>F19</formula>
    </cfRule>
  </conditionalFormatting>
  <conditionalFormatting sqref="AI24">
    <cfRule type="cellIs" dxfId="4" priority="345" operator="lessThanOrEqual">
      <formula>F24</formula>
    </cfRule>
  </conditionalFormatting>
  <conditionalFormatting sqref="AI25">
    <cfRule type="cellIs" dxfId="4" priority="351" operator="lessThanOrEqual">
      <formula>F25</formula>
    </cfRule>
  </conditionalFormatting>
  <conditionalFormatting sqref="AI26">
    <cfRule type="cellIs" dxfId="4" priority="356" operator="lessThanOrEqual">
      <formula>F26</formula>
    </cfRule>
  </conditionalFormatting>
  <conditionalFormatting sqref="AI7">
    <cfRule type="cellIs" dxfId="4" priority="304" operator="lessThanOrEqual">
      <formula>F7</formula>
    </cfRule>
  </conditionalFormatting>
  <conditionalFormatting sqref="AI9">
    <cfRule type="cellIs" dxfId="4" priority="310" operator="lessThanOrEqual">
      <formula>F9</formula>
    </cfRule>
  </conditionalFormatting>
  <conditionalFormatting sqref="AJ10">
    <cfRule type="cellIs" dxfId="4" priority="315" operator="lessThanOrEqual">
      <formula>G10</formula>
    </cfRule>
  </conditionalFormatting>
  <conditionalFormatting sqref="AJ11">
    <cfRule type="cellIs" dxfId="4" priority="321" operator="lessThanOrEqual">
      <formula>G11</formula>
    </cfRule>
  </conditionalFormatting>
  <conditionalFormatting sqref="AJ14">
    <cfRule type="cellIs" dxfId="4" priority="326" operator="lessThanOrEqual">
      <formula>G14</formula>
    </cfRule>
  </conditionalFormatting>
  <conditionalFormatting sqref="AJ18">
    <cfRule type="cellIs" dxfId="4" priority="332" operator="lessThanOrEqual">
      <formula>G18</formula>
    </cfRule>
  </conditionalFormatting>
  <conditionalFormatting sqref="AJ19">
    <cfRule type="cellIs" dxfId="4" priority="338" operator="lessThanOrEqual">
      <formula>G19</formula>
    </cfRule>
  </conditionalFormatting>
  <conditionalFormatting sqref="AJ24">
    <cfRule type="cellIs" dxfId="4" priority="344" operator="lessThanOrEqual">
      <formula>G24</formula>
    </cfRule>
  </conditionalFormatting>
  <conditionalFormatting sqref="AJ25">
    <cfRule type="cellIs" dxfId="4" priority="350" operator="lessThanOrEqual">
      <formula>G25</formula>
    </cfRule>
  </conditionalFormatting>
  <conditionalFormatting sqref="AJ26">
    <cfRule type="cellIs" dxfId="4" priority="355" operator="lessThanOrEqual">
      <formula>G26</formula>
    </cfRule>
  </conditionalFormatting>
  <conditionalFormatting sqref="AJ7">
    <cfRule type="cellIs" dxfId="4" priority="303" operator="lessThanOrEqual">
      <formula>G7</formula>
    </cfRule>
  </conditionalFormatting>
  <conditionalFormatting sqref="AJ9">
    <cfRule type="cellIs" dxfId="4" priority="309" operator="lessThanOrEqual">
      <formula>G9</formula>
    </cfRule>
  </conditionalFormatting>
  <conditionalFormatting sqref="AL10">
    <cfRule type="cellIs" dxfId="1" priority="362" operator="equal">
      <formula>0</formula>
    </cfRule>
    <cfRule type="cellIs" dxfId="2" priority="363" operator="lessThan">
      <formula>E10</formula>
    </cfRule>
  </conditionalFormatting>
  <conditionalFormatting sqref="AL7">
    <cfRule type="cellIs" dxfId="1" priority="357" operator="equal">
      <formula>0</formula>
    </cfRule>
    <cfRule type="cellIs" dxfId="2" priority="358" operator="lessThan">
      <formula>E7</formula>
    </cfRule>
  </conditionalFormatting>
  <conditionalFormatting sqref="AM10">
    <cfRule type="expression" dxfId="3" priority="364">
      <formula>AND(AM10&gt;0,AM10&lt;100)</formula>
    </cfRule>
    <cfRule type="cellIs" dxfId="1" priority="365" operator="greaterThan">
      <formula>AL10</formula>
    </cfRule>
  </conditionalFormatting>
  <conditionalFormatting sqref="AM7">
    <cfRule type="cellIs" dxfId="1" priority="359" operator="greaterThan">
      <formula>AL7</formula>
    </cfRule>
  </conditionalFormatting>
  <conditionalFormatting sqref="AN10">
    <cfRule type="cellIs" dxfId="4" priority="367" operator="lessThanOrEqual">
      <formula>F10</formula>
    </cfRule>
  </conditionalFormatting>
  <conditionalFormatting sqref="AN7">
    <cfRule type="cellIs" dxfId="4" priority="361" operator="lessThanOrEqual">
      <formula>F7</formula>
    </cfRule>
  </conditionalFormatting>
  <conditionalFormatting sqref="AO10">
    <cfRule type="cellIs" dxfId="4" priority="366" operator="lessThanOrEqual">
      <formula>G10</formula>
    </cfRule>
  </conditionalFormatting>
  <conditionalFormatting sqref="AO7">
    <cfRule type="cellIs" dxfId="4" priority="360" operator="lessThanOrEqual">
      <formula>G7</formula>
    </cfRule>
  </conditionalFormatting>
  <conditionalFormatting sqref="E10">
    <cfRule type="expression" dxfId="0" priority="13">
      <formula>AND(ISBLANK(D10)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11">
    <cfRule type="expression" dxfId="0" priority="17">
      <formula>AND(ISBLANK(D11)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2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12">
    <cfRule type="expression" dxfId="0" priority="21">
      <formula>AND(ISBLANK(D12)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2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2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2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13">
    <cfRule type="expression" dxfId="0" priority="25">
      <formula>AND(ISBLANK(D13)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2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2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2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14">
    <cfRule type="expression" dxfId="0" priority="29">
      <formula>AND(ISBLANK(D14)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3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3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3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15">
    <cfRule type="expression" dxfId="0" priority="33">
      <formula>AND(ISBLANK(D15)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3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3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3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16">
    <cfRule type="expression" dxfId="0" priority="37">
      <formula>AND(ISBLANK(D16)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3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3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4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17">
    <cfRule type="expression" dxfId="0" priority="41">
      <formula>AND(ISBLANK(D17)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4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4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4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18">
    <cfRule type="expression" dxfId="0" priority="45">
      <formula>AND(ISBLANK(D18)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4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4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4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19">
    <cfRule type="expression" dxfId="0" priority="49">
      <formula>AND(ISBLANK(D19)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5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5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5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20">
    <cfRule type="expression" dxfId="0" priority="53">
      <formula>AND(ISBLANK(D20)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5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5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5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21">
    <cfRule type="expression" dxfId="0" priority="57">
      <formula>AND(ISBLANK(D21)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5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5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6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22">
    <cfRule type="expression" dxfId="0" priority="61">
      <formula>AND(ISBLANK(D22)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6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6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6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23">
    <cfRule type="expression" dxfId="0" priority="65">
      <formula>AND(ISBLANK(D23)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6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6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6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24">
    <cfRule type="expression" dxfId="0" priority="69">
      <formula>AND(ISBLANK(D24)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7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7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7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25">
    <cfRule type="expression" dxfId="0" priority="73">
      <formula>AND(ISBLANK(D25)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7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7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7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26">
    <cfRule type="expression" dxfId="0" priority="77">
      <formula>AND(ISBLANK(D26)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7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7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8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27">
    <cfRule type="expression" dxfId="0" priority="81">
      <formula>AND(ISBLANK(D27)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8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8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8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7">
    <cfRule type="expression" dxfId="0" priority="1">
      <formula>AND(ISBLANK(D7)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8">
    <cfRule type="expression" dxfId="0" priority="5">
      <formula>AND(ISBLANK(D8)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9">
    <cfRule type="expression" dxfId="0" priority="9">
      <formula>AND(ISBLANK(D9)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M10">
    <cfRule type="cellIs" dxfId="1" priority="100" operator="equal">
      <formula>0</formula>
    </cfRule>
    <cfRule type="cellIs" dxfId="2" priority="101" operator="lessThan">
      <formula>E10</formula>
    </cfRule>
  </conditionalFormatting>
  <conditionalFormatting sqref="M11">
    <cfRule type="cellIs" dxfId="1" priority="105" operator="equal">
      <formula>0</formula>
    </cfRule>
    <cfRule type="cellIs" dxfId="2" priority="106" operator="lessThan">
      <formula>E11</formula>
    </cfRule>
  </conditionalFormatting>
  <conditionalFormatting sqref="M12">
    <cfRule type="cellIs" dxfId="1" priority="110" operator="equal">
      <formula>0</formula>
    </cfRule>
    <cfRule type="cellIs" dxfId="2" priority="111" operator="lessThan">
      <formula>E12</formula>
    </cfRule>
  </conditionalFormatting>
  <conditionalFormatting sqref="M14">
    <cfRule type="cellIs" dxfId="1" priority="115" operator="equal">
      <formula>0</formula>
    </cfRule>
    <cfRule type="cellIs" dxfId="2" priority="116" operator="lessThan">
      <formula>E14</formula>
    </cfRule>
  </conditionalFormatting>
  <conditionalFormatting sqref="M15">
    <cfRule type="cellIs" dxfId="1" priority="120" operator="equal">
      <formula>0</formula>
    </cfRule>
    <cfRule type="cellIs" dxfId="2" priority="121" operator="lessThan">
      <formula>E15</formula>
    </cfRule>
  </conditionalFormatting>
  <conditionalFormatting sqref="M18">
    <cfRule type="cellIs" dxfId="1" priority="125" operator="equal">
      <formula>0</formula>
    </cfRule>
    <cfRule type="cellIs" dxfId="2" priority="126" operator="lessThan">
      <formula>E18</formula>
    </cfRule>
  </conditionalFormatting>
  <conditionalFormatting sqref="M19">
    <cfRule type="cellIs" dxfId="1" priority="130" operator="equal">
      <formula>0</formula>
    </cfRule>
    <cfRule type="cellIs" dxfId="2" priority="131" operator="lessThan">
      <formula>E19</formula>
    </cfRule>
  </conditionalFormatting>
  <conditionalFormatting sqref="M20">
    <cfRule type="cellIs" dxfId="1" priority="135" operator="equal">
      <formula>0</formula>
    </cfRule>
    <cfRule type="cellIs" dxfId="2" priority="136" operator="lessThan">
      <formula>E20</formula>
    </cfRule>
  </conditionalFormatting>
  <conditionalFormatting sqref="M21">
    <cfRule type="cellIs" dxfId="1" priority="140" operator="equal">
      <formula>0</formula>
    </cfRule>
    <cfRule type="cellIs" dxfId="2" priority="141" operator="lessThan">
      <formula>E21</formula>
    </cfRule>
  </conditionalFormatting>
  <conditionalFormatting sqref="M22">
    <cfRule type="cellIs" dxfId="1" priority="145" operator="equal">
      <formula>0</formula>
    </cfRule>
    <cfRule type="cellIs" dxfId="2" priority="146" operator="lessThan">
      <formula>E22</formula>
    </cfRule>
  </conditionalFormatting>
  <conditionalFormatting sqref="M23">
    <cfRule type="cellIs" dxfId="1" priority="150" operator="equal">
      <formula>0</formula>
    </cfRule>
    <cfRule type="cellIs" dxfId="2" priority="151" operator="lessThan">
      <formula>E23</formula>
    </cfRule>
  </conditionalFormatting>
  <conditionalFormatting sqref="M24">
    <cfRule type="cellIs" dxfId="1" priority="155" operator="equal">
      <formula>0</formula>
    </cfRule>
    <cfRule type="cellIs" dxfId="2" priority="156" operator="lessThan">
      <formula>E24</formula>
    </cfRule>
  </conditionalFormatting>
  <conditionalFormatting sqref="M25">
    <cfRule type="cellIs" dxfId="1" priority="160" operator="equal">
      <formula>0</formula>
    </cfRule>
    <cfRule type="cellIs" dxfId="2" priority="161" operator="lessThan">
      <formula>E25</formula>
    </cfRule>
  </conditionalFormatting>
  <conditionalFormatting sqref="M26">
    <cfRule type="cellIs" dxfId="1" priority="165" operator="equal">
      <formula>0</formula>
    </cfRule>
    <cfRule type="cellIs" dxfId="2" priority="166" operator="lessThan">
      <formula>E26</formula>
    </cfRule>
  </conditionalFormatting>
  <conditionalFormatting sqref="M27">
    <cfRule type="cellIs" dxfId="1" priority="170" operator="equal">
      <formula>0</formula>
    </cfRule>
    <cfRule type="cellIs" dxfId="2" priority="171" operator="lessThan">
      <formula>E27</formula>
    </cfRule>
  </conditionalFormatting>
  <conditionalFormatting sqref="M7">
    <cfRule type="cellIs" dxfId="1" priority="85" operator="equal">
      <formula>0</formula>
    </cfRule>
    <cfRule type="cellIs" dxfId="2" priority="86" operator="lessThan">
      <formula>E7</formula>
    </cfRule>
  </conditionalFormatting>
  <conditionalFormatting sqref="M8">
    <cfRule type="cellIs" dxfId="1" priority="90" operator="equal">
      <formula>0</formula>
    </cfRule>
    <cfRule type="cellIs" dxfId="2" priority="91" operator="lessThan">
      <formula>E8</formula>
    </cfRule>
  </conditionalFormatting>
  <conditionalFormatting sqref="M9">
    <cfRule type="cellIs" dxfId="1" priority="95" operator="equal">
      <formula>0</formula>
    </cfRule>
    <cfRule type="cellIs" dxfId="2" priority="96" operator="lessThan">
      <formula>E9</formula>
    </cfRule>
  </conditionalFormatting>
  <conditionalFormatting sqref="N10">
    <cfRule type="cellIs" dxfId="1" priority="102" operator="greaterThan">
      <formula>M10</formula>
    </cfRule>
  </conditionalFormatting>
  <conditionalFormatting sqref="N11">
    <cfRule type="cellIs" dxfId="1" priority="107" operator="greaterThan">
      <formula>M11</formula>
    </cfRule>
  </conditionalFormatting>
  <conditionalFormatting sqref="N12">
    <cfRule type="cellIs" dxfId="1" priority="112" operator="greaterThan">
      <formula>M12</formula>
    </cfRule>
  </conditionalFormatting>
  <conditionalFormatting sqref="N14">
    <cfRule type="cellIs" dxfId="1" priority="117" operator="greaterThan">
      <formula>M14</formula>
    </cfRule>
  </conditionalFormatting>
  <conditionalFormatting sqref="N15">
    <cfRule type="cellIs" dxfId="1" priority="122" operator="greaterThan">
      <formula>M15</formula>
    </cfRule>
  </conditionalFormatting>
  <conditionalFormatting sqref="N18">
    <cfRule type="cellIs" dxfId="1" priority="127" operator="greaterThan">
      <formula>M18</formula>
    </cfRule>
  </conditionalFormatting>
  <conditionalFormatting sqref="N19">
    <cfRule type="cellIs" dxfId="1" priority="132" operator="greaterThan">
      <formula>M19</formula>
    </cfRule>
  </conditionalFormatting>
  <conditionalFormatting sqref="N20">
    <cfRule type="cellIs" dxfId="1" priority="137" operator="greaterThan">
      <formula>M20</formula>
    </cfRule>
  </conditionalFormatting>
  <conditionalFormatting sqref="N21">
    <cfRule type="cellIs" dxfId="1" priority="142" operator="greaterThan">
      <formula>M21</formula>
    </cfRule>
  </conditionalFormatting>
  <conditionalFormatting sqref="N22">
    <cfRule type="cellIs" dxfId="1" priority="147" operator="greaterThan">
      <formula>M22</formula>
    </cfRule>
  </conditionalFormatting>
  <conditionalFormatting sqref="N23">
    <cfRule type="cellIs" dxfId="1" priority="152" operator="greaterThan">
      <formula>M23</formula>
    </cfRule>
  </conditionalFormatting>
  <conditionalFormatting sqref="N24">
    <cfRule type="cellIs" dxfId="1" priority="157" operator="greaterThan">
      <formula>M24</formula>
    </cfRule>
  </conditionalFormatting>
  <conditionalFormatting sqref="N25">
    <cfRule type="cellIs" dxfId="1" priority="162" operator="greaterThan">
      <formula>M25</formula>
    </cfRule>
  </conditionalFormatting>
  <conditionalFormatting sqref="N26">
    <cfRule type="cellIs" dxfId="1" priority="167" operator="greaterThan">
      <formula>M26</formula>
    </cfRule>
  </conditionalFormatting>
  <conditionalFormatting sqref="N27">
    <cfRule type="cellIs" dxfId="1" priority="172" operator="greaterThan">
      <formula>M27</formula>
    </cfRule>
  </conditionalFormatting>
  <conditionalFormatting sqref="N7">
    <cfRule type="cellIs" dxfId="1" priority="87" operator="greaterThan">
      <formula>M7</formula>
    </cfRule>
  </conditionalFormatting>
  <conditionalFormatting sqref="N8">
    <cfRule type="cellIs" dxfId="1" priority="92" operator="greaterThan">
      <formula>M8</formula>
    </cfRule>
  </conditionalFormatting>
  <conditionalFormatting sqref="N9">
    <cfRule type="cellIs" dxfId="1" priority="97" operator="greaterThan">
      <formula>M9</formula>
    </cfRule>
  </conditionalFormatting>
  <conditionalFormatting sqref="O10">
    <cfRule type="cellIs" dxfId="4" priority="104" operator="lessThanOrEqual">
      <formula>F10</formula>
    </cfRule>
  </conditionalFormatting>
  <conditionalFormatting sqref="O11">
    <cfRule type="cellIs" dxfId="4" priority="109" operator="lessThanOrEqual">
      <formula>F11</formula>
    </cfRule>
  </conditionalFormatting>
  <conditionalFormatting sqref="O12">
    <cfRule type="cellIs" dxfId="4" priority="114" operator="lessThanOrEqual">
      <formula>F12</formula>
    </cfRule>
  </conditionalFormatting>
  <conditionalFormatting sqref="O14">
    <cfRule type="cellIs" dxfId="4" priority="119" operator="lessThanOrEqual">
      <formula>F14</formula>
    </cfRule>
  </conditionalFormatting>
  <conditionalFormatting sqref="O15">
    <cfRule type="cellIs" dxfId="4" priority="124" operator="lessThanOrEqual">
      <formula>F15</formula>
    </cfRule>
  </conditionalFormatting>
  <conditionalFormatting sqref="O18">
    <cfRule type="cellIs" dxfId="4" priority="129" operator="lessThanOrEqual">
      <formula>F18</formula>
    </cfRule>
  </conditionalFormatting>
  <conditionalFormatting sqref="O19">
    <cfRule type="cellIs" dxfId="4" priority="134" operator="lessThanOrEqual">
      <formula>F19</formula>
    </cfRule>
  </conditionalFormatting>
  <conditionalFormatting sqref="O20">
    <cfRule type="cellIs" dxfId="4" priority="139" operator="lessThanOrEqual">
      <formula>F20</formula>
    </cfRule>
  </conditionalFormatting>
  <conditionalFormatting sqref="O21">
    <cfRule type="cellIs" dxfId="4" priority="144" operator="lessThanOrEqual">
      <formula>F21</formula>
    </cfRule>
  </conditionalFormatting>
  <conditionalFormatting sqref="O22">
    <cfRule type="cellIs" dxfId="4" priority="149" operator="lessThanOrEqual">
      <formula>F22</formula>
    </cfRule>
  </conditionalFormatting>
  <conditionalFormatting sqref="O23">
    <cfRule type="cellIs" dxfId="4" priority="154" operator="lessThanOrEqual">
      <formula>F23</formula>
    </cfRule>
  </conditionalFormatting>
  <conditionalFormatting sqref="O24">
    <cfRule type="cellIs" dxfId="4" priority="159" operator="lessThanOrEqual">
      <formula>F24</formula>
    </cfRule>
  </conditionalFormatting>
  <conditionalFormatting sqref="O25">
    <cfRule type="cellIs" dxfId="4" priority="164" operator="lessThanOrEqual">
      <formula>F25</formula>
    </cfRule>
  </conditionalFormatting>
  <conditionalFormatting sqref="O26">
    <cfRule type="cellIs" dxfId="4" priority="169" operator="lessThanOrEqual">
      <formula>F26</formula>
    </cfRule>
  </conditionalFormatting>
  <conditionalFormatting sqref="O27">
    <cfRule type="cellIs" dxfId="4" priority="174" operator="lessThanOrEqual">
      <formula>F27</formula>
    </cfRule>
  </conditionalFormatting>
  <conditionalFormatting sqref="O7">
    <cfRule type="cellIs" dxfId="4" priority="89" operator="lessThanOrEqual">
      <formula>F7</formula>
    </cfRule>
  </conditionalFormatting>
  <conditionalFormatting sqref="O8">
    <cfRule type="cellIs" dxfId="4" priority="94" operator="lessThanOrEqual">
      <formula>F8</formula>
    </cfRule>
  </conditionalFormatting>
  <conditionalFormatting sqref="O9">
    <cfRule type="cellIs" dxfId="4" priority="99" operator="lessThanOrEqual">
      <formula>F9</formula>
    </cfRule>
  </conditionalFormatting>
  <conditionalFormatting sqref="P10">
    <cfRule type="cellIs" dxfId="4" priority="103" operator="lessThanOrEqual">
      <formula>G10</formula>
    </cfRule>
  </conditionalFormatting>
  <conditionalFormatting sqref="P11">
    <cfRule type="cellIs" dxfId="4" priority="108" operator="lessThanOrEqual">
      <formula>G11</formula>
    </cfRule>
  </conditionalFormatting>
  <conditionalFormatting sqref="P12">
    <cfRule type="cellIs" dxfId="4" priority="113" operator="lessThanOrEqual">
      <formula>G12</formula>
    </cfRule>
  </conditionalFormatting>
  <conditionalFormatting sqref="P14">
    <cfRule type="cellIs" dxfId="4" priority="118" operator="lessThanOrEqual">
      <formula>G14</formula>
    </cfRule>
  </conditionalFormatting>
  <conditionalFormatting sqref="P15">
    <cfRule type="cellIs" dxfId="4" priority="123" operator="lessThanOrEqual">
      <formula>G15</formula>
    </cfRule>
  </conditionalFormatting>
  <conditionalFormatting sqref="P18">
    <cfRule type="cellIs" dxfId="4" priority="128" operator="lessThanOrEqual">
      <formula>G18</formula>
    </cfRule>
  </conditionalFormatting>
  <conditionalFormatting sqref="P19">
    <cfRule type="cellIs" dxfId="4" priority="133" operator="lessThanOrEqual">
      <formula>G19</formula>
    </cfRule>
  </conditionalFormatting>
  <conditionalFormatting sqref="P20">
    <cfRule type="cellIs" dxfId="4" priority="138" operator="lessThanOrEqual">
      <formula>G20</formula>
    </cfRule>
  </conditionalFormatting>
  <conditionalFormatting sqref="P21">
    <cfRule type="cellIs" dxfId="4" priority="143" operator="lessThanOrEqual">
      <formula>G21</formula>
    </cfRule>
  </conditionalFormatting>
  <conditionalFormatting sqref="P22">
    <cfRule type="cellIs" dxfId="4" priority="148" operator="lessThanOrEqual">
      <formula>G22</formula>
    </cfRule>
  </conditionalFormatting>
  <conditionalFormatting sqref="P23">
    <cfRule type="cellIs" dxfId="4" priority="153" operator="lessThanOrEqual">
      <formula>G23</formula>
    </cfRule>
  </conditionalFormatting>
  <conditionalFormatting sqref="P24">
    <cfRule type="cellIs" dxfId="4" priority="158" operator="lessThanOrEqual">
      <formula>G24</formula>
    </cfRule>
  </conditionalFormatting>
  <conditionalFormatting sqref="P25">
    <cfRule type="cellIs" dxfId="4" priority="163" operator="lessThanOrEqual">
      <formula>G25</formula>
    </cfRule>
  </conditionalFormatting>
  <conditionalFormatting sqref="P26">
    <cfRule type="cellIs" dxfId="4" priority="168" operator="lessThanOrEqual">
      <formula>G26</formula>
    </cfRule>
  </conditionalFormatting>
  <conditionalFormatting sqref="P27">
    <cfRule type="cellIs" dxfId="4" priority="173" operator="lessThanOrEqual">
      <formula>G27</formula>
    </cfRule>
  </conditionalFormatting>
  <conditionalFormatting sqref="P7">
    <cfRule type="cellIs" dxfId="4" priority="88" operator="lessThanOrEqual">
      <formula>G7</formula>
    </cfRule>
  </conditionalFormatting>
  <conditionalFormatting sqref="P8">
    <cfRule type="cellIs" dxfId="4" priority="93" operator="lessThanOrEqual">
      <formula>G8</formula>
    </cfRule>
  </conditionalFormatting>
  <conditionalFormatting sqref="P9">
    <cfRule type="cellIs" dxfId="4" priority="98" operator="lessThanOrEqual">
      <formula>G9</formula>
    </cfRule>
  </conditionalFormatting>
  <conditionalFormatting sqref="R10">
    <cfRule type="cellIs" dxfId="1" priority="180" operator="equal">
      <formula>0</formula>
    </cfRule>
    <cfRule type="cellIs" dxfId="2" priority="181" operator="lessThan">
      <formula>E10</formula>
    </cfRule>
  </conditionalFormatting>
  <conditionalFormatting sqref="R11">
    <cfRule type="cellIs" dxfId="1" priority="186" operator="equal">
      <formula>0</formula>
    </cfRule>
    <cfRule type="cellIs" dxfId="2" priority="187" operator="lessThan">
      <formula>E11</formula>
    </cfRule>
  </conditionalFormatting>
  <conditionalFormatting sqref="R14">
    <cfRule type="cellIs" dxfId="1" priority="192" operator="equal">
      <formula>0</formula>
    </cfRule>
    <cfRule type="cellIs" dxfId="2" priority="193" operator="lessThan">
      <formula>E14</formula>
    </cfRule>
  </conditionalFormatting>
  <conditionalFormatting sqref="R18">
    <cfRule type="cellIs" dxfId="1" priority="197" operator="equal">
      <formula>0</formula>
    </cfRule>
    <cfRule type="cellIs" dxfId="2" priority="198" operator="lessThan">
      <formula>E18</formula>
    </cfRule>
  </conditionalFormatting>
  <conditionalFormatting sqref="R19">
    <cfRule type="cellIs" dxfId="1" priority="203" operator="equal">
      <formula>0</formula>
    </cfRule>
    <cfRule type="cellIs" dxfId="2" priority="204" operator="lessThan">
      <formula>E19</formula>
    </cfRule>
  </conditionalFormatting>
  <conditionalFormatting sqref="R25">
    <cfRule type="cellIs" dxfId="1" priority="209" operator="equal">
      <formula>0</formula>
    </cfRule>
    <cfRule type="cellIs" dxfId="2" priority="210" operator="lessThan">
      <formula>E25</formula>
    </cfRule>
  </conditionalFormatting>
  <conditionalFormatting sqref="R26">
    <cfRule type="cellIs" dxfId="1" priority="215" operator="equal">
      <formula>0</formula>
    </cfRule>
    <cfRule type="cellIs" dxfId="2" priority="216" operator="lessThan">
      <formula>E26</formula>
    </cfRule>
  </conditionalFormatting>
  <conditionalFormatting sqref="R7">
    <cfRule type="cellIs" dxfId="1" priority="175" operator="equal">
      <formula>0</formula>
    </cfRule>
    <cfRule type="cellIs" dxfId="2" priority="176" operator="lessThan">
      <formula>E7</formula>
    </cfRule>
  </conditionalFormatting>
  <conditionalFormatting sqref="S10">
    <cfRule type="expression" dxfId="3" priority="182">
      <formula>AND(S10&gt;0,S10&lt;5)</formula>
    </cfRule>
    <cfRule type="cellIs" dxfId="1" priority="183" operator="greaterThan">
      <formula>R10</formula>
    </cfRule>
  </conditionalFormatting>
  <conditionalFormatting sqref="S11">
    <cfRule type="expression" dxfId="3" priority="188">
      <formula>AND(S11&gt;0,S11&lt;5)</formula>
    </cfRule>
    <cfRule type="cellIs" dxfId="1" priority="189" operator="greaterThan">
      <formula>R11</formula>
    </cfRule>
  </conditionalFormatting>
  <conditionalFormatting sqref="S14">
    <cfRule type="cellIs" dxfId="1" priority="194" operator="greaterThan">
      <formula>R14</formula>
    </cfRule>
  </conditionalFormatting>
  <conditionalFormatting sqref="S18">
    <cfRule type="expression" dxfId="3" priority="199">
      <formula>AND(S18&gt;0,S18&lt;5)</formula>
    </cfRule>
    <cfRule type="cellIs" dxfId="1" priority="200" operator="greaterThan">
      <formula>R18</formula>
    </cfRule>
  </conditionalFormatting>
  <conditionalFormatting sqref="S19">
    <cfRule type="expression" dxfId="3" priority="205">
      <formula>AND(S19&gt;0,S19&lt;5)</formula>
    </cfRule>
    <cfRule type="cellIs" dxfId="1" priority="206" operator="greaterThan">
      <formula>R19</formula>
    </cfRule>
  </conditionalFormatting>
  <conditionalFormatting sqref="S25">
    <cfRule type="expression" dxfId="3" priority="211">
      <formula>AND(S25&gt;0,S25&lt;5)</formula>
    </cfRule>
    <cfRule type="cellIs" dxfId="1" priority="212" operator="greaterThan">
      <formula>R25</formula>
    </cfRule>
  </conditionalFormatting>
  <conditionalFormatting sqref="S26">
    <cfRule type="cellIs" dxfId="1" priority="217" operator="greaterThan">
      <formula>R26</formula>
    </cfRule>
  </conditionalFormatting>
  <conditionalFormatting sqref="S7">
    <cfRule type="cellIs" dxfId="1" priority="177" operator="greaterThan">
      <formula>R7</formula>
    </cfRule>
  </conditionalFormatting>
  <conditionalFormatting sqref="T10">
    <cfRule type="cellIs" dxfId="4" priority="185" operator="lessThanOrEqual">
      <formula>F10</formula>
    </cfRule>
  </conditionalFormatting>
  <conditionalFormatting sqref="T11">
    <cfRule type="cellIs" dxfId="4" priority="191" operator="lessThanOrEqual">
      <formula>F11</formula>
    </cfRule>
  </conditionalFormatting>
  <conditionalFormatting sqref="T14">
    <cfRule type="cellIs" dxfId="4" priority="196" operator="lessThanOrEqual">
      <formula>F14</formula>
    </cfRule>
  </conditionalFormatting>
  <conditionalFormatting sqref="T18">
    <cfRule type="cellIs" dxfId="4" priority="202" operator="lessThanOrEqual">
      <formula>F18</formula>
    </cfRule>
  </conditionalFormatting>
  <conditionalFormatting sqref="T19">
    <cfRule type="cellIs" dxfId="4" priority="208" operator="lessThanOrEqual">
      <formula>F19</formula>
    </cfRule>
  </conditionalFormatting>
  <conditionalFormatting sqref="T25">
    <cfRule type="cellIs" dxfId="4" priority="214" operator="lessThanOrEqual">
      <formula>F25</formula>
    </cfRule>
  </conditionalFormatting>
  <conditionalFormatting sqref="T26">
    <cfRule type="cellIs" dxfId="4" priority="219" operator="lessThanOrEqual">
      <formula>F26</formula>
    </cfRule>
  </conditionalFormatting>
  <conditionalFormatting sqref="T7">
    <cfRule type="cellIs" dxfId="4" priority="179" operator="lessThanOrEqual">
      <formula>F7</formula>
    </cfRule>
  </conditionalFormatting>
  <conditionalFormatting sqref="U10">
    <cfRule type="cellIs" dxfId="4" priority="184" operator="lessThanOrEqual">
      <formula>G10</formula>
    </cfRule>
  </conditionalFormatting>
  <conditionalFormatting sqref="U11">
    <cfRule type="cellIs" dxfId="4" priority="190" operator="lessThanOrEqual">
      <formula>G11</formula>
    </cfRule>
  </conditionalFormatting>
  <conditionalFormatting sqref="U14">
    <cfRule type="cellIs" dxfId="4" priority="195" operator="lessThanOrEqual">
      <formula>G14</formula>
    </cfRule>
  </conditionalFormatting>
  <conditionalFormatting sqref="U18">
    <cfRule type="cellIs" dxfId="4" priority="201" operator="lessThanOrEqual">
      <formula>G18</formula>
    </cfRule>
  </conditionalFormatting>
  <conditionalFormatting sqref="U19">
    <cfRule type="cellIs" dxfId="4" priority="207" operator="lessThanOrEqual">
      <formula>G19</formula>
    </cfRule>
  </conditionalFormatting>
  <conditionalFormatting sqref="U25">
    <cfRule type="cellIs" dxfId="4" priority="213" operator="lessThanOrEqual">
      <formula>G25</formula>
    </cfRule>
  </conditionalFormatting>
  <conditionalFormatting sqref="U26">
    <cfRule type="cellIs" dxfId="4" priority="218" operator="lessThanOrEqual">
      <formula>G26</formula>
    </cfRule>
  </conditionalFormatting>
  <conditionalFormatting sqref="U7">
    <cfRule type="cellIs" dxfId="4" priority="178" operator="lessThanOrEqual">
      <formula>G7</formula>
    </cfRule>
  </conditionalFormatting>
  <conditionalFormatting sqref="W11">
    <cfRule type="cellIs" dxfId="1" priority="220" operator="equal">
      <formula>0</formula>
    </cfRule>
    <cfRule type="cellIs" dxfId="2" priority="221" operator="lessThan">
      <formula>E11</formula>
    </cfRule>
  </conditionalFormatting>
  <conditionalFormatting sqref="W26">
    <cfRule type="cellIs" dxfId="1" priority="225" operator="equal">
      <formula>0</formula>
    </cfRule>
    <cfRule type="cellIs" dxfId="2" priority="226" operator="lessThan">
      <formula>E26</formula>
    </cfRule>
  </conditionalFormatting>
  <conditionalFormatting sqref="X11">
    <cfRule type="cellIs" dxfId="1" priority="222" operator="greaterThan">
      <formula>W11</formula>
    </cfRule>
  </conditionalFormatting>
  <conditionalFormatting sqref="X26">
    <cfRule type="cellIs" dxfId="1" priority="227" operator="greaterThan">
      <formula>W26</formula>
    </cfRule>
  </conditionalFormatting>
  <conditionalFormatting sqref="Y11">
    <cfRule type="cellIs" dxfId="4" priority="224" operator="lessThanOrEqual">
      <formula>F11</formula>
    </cfRule>
  </conditionalFormatting>
  <conditionalFormatting sqref="Y26">
    <cfRule type="cellIs" dxfId="4" priority="229" operator="lessThanOrEqual">
      <formula>F26</formula>
    </cfRule>
  </conditionalFormatting>
  <conditionalFormatting sqref="Z11">
    <cfRule type="cellIs" dxfId="4" priority="223" operator="lessThanOrEqual">
      <formula>G11</formula>
    </cfRule>
  </conditionalFormatting>
  <conditionalFormatting sqref="Z26">
    <cfRule type="cellIs" dxfId="4" priority="228" operator="lessThanOrEqual">
      <formula>G26</formula>
    </cfRule>
  </conditionalFormatting>
  <hyperlinks>
    <hyperlink ref="D7" r:id="rId1"/>
    <hyperlink ref="Q7" r:id="rId2"/>
    <hyperlink ref="V7" r:id="rId3"/>
    <hyperlink ref="AF7" r:id="rId4"/>
    <hyperlink ref="AK7" r:id="rId5"/>
    <hyperlink ref="AP7" r:id="rId6"/>
    <hyperlink ref="Q8" r:id="rId7"/>
    <hyperlink ref="AF8" r:id="rId8"/>
    <hyperlink ref="Q9" r:id="rId9"/>
    <hyperlink ref="AF9" r:id="rId10"/>
    <hyperlink ref="AK9" r:id="rId11"/>
    <hyperlink ref="Q10" r:id="rId12"/>
    <hyperlink ref="V10" r:id="rId13"/>
    <hyperlink ref="AF10" r:id="rId14"/>
    <hyperlink ref="AK10" r:id="rId15"/>
    <hyperlink ref="AP10" r:id="rId16"/>
    <hyperlink ref="Q11" r:id="rId17"/>
    <hyperlink ref="V11" r:id="rId18"/>
    <hyperlink ref="AA11" r:id="rId19"/>
    <hyperlink ref="AF11" r:id="rId20"/>
    <hyperlink ref="AK11" r:id="rId21"/>
    <hyperlink ref="Q12" r:id="rId22"/>
    <hyperlink ref="AK12" r:id="rId23"/>
    <hyperlink ref="Q14" r:id="rId24"/>
    <hyperlink ref="V14" r:id="rId25"/>
    <hyperlink ref="AF14" r:id="rId26"/>
    <hyperlink ref="AK14" r:id="rId27"/>
    <hyperlink ref="D15" r:id="rId28"/>
    <hyperlink ref="Q15" r:id="rId29"/>
    <hyperlink ref="Q18" r:id="rId30"/>
    <hyperlink ref="V18" r:id="rId31"/>
    <hyperlink ref="AF18" r:id="rId32"/>
    <hyperlink ref="AK18" r:id="rId33"/>
    <hyperlink ref="D19" r:id="rId34"/>
    <hyperlink ref="Q19" r:id="rId35"/>
    <hyperlink ref="V19" r:id="rId36"/>
    <hyperlink ref="AF19" r:id="rId37"/>
    <hyperlink ref="AK19" r:id="rId38"/>
    <hyperlink ref="D20" r:id="rId39"/>
    <hyperlink ref="Q20" r:id="rId40"/>
    <hyperlink ref="Q21" r:id="rId41"/>
    <hyperlink ref="AF21" r:id="rId42"/>
    <hyperlink ref="AK21" r:id="rId43"/>
    <hyperlink ref="Q22" r:id="rId44"/>
    <hyperlink ref="AF22" r:id="rId45"/>
    <hyperlink ref="AK22" r:id="rId46"/>
    <hyperlink ref="Q23" r:id="rId47"/>
    <hyperlink ref="AF23" r:id="rId48"/>
    <hyperlink ref="Q24" r:id="rId49"/>
    <hyperlink ref="AF24" r:id="rId50"/>
    <hyperlink ref="AK24" r:id="rId51"/>
    <hyperlink ref="Q25" r:id="rId52"/>
    <hyperlink ref="V25" r:id="rId53"/>
    <hyperlink ref="AF25" r:id="rId54"/>
    <hyperlink ref="AK25" r:id="rId55"/>
    <hyperlink ref="Q26" r:id="rId56"/>
    <hyperlink ref="V26" r:id="rId57"/>
    <hyperlink ref="AA26" r:id="rId58"/>
    <hyperlink ref="AF26" r:id="rId59"/>
    <hyperlink ref="AK26" r:id="rId60"/>
    <hyperlink ref="Q27" r:id="rId61"/>
  </hyperlinks>
  <pageMargins left="0.7" right="0.7" top="0.75" bottom="0.75" header="0.3" footer="0.3"/>
  <legacyDrawing r:id="rId6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13</vt:i4>
      </vt:variant>
    </vt:vector>
  </HeadingPairs>
  <TitlesOfParts>
    <vt:vector size="14" baseType="lpstr">
      <vt:lpstr>HotBox. </vt:lpstr>
      <vt:lpstr>arrow_part_data</vt:lpstr>
      <vt:lpstr>BoardQty</vt:lpstr>
      <vt:lpstr>digikey_part_data</vt:lpstr>
      <vt:lpstr>farnell_part_data</vt:lpstr>
      <vt:lpstr>global_part_data</vt:lpstr>
      <vt:lpstr>lcsc_part_data</vt:lpstr>
      <vt:lpstr>mouser_part_data</vt:lpstr>
      <vt:lpstr>newark_part_data</vt:lpstr>
      <vt:lpstr>PURCHASE_DESCRIPTION</vt:lpstr>
      <vt:lpstr>rs_part_data</vt:lpstr>
      <vt:lpstr>tme_part_data</vt:lpstr>
      <vt:lpstr>TotalCost</vt:lpstr>
      <vt:lpstr>USD_GBP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2020-11-24T05:21:47Z</dcterms:created>
  <dcterms:modified xsi:type="dcterms:W3CDTF">2020-11-24T05:21:47Z</dcterms:modified>
</cp:coreProperties>
</file>